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5FAE27B6-B22F-4CFE-89CC-B2C61A9F5ACB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1_222953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</calcChain>
</file>

<file path=xl/sharedStrings.xml><?xml version="1.0" encoding="utf-8"?>
<sst xmlns="http://schemas.openxmlformats.org/spreadsheetml/2006/main" count="19512" uniqueCount="10264">
  <si>
    <t>交易所</t>
  </si>
  <si>
    <t>代码</t>
  </si>
  <si>
    <t>公司</t>
  </si>
  <si>
    <t>行业</t>
  </si>
  <si>
    <t>营业收入 累积 2022-12-31 (元)</t>
  </si>
  <si>
    <t>营业收入 累积 2021-12-31 (元)</t>
  </si>
  <si>
    <t>营业收入 累积 2020-12-31 (元)</t>
  </si>
  <si>
    <t>营业收入 累积 2019-12-31 (元)</t>
  </si>
  <si>
    <t>营业收入 累积 2018-12-31 (元)</t>
  </si>
  <si>
    <t>营业收入 累积 2017-12-31 (元)</t>
  </si>
  <si>
    <t>营业收入 累积 2016-12-31 (元)</t>
  </si>
  <si>
    <t>营业收入 累积 2015-12-31 (元)</t>
  </si>
  <si>
    <t>营业收入 累积 2014-12-31 (元)</t>
  </si>
  <si>
    <t>营业收入 累积 2013-12-31 (元)</t>
  </si>
  <si>
    <t>营业收入 累积 2012-12-31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</si>
  <si>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</si>
  <si>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</si>
  <si>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</si>
  <si>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</si>
  <si>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</si>
  <si>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</si>
  <si>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</si>
  <si>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</si>
  <si>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</si>
  <si>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</si>
  <si>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</si>
  <si>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</si>
  <si>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</si>
  <si>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</si>
  <si>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</si>
  <si>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</si>
  <si>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</si>
  <si>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</si>
  <si>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</si>
  <si>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</si>
  <si>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</si>
  <si>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</si>
  <si>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</si>
  <si>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</si>
  <si>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</si>
  <si>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</si>
  <si>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</si>
  <si>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</si>
  <si>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</si>
  <si>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</si>
  <si>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</si>
  <si>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</si>
  <si>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</si>
  <si>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</si>
  <si>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</si>
  <si>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</si>
  <si>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</si>
  <si>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</si>
  <si>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</si>
  <si>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</si>
  <si>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</si>
  <si>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</si>
  <si>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</si>
  <si>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</si>
  <si>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</si>
  <si>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</si>
  <si>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</si>
  <si>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</si>
  <si>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</si>
  <si>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</si>
  <si>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</si>
  <si>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</si>
  <si>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</si>
  <si>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</si>
  <si>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</si>
  <si>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</si>
  <si>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</si>
  <si>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</si>
  <si>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</si>
  <si>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</si>
  <si>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</si>
  <si>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</si>
  <si>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</si>
  <si>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</si>
  <si>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</si>
  <si>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</si>
  <si>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</si>
  <si>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</si>
  <si>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</si>
  <si>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</si>
  <si>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</si>
  <si>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</si>
  <si>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</si>
  <si>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</si>
  <si>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</si>
  <si>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</si>
  <si>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</si>
  <si>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</si>
  <si>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</si>
  <si>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</si>
  <si>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</si>
  <si>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</si>
  <si>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</si>
  <si>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</si>
  <si>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</si>
  <si>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</si>
  <si>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</si>
  <si>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</si>
  <si>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</si>
  <si>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</si>
  <si>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</si>
  <si>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</si>
  <si>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</si>
  <si>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</si>
  <si>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</si>
  <si>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</si>
  <si>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</si>
  <si>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</si>
  <si>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</si>
  <si>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</si>
  <si>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</si>
  <si>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</si>
  <si>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</si>
  <si>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</si>
  <si>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</si>
  <si>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</si>
  <si>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</si>
  <si>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</si>
  <si>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</si>
  <si>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</si>
  <si>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</si>
  <si>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</si>
  <si>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</si>
  <si>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</si>
  <si>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</si>
  <si>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</si>
  <si>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</si>
  <si>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</si>
  <si>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</si>
  <si>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</si>
  <si>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</si>
  <si>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</si>
  <si>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</si>
  <si>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</si>
  <si>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</si>
  <si>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</si>
  <si>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</si>
  <si>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</si>
  <si>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</si>
  <si>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</si>
  <si>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</si>
  <si>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</si>
  <si>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</si>
  <si>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</si>
  <si>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</si>
  <si>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</si>
  <si>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</si>
  <si>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</si>
  <si>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</si>
  <si>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</si>
  <si>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</si>
  <si>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</si>
  <si>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</si>
  <si>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</si>
  <si>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</si>
  <si>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</si>
  <si>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</si>
  <si>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</si>
  <si>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</si>
  <si>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</si>
  <si>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</si>
  <si>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</si>
  <si>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</si>
  <si>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</si>
  <si>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</si>
  <si>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</si>
  <si>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</si>
  <si>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</si>
  <si>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</si>
  <si>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</si>
  <si>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</si>
  <si>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</si>
  <si>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</si>
  <si>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</si>
  <si>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</si>
  <si>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</si>
  <si>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</si>
  <si>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</si>
  <si>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</si>
  <si>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</si>
  <si>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</si>
  <si>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</si>
  <si>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</si>
  <si>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</si>
  <si>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</si>
  <si>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</si>
  <si>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</si>
  <si>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</si>
  <si>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</si>
  <si>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</si>
  <si>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</si>
  <si>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</si>
  <si>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</si>
  <si>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</si>
  <si>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</si>
  <si>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</si>
  <si>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</si>
  <si>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</si>
  <si>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</si>
  <si>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</si>
  <si>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</si>
  <si>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</si>
  <si>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</si>
  <si>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</si>
  <si>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</si>
  <si>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</si>
  <si>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</si>
  <si>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</si>
  <si>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</si>
  <si>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</si>
  <si>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</si>
  <si>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</si>
  <si>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</si>
  <si>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</si>
  <si>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</si>
  <si>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</si>
  <si>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</si>
  <si>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</si>
  <si>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</si>
  <si>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</si>
  <si>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</si>
  <si>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</si>
  <si>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</si>
  <si>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</si>
  <si>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</si>
  <si>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</si>
  <si>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</si>
  <si>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</si>
  <si>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</si>
  <si>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</si>
  <si>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</si>
  <si>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</si>
  <si>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</si>
  <si>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</si>
  <si>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</si>
  <si>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</si>
  <si>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</si>
  <si>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</si>
  <si>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</si>
  <si>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</si>
  <si>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</si>
  <si>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</si>
  <si>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</si>
  <si>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</si>
  <si>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</si>
  <si>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</si>
  <si>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</si>
  <si>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</si>
  <si>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</si>
  <si>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</si>
  <si>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</si>
  <si>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</si>
  <si>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</si>
  <si>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</si>
  <si>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</si>
  <si>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</si>
  <si>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</si>
  <si>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</si>
  <si>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</si>
  <si>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</si>
  <si>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</si>
  <si>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</si>
  <si>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</si>
  <si>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</si>
  <si>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</si>
  <si>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</si>
  <si>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</si>
  <si>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</si>
  <si>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</si>
  <si>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</si>
  <si>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</si>
  <si>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</si>
  <si>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</si>
  <si>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</si>
  <si>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</si>
  <si>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</si>
  <si>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</si>
  <si>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</si>
  <si>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</si>
  <si>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</si>
  <si>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</si>
  <si>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</si>
  <si>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</si>
  <si>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</si>
  <si>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</si>
  <si>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</si>
  <si>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</si>
  <si>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</si>
  <si>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</si>
  <si>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</si>
  <si>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</si>
  <si>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</si>
  <si>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</si>
  <si>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</si>
  <si>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</si>
  <si>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</si>
  <si>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</si>
  <si>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</si>
  <si>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</si>
  <si>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</si>
  <si>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</si>
  <si>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</si>
  <si>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</si>
  <si>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</si>
  <si>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</si>
  <si>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</si>
  <si>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</si>
  <si>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</si>
  <si>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</si>
  <si>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</si>
  <si>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</si>
  <si>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</si>
  <si>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</si>
  <si>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</si>
  <si>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</si>
  <si>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</si>
  <si>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</si>
  <si>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</si>
  <si>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</si>
  <si>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</si>
  <si>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</si>
  <si>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</si>
  <si>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</si>
  <si>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</si>
  <si>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</si>
  <si>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</si>
  <si>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</si>
  <si>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</si>
  <si>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</si>
  <si>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</si>
  <si>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</si>
  <si>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</si>
  <si>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</si>
  <si>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</si>
  <si>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</si>
  <si>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</si>
  <si>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</si>
  <si>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</si>
  <si>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</si>
  <si>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</si>
  <si>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</si>
  <si>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</si>
  <si>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</si>
  <si>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</si>
  <si>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</si>
  <si>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</si>
  <si>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</si>
  <si>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</si>
  <si>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</si>
  <si>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</si>
  <si>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</si>
  <si>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</si>
  <si>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</si>
  <si>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</si>
  <si>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</si>
  <si>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</si>
  <si>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</si>
  <si>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</si>
  <si>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</si>
  <si>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</si>
  <si>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</si>
  <si>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</si>
  <si>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</si>
  <si>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</si>
  <si>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</si>
  <si>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</si>
  <si>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</si>
  <si>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</si>
  <si>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</si>
  <si>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</si>
  <si>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</si>
  <si>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</si>
  <si>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</si>
  <si>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</si>
  <si>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</si>
  <si>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</si>
  <si>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</si>
  <si>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</si>
  <si>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</si>
  <si>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</si>
  <si>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</si>
  <si>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</si>
  <si>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</si>
  <si>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</si>
  <si>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</si>
  <si>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</si>
  <si>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</si>
  <si>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</si>
  <si>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</si>
  <si>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</si>
  <si>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</si>
  <si>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</si>
  <si>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</si>
  <si>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</si>
  <si>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</si>
  <si>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</si>
  <si>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</si>
  <si>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</si>
  <si>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</si>
  <si>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</si>
  <si>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</si>
  <si>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</si>
  <si>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</si>
  <si>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</si>
  <si>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</si>
  <si>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</si>
  <si>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</si>
  <si>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</si>
  <si>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</si>
  <si>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</si>
  <si>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</si>
  <si>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</si>
  <si>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</si>
  <si>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</si>
  <si>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</si>
  <si>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</si>
  <si>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</si>
  <si>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</si>
  <si>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</si>
  <si>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</si>
  <si>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</si>
  <si>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</si>
  <si>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</si>
  <si>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</si>
  <si>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</si>
  <si>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</si>
  <si>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</si>
  <si>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</si>
  <si>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</si>
  <si>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</si>
  <si>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</si>
  <si>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</si>
  <si>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</si>
  <si>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</si>
  <si>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</si>
  <si>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</si>
  <si>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</si>
  <si>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</si>
  <si>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</si>
  <si>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</si>
  <si>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</si>
  <si>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</si>
  <si>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</si>
  <si>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</si>
  <si>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</si>
  <si>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</si>
  <si>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</si>
  <si>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</si>
  <si>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</si>
  <si>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</si>
  <si>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</si>
  <si>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</si>
  <si>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</si>
  <si>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</si>
  <si>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</si>
  <si>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</si>
  <si>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</si>
  <si>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</si>
  <si>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</si>
  <si>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</si>
  <si>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</si>
  <si>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</si>
  <si>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</si>
  <si>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</si>
  <si>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</si>
  <si>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</si>
  <si>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</si>
  <si>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</si>
  <si>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</si>
  <si>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</si>
  <si>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</si>
  <si>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</si>
  <si>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</si>
  <si>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</si>
  <si>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</si>
  <si>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</si>
  <si>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</si>
  <si>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</si>
  <si>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</si>
  <si>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</si>
  <si>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</si>
  <si>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</si>
  <si>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</si>
  <si>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</si>
  <si>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</si>
  <si>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</si>
  <si>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</si>
  <si>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</si>
  <si>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</si>
  <si>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</si>
  <si>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</si>
  <si>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</si>
  <si>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</si>
  <si>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</si>
  <si>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</si>
  <si>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</si>
  <si>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</si>
  <si>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</si>
  <si>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</si>
  <si>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</si>
  <si>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</si>
  <si>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</si>
  <si>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</si>
  <si>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</si>
  <si>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</si>
  <si>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</si>
  <si>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</si>
  <si>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</si>
  <si>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</si>
  <si>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</si>
  <si>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</si>
  <si>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</si>
  <si>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</si>
  <si>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</si>
  <si>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</si>
  <si>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</si>
  <si>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</si>
  <si>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</si>
  <si>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</si>
  <si>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</si>
  <si>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</si>
  <si>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</si>
  <si>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</si>
  <si>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</si>
  <si>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</si>
  <si>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</si>
  <si>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</si>
  <si>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</si>
  <si>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</si>
  <si>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</si>
  <si>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</si>
  <si>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</si>
  <si>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</si>
  <si>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</si>
  <si>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</si>
  <si>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</si>
  <si>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</si>
  <si>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</si>
  <si>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</si>
  <si>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</si>
  <si>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</si>
  <si>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</si>
  <si>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</si>
  <si>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</si>
  <si>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</si>
  <si>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</si>
  <si>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</si>
  <si>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</si>
  <si>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</si>
  <si>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</si>
  <si>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</si>
  <si>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</si>
  <si>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</si>
  <si>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</si>
  <si>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</si>
  <si>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</si>
  <si>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</si>
  <si>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</si>
  <si>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</si>
  <si>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</si>
  <si>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</si>
  <si>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</si>
  <si>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</si>
  <si>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</si>
  <si>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</si>
  <si>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</si>
  <si>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</si>
  <si>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</si>
  <si>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</si>
  <si>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</si>
  <si>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</si>
  <si>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</si>
  <si>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</si>
  <si>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</si>
  <si>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</si>
  <si>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</si>
  <si>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</si>
  <si>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</si>
  <si>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</si>
  <si>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</si>
  <si>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</si>
  <si>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</si>
  <si>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</si>
  <si>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</si>
  <si>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</si>
  <si>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</si>
  <si>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</si>
  <si>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</si>
  <si>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</si>
  <si>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</si>
  <si>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</si>
  <si>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</si>
  <si>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</si>
  <si>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</si>
  <si>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</si>
  <si>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</si>
  <si>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</si>
  <si>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</si>
  <si>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</si>
  <si>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</si>
  <si>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</si>
  <si>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</si>
  <si>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</si>
  <si>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</si>
  <si>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</si>
  <si>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</si>
  <si>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</si>
  <si>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</si>
  <si>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</si>
  <si>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</si>
  <si>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</si>
  <si>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</si>
  <si>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</si>
  <si>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</si>
  <si>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</si>
  <si>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</si>
  <si>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</si>
  <si>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</si>
  <si>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</si>
  <si>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</si>
  <si>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</si>
  <si>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</si>
  <si>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</si>
  <si>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</si>
  <si>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</si>
  <si>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</si>
  <si>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</si>
  <si>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</si>
  <si>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</si>
  <si>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</si>
  <si>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</si>
  <si>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</si>
  <si>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</si>
  <si>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</si>
  <si>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</si>
  <si>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</si>
  <si>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</si>
  <si>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</si>
  <si>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</si>
  <si>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</si>
  <si>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</si>
  <si>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</si>
  <si>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</si>
  <si>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</si>
  <si>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</si>
  <si>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</si>
  <si>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</si>
  <si>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</si>
  <si>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</si>
  <si>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</si>
  <si>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</si>
  <si>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</si>
  <si>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</si>
  <si>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</si>
  <si>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</si>
  <si>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</si>
  <si>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</si>
  <si>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</si>
  <si>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</si>
  <si>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</si>
  <si>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</si>
  <si>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</si>
  <si>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</si>
  <si>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</si>
  <si>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</si>
  <si>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</si>
  <si>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</si>
  <si>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</si>
  <si>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</si>
  <si>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</si>
  <si>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</si>
  <si>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</si>
  <si>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</si>
  <si>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</si>
  <si>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</si>
  <si>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</si>
  <si>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</si>
  <si>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</si>
  <si>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</si>
  <si>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</si>
  <si>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</si>
  <si>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</si>
  <si>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</si>
  <si>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</si>
  <si>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</si>
  <si>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</si>
  <si>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</si>
  <si>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</si>
  <si>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</si>
  <si>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</si>
  <si>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</si>
  <si>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</si>
  <si>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</si>
  <si>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</si>
  <si>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</si>
  <si>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</si>
  <si>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</si>
  <si>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</si>
  <si>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</si>
  <si>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</si>
  <si>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</si>
  <si>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</si>
  <si>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</si>
  <si>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</si>
  <si>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</si>
  <si>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</si>
  <si>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</si>
  <si>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</si>
  <si>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</si>
  <si>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</si>
  <si>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</si>
  <si>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</si>
  <si>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</si>
  <si>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</si>
  <si>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</si>
  <si>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</si>
  <si>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</si>
  <si>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</si>
  <si>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</si>
  <si>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</si>
  <si>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</si>
  <si>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</si>
  <si>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</si>
  <si>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</si>
  <si>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</si>
  <si>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</si>
  <si>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</si>
  <si>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</si>
  <si>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</si>
  <si>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</si>
  <si>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</si>
  <si>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</si>
  <si>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</si>
  <si>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</si>
  <si>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</si>
  <si>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</si>
  <si>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</si>
  <si>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</si>
  <si>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</si>
  <si>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</si>
  <si>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</si>
  <si>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</si>
  <si>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</si>
  <si>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</si>
  <si>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</si>
  <si>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</si>
  <si>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</si>
  <si>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</si>
  <si>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</si>
  <si>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</si>
  <si>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</si>
  <si>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</si>
  <si>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</si>
  <si>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</si>
  <si>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</si>
  <si>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</si>
  <si>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</si>
  <si>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</si>
  <si>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</si>
  <si>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</si>
  <si>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</si>
  <si>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</si>
  <si>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</si>
  <si>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</si>
  <si>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</si>
  <si>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</si>
  <si>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</si>
  <si>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</si>
  <si>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</si>
  <si>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</si>
  <si>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</si>
  <si>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</si>
  <si>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</si>
  <si>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</si>
  <si>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</si>
  <si>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</si>
  <si>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</si>
  <si>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</si>
  <si>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</si>
  <si>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</si>
  <si>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</si>
  <si>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</si>
  <si>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</si>
  <si>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</si>
  <si>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</si>
  <si>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</si>
  <si>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</si>
  <si>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</si>
  <si>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</si>
  <si>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</si>
  <si>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</si>
  <si>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</si>
  <si>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</si>
  <si>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</si>
  <si>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</si>
  <si>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</si>
  <si>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</si>
  <si>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</si>
  <si>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</si>
  <si>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</si>
  <si>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</si>
  <si>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</si>
  <si>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</si>
  <si>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</si>
  <si>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</si>
  <si>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</si>
  <si>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</si>
  <si>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</si>
  <si>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</si>
  <si>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</si>
  <si>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</si>
  <si>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</si>
  <si>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</si>
  <si>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</si>
  <si>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</si>
  <si>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</si>
  <si>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</si>
  <si>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</si>
  <si>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</si>
  <si>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</si>
  <si>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</si>
  <si>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</si>
  <si>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</si>
  <si>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</si>
  <si>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</si>
  <si>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</si>
  <si>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</si>
  <si>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</si>
  <si>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</si>
  <si>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</si>
  <si>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</si>
  <si>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</si>
  <si>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</si>
  <si>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</si>
  <si>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</si>
  <si>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</si>
  <si>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</si>
  <si>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</si>
  <si>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</si>
  <si>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</si>
  <si>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</si>
  <si>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</si>
  <si>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</si>
  <si>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</si>
  <si>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</si>
  <si>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</si>
  <si>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</si>
  <si>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</si>
  <si>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</si>
  <si>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</si>
  <si>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</si>
  <si>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</si>
  <si>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</si>
  <si>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</si>
  <si>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</si>
  <si>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</si>
  <si>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</si>
  <si>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</si>
  <si>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</si>
  <si>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</si>
  <si>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</si>
  <si>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</si>
  <si>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</si>
  <si>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</si>
  <si>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</si>
  <si>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</si>
  <si>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</si>
  <si>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</si>
  <si>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</si>
  <si>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</si>
  <si>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</si>
  <si>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</si>
  <si>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</si>
  <si>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</si>
  <si>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</si>
  <si>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</si>
  <si>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</si>
  <si>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</si>
  <si>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</si>
  <si>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</si>
  <si>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</si>
  <si>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</si>
  <si>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</si>
  <si>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</si>
  <si>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</si>
  <si>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</si>
  <si>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</si>
  <si>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</si>
  <si>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</si>
  <si>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</si>
  <si>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</si>
  <si>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</si>
  <si>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</si>
  <si>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</si>
  <si>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</si>
  <si>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</si>
  <si>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</si>
  <si>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</si>
  <si>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</si>
  <si>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</si>
  <si>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</si>
  <si>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</si>
  <si>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</si>
  <si>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</si>
  <si>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</si>
  <si>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</si>
  <si>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</si>
  <si>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</si>
  <si>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</si>
  <si>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</si>
  <si>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</si>
  <si>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</si>
  <si>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</si>
  <si>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</si>
  <si>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</si>
  <si>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</si>
  <si>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</si>
  <si>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</si>
  <si>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</si>
  <si>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</si>
  <si>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</si>
  <si>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</si>
  <si>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</si>
  <si>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</si>
  <si>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</si>
  <si>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</si>
  <si>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</si>
  <si>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</si>
  <si>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</si>
  <si>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</si>
  <si>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</si>
  <si>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</si>
  <si>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</si>
  <si>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</si>
  <si>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</si>
  <si>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</si>
  <si>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</si>
  <si>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</si>
  <si>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</si>
  <si>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</si>
  <si>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</si>
  <si>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</si>
  <si>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</si>
  <si>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</si>
  <si>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</si>
  <si>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</si>
  <si>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</si>
  <si>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</si>
  <si>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</si>
  <si>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</si>
  <si>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</si>
  <si>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</si>
  <si>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</si>
  <si>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</si>
  <si>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</si>
  <si>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</si>
  <si>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</si>
  <si>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</si>
  <si>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</si>
  <si>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</si>
  <si>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</si>
  <si>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</si>
  <si>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</si>
  <si>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</si>
  <si>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</si>
  <si>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</si>
  <si>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</si>
  <si>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</si>
  <si>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</si>
  <si>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</si>
  <si>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</si>
  <si>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</si>
  <si>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</si>
  <si>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</si>
  <si>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</si>
  <si>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</si>
  <si>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</si>
  <si>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</si>
  <si>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</si>
  <si>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</si>
  <si>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</si>
  <si>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</si>
  <si>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</si>
  <si>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</si>
  <si>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</si>
  <si>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</si>
  <si>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</si>
  <si>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</si>
  <si>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</si>
  <si>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</si>
  <si>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</si>
  <si>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</si>
  <si>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</si>
  <si>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</si>
  <si>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</si>
  <si>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</si>
  <si>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</si>
  <si>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</si>
  <si>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</si>
  <si>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</si>
  <si>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</si>
  <si>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</si>
  <si>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</si>
  <si>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</si>
  <si>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</si>
  <si>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</si>
  <si>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</si>
  <si>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</si>
  <si>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</si>
  <si>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</si>
  <si>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</si>
  <si>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</si>
  <si>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</si>
  <si>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</si>
  <si>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</si>
  <si>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</si>
  <si>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</si>
  <si>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</si>
  <si>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</si>
  <si>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</si>
  <si>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</si>
  <si>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</si>
  <si>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</si>
  <si>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</si>
  <si>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</si>
  <si>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</si>
  <si>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</si>
  <si>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</si>
  <si>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</si>
  <si>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</si>
  <si>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</si>
  <si>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</si>
  <si>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</si>
  <si>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</si>
  <si>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</si>
  <si>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</si>
  <si>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</si>
  <si>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</si>
  <si>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</si>
  <si>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</si>
  <si>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</si>
  <si>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</si>
  <si>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</si>
  <si>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</si>
  <si>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</si>
  <si>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</si>
  <si>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</si>
  <si>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</si>
  <si>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</si>
  <si>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</si>
  <si>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</si>
  <si>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</si>
  <si>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</si>
  <si>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</si>
  <si>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</si>
  <si>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</si>
  <si>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</si>
  <si>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</si>
  <si>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</si>
  <si>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</si>
  <si>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</si>
  <si>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</si>
  <si>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</si>
  <si>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</si>
  <si>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</si>
  <si>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</si>
  <si>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</si>
  <si>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</si>
  <si>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</si>
  <si>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</si>
  <si>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</si>
  <si>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</si>
  <si>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</si>
  <si>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</si>
  <si>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</si>
  <si>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</si>
  <si>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</si>
  <si>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</si>
  <si>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</si>
  <si>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</si>
  <si>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</si>
  <si>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</si>
  <si>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</si>
  <si>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</si>
  <si>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</si>
  <si>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</si>
  <si>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</si>
  <si>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</si>
  <si>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</si>
  <si>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</si>
  <si>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</si>
  <si>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</si>
  <si>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</si>
  <si>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</si>
  <si>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</si>
  <si>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</si>
  <si>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</si>
  <si>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</si>
  <si>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</si>
  <si>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</si>
  <si>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</si>
  <si>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</si>
  <si>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</si>
  <si>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</si>
  <si>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</si>
  <si>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</si>
  <si>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</si>
  <si>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</si>
  <si>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</si>
  <si>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</si>
  <si>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</si>
  <si>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</si>
  <si>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</si>
  <si>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</si>
  <si>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</si>
  <si>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</si>
  <si>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</si>
  <si>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</si>
  <si>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</si>
  <si>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</si>
  <si>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</si>
  <si>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</si>
  <si>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</si>
  <si>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</si>
  <si>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</si>
  <si>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</si>
  <si>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</si>
  <si>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</si>
  <si>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</si>
  <si>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</si>
  <si>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</si>
  <si>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</si>
  <si>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</si>
  <si>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</si>
  <si>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</si>
  <si>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</si>
  <si>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</si>
  <si>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</si>
  <si>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</si>
  <si>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</si>
  <si>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</si>
  <si>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</si>
  <si>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</si>
  <si>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</si>
  <si>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</si>
  <si>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</si>
  <si>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</si>
  <si>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</si>
  <si>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</si>
  <si>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</si>
  <si>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</si>
  <si>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</si>
  <si>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</si>
  <si>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</si>
  <si>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</si>
  <si>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</si>
  <si>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</si>
  <si>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</si>
  <si>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</si>
  <si>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</si>
  <si>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</si>
  <si>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</si>
  <si>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</si>
  <si>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</si>
  <si>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</si>
  <si>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</si>
  <si>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</si>
  <si>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</si>
  <si>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</si>
  <si>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</si>
  <si>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</si>
  <si>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</si>
  <si>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</si>
  <si>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</si>
  <si>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</si>
  <si>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</si>
  <si>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</si>
  <si>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</si>
  <si>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</si>
  <si>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</si>
  <si>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</si>
  <si>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</si>
  <si>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</si>
  <si>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</si>
  <si>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</si>
  <si>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</si>
  <si>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</si>
  <si>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</si>
  <si>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</si>
  <si>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</si>
  <si>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</si>
  <si>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</si>
  <si>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</si>
  <si>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</si>
  <si>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</si>
  <si>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</si>
  <si>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</si>
  <si>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</si>
  <si>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</si>
  <si>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</si>
  <si>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</si>
  <si>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</si>
  <si>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</si>
  <si>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</si>
  <si>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</si>
  <si>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</si>
  <si>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</si>
  <si>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</si>
  <si>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</si>
  <si>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</si>
  <si>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</si>
  <si>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</si>
  <si>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</si>
  <si>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</si>
  <si>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</si>
  <si>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</si>
  <si>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</si>
  <si>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</si>
  <si>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</si>
  <si>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</si>
  <si>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</si>
  <si>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</si>
  <si>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</si>
  <si>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</si>
  <si>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</si>
  <si>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</si>
  <si>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</si>
  <si>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</si>
  <si>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</si>
  <si>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</si>
  <si>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</si>
  <si>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</si>
  <si>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</si>
  <si>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</si>
  <si>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</si>
  <si>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</si>
  <si>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</si>
  <si>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</si>
  <si>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</si>
  <si>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</si>
  <si>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</si>
  <si>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</si>
  <si>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</si>
  <si>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</si>
  <si>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</si>
  <si>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</si>
  <si>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</si>
  <si>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</si>
  <si>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</si>
  <si>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</si>
  <si>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</si>
  <si>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</si>
  <si>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</si>
  <si>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</si>
  <si>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</si>
  <si>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</si>
  <si>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</si>
  <si>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</si>
  <si>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</si>
  <si>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</si>
  <si>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</si>
  <si>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</si>
  <si>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</si>
  <si>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</si>
  <si>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</si>
  <si>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</si>
  <si>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</si>
  <si>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</si>
  <si>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</si>
  <si>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</si>
  <si>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</si>
  <si>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</si>
  <si>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</si>
  <si>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</si>
  <si>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</si>
  <si>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</si>
  <si>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</si>
  <si>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</si>
  <si>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</si>
  <si>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</si>
  <si>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</si>
  <si>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</si>
  <si>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</si>
  <si>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</si>
  <si>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</si>
  <si>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</si>
  <si>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</si>
  <si>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</si>
  <si>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</si>
  <si>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</si>
  <si>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</si>
  <si>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</si>
  <si>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</si>
  <si>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</si>
  <si>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</si>
  <si>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</si>
  <si>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</si>
  <si>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</si>
  <si>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</si>
  <si>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</si>
  <si>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</si>
  <si>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</si>
  <si>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</si>
  <si>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</si>
  <si>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</si>
  <si>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</si>
  <si>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</si>
  <si>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</si>
  <si>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</si>
  <si>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</si>
  <si>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</si>
  <si>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</si>
  <si>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</si>
  <si>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</si>
  <si>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</si>
  <si>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</si>
  <si>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</si>
  <si>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</si>
  <si>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</si>
  <si>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</si>
  <si>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</si>
  <si>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</si>
  <si>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</si>
  <si>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</si>
  <si>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</si>
  <si>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</si>
  <si>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</si>
  <si>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</si>
  <si>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</si>
  <si>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</si>
  <si>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</si>
  <si>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</si>
  <si>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</si>
  <si>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</si>
  <si>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</si>
  <si>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</si>
  <si>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</si>
  <si>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</si>
  <si>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</si>
  <si>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</si>
  <si>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</si>
  <si>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</si>
  <si>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</si>
  <si>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</si>
  <si>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</si>
  <si>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</si>
  <si>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</si>
  <si>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</si>
  <si>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</si>
  <si>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</si>
  <si>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</si>
  <si>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</si>
  <si>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</si>
  <si>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</si>
  <si>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</si>
  <si>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</si>
  <si>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</si>
  <si>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</si>
  <si>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</si>
  <si>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</si>
  <si>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</si>
  <si>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</si>
  <si>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</si>
  <si>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</si>
  <si>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</si>
  <si>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</si>
  <si>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</si>
  <si>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</si>
  <si>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</si>
  <si>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</si>
  <si>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</si>
  <si>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</si>
  <si>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</si>
  <si>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</si>
  <si>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</si>
  <si>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</si>
  <si>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</si>
  <si>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</si>
  <si>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</si>
  <si>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</si>
  <si>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</si>
  <si>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</si>
  <si>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</si>
  <si>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</si>
  <si>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</si>
  <si>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</si>
  <si>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</si>
  <si>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</si>
  <si>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</si>
  <si>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</si>
  <si>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</si>
  <si>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</si>
  <si>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</si>
  <si>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</si>
  <si>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</si>
  <si>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</si>
  <si>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</si>
  <si>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</si>
  <si>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</si>
  <si>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</si>
  <si>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</si>
  <si>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</si>
  <si>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</si>
  <si>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</si>
  <si>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</si>
  <si>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</si>
  <si>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</si>
  <si>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</si>
  <si>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</si>
  <si>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</si>
  <si>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</si>
  <si>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</si>
  <si>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</si>
  <si>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</si>
  <si>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</si>
  <si>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</si>
  <si>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</si>
  <si>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</si>
  <si>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</si>
  <si>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</si>
  <si>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</si>
  <si>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</si>
  <si>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</si>
  <si>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</si>
  <si>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</si>
  <si>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</si>
  <si>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</si>
  <si>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</si>
  <si>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</si>
  <si>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</si>
  <si>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</si>
  <si>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</si>
  <si>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</si>
  <si>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</si>
  <si>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</si>
  <si>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</si>
  <si>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</si>
  <si>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</si>
  <si>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</si>
  <si>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</si>
  <si>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</si>
  <si>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</si>
  <si>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</si>
  <si>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</si>
  <si>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</si>
  <si>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</si>
  <si>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</si>
  <si>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</si>
  <si>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</si>
  <si>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</si>
  <si>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</si>
  <si>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</si>
  <si>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</si>
  <si>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</si>
  <si>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</si>
  <si>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</si>
  <si>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</si>
  <si>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</si>
  <si>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</si>
  <si>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</si>
  <si>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</si>
  <si>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</si>
  <si>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</si>
  <si>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</si>
  <si>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</si>
  <si>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</si>
  <si>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</si>
  <si>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</si>
  <si>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</si>
  <si>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</si>
  <si>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</si>
  <si>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</si>
  <si>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</si>
  <si>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</si>
  <si>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</si>
  <si>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</si>
  <si>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</si>
  <si>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</si>
  <si>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</si>
  <si>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</si>
  <si>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</si>
  <si>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</si>
  <si>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</si>
  <si>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</si>
  <si>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</si>
  <si>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</si>
  <si>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</si>
  <si>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</si>
  <si>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</si>
  <si>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</si>
  <si>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</si>
  <si>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</si>
  <si>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</si>
  <si>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</si>
  <si>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</si>
  <si>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</si>
  <si>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</si>
  <si>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</si>
  <si>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</si>
  <si>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</si>
  <si>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</si>
  <si>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</si>
  <si>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</si>
  <si>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</si>
  <si>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</si>
  <si>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</si>
  <si>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</si>
  <si>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</si>
  <si>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</si>
  <si>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</si>
  <si>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</si>
  <si>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</si>
  <si>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</si>
  <si>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</si>
  <si>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</si>
  <si>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</si>
  <si>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</si>
  <si>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</si>
  <si>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</si>
  <si>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</si>
  <si>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</si>
  <si>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</si>
  <si>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</si>
  <si>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</si>
  <si>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</si>
  <si>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</si>
  <si>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</si>
  <si>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</si>
  <si>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</si>
  <si>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</si>
  <si>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</si>
  <si>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</si>
  <si>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</si>
  <si>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</si>
  <si>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</si>
  <si>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</si>
  <si>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</si>
  <si>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</si>
  <si>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</si>
  <si>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</si>
  <si>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</si>
  <si>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</si>
  <si>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</si>
  <si>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</si>
  <si>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</si>
  <si>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</si>
  <si>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</si>
  <si>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</si>
  <si>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</si>
  <si>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</si>
  <si>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</si>
  <si>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</si>
  <si>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</si>
  <si>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</si>
  <si>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</si>
  <si>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</si>
  <si>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</si>
  <si>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</si>
  <si>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</si>
  <si>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</si>
  <si>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</si>
  <si>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</si>
  <si>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</si>
  <si>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</si>
  <si>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</si>
  <si>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</si>
  <si>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</si>
  <si>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</si>
  <si>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</si>
  <si>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</si>
  <si>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</si>
  <si>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</si>
  <si>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</si>
  <si>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</si>
  <si>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</si>
  <si>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</si>
  <si>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</si>
  <si>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</si>
  <si>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</si>
  <si>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</si>
  <si>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</si>
  <si>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</si>
  <si>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</si>
  <si>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</si>
  <si>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</si>
  <si>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</si>
  <si>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</si>
  <si>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</si>
  <si>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</si>
  <si>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*ST达曼</t>
  </si>
  <si>
    <t>www.lixinger.com/analytics/company/sh/600788/600788/detail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</si>
  <si>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</si>
  <si>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</si>
  <si>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</si>
  <si>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</si>
  <si>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</si>
  <si>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</si>
  <si>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</si>
  <si>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</si>
  <si>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</si>
  <si>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</si>
  <si>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</si>
  <si>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</si>
  <si>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</si>
  <si>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</si>
  <si>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</si>
  <si>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</si>
  <si>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</si>
  <si>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</si>
  <si>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</si>
  <si>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</si>
  <si>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</si>
  <si>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</si>
  <si>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</si>
  <si>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</si>
  <si>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</si>
  <si>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</si>
  <si>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</si>
  <si>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</si>
  <si>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</si>
  <si>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</si>
  <si>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</si>
  <si>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</si>
  <si>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</si>
  <si>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</si>
  <si>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</si>
  <si>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</si>
  <si>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</si>
  <si>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</si>
  <si>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</si>
  <si>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</si>
  <si>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</si>
  <si>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</si>
  <si>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</si>
  <si>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</si>
  <si>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</si>
  <si>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</si>
  <si>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</si>
  <si>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</si>
  <si>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</si>
  <si>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</si>
  <si>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</si>
  <si>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</si>
  <si>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</si>
  <si>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</si>
  <si>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</si>
  <si>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</si>
  <si>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</si>
  <si>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</si>
  <si>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</si>
  <si>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</si>
  <si>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</si>
  <si>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</si>
  <si>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</si>
  <si>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</si>
  <si>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</si>
  <si>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</si>
  <si>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</si>
  <si>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</si>
  <si>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</si>
  <si>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</si>
  <si>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</si>
  <si>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</si>
  <si>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</si>
  <si>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</si>
  <si>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</si>
  <si>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</si>
  <si>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</si>
  <si>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</si>
  <si>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</si>
  <si>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</si>
  <si>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</si>
  <si>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</si>
  <si>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</si>
  <si>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</si>
  <si>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</si>
  <si>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</si>
  <si>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</si>
  <si>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</si>
  <si>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</si>
  <si>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</si>
  <si>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</si>
  <si>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</si>
  <si>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</si>
  <si>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</si>
  <si>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</si>
  <si>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</si>
  <si>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</si>
  <si>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</si>
  <si>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</si>
  <si>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</si>
  <si>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</si>
  <si>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</si>
  <si>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</si>
  <si>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</si>
  <si>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</si>
  <si>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</si>
  <si>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</si>
  <si>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</si>
  <si>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</si>
  <si>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</si>
  <si>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</si>
  <si>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</si>
  <si>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</si>
  <si>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</si>
  <si>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</si>
  <si>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</si>
  <si>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</si>
  <si>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</si>
  <si>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</si>
  <si>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</si>
  <si>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</si>
  <si>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</si>
  <si>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</si>
  <si>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</si>
  <si>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</si>
  <si>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</si>
  <si>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</si>
  <si>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</si>
  <si>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</si>
  <si>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</si>
  <si>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</si>
  <si>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</si>
  <si>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</si>
  <si>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</si>
  <si>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</si>
  <si>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</si>
  <si>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</si>
  <si>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</si>
  <si>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</si>
  <si>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</si>
  <si>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</si>
  <si>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</si>
  <si>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</si>
  <si>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</si>
  <si>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</si>
  <si>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</si>
  <si>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</si>
  <si>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</si>
  <si>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</si>
  <si>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</si>
  <si>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</si>
  <si>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</si>
  <si>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</si>
  <si>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</si>
  <si>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</si>
  <si>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</si>
  <si>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</si>
  <si>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</si>
  <si>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</si>
  <si>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</si>
  <si>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</si>
  <si>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</si>
  <si>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</si>
  <si>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</si>
  <si>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</si>
  <si>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</si>
  <si>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</si>
  <si>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</si>
  <si>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</si>
  <si>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</si>
  <si>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</si>
  <si>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</si>
  <si>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</si>
  <si>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</si>
  <si>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</si>
  <si>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</si>
  <si>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</si>
  <si>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</si>
  <si>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</si>
  <si>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</si>
  <si>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</si>
  <si>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</si>
  <si>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</si>
  <si>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</si>
  <si>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</si>
  <si>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</si>
  <si>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</si>
  <si>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</si>
  <si>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</si>
  <si>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</si>
  <si>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</si>
  <si>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</si>
  <si>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</si>
  <si>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</si>
  <si>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</si>
  <si>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</si>
  <si>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</si>
  <si>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</si>
  <si>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</si>
  <si>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</si>
  <si>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</si>
  <si>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</si>
  <si>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</si>
  <si>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</si>
  <si>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</si>
  <si>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</si>
  <si>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</si>
  <si>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</si>
  <si>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</si>
  <si>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</si>
  <si>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</si>
  <si>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</si>
  <si>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</si>
  <si>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</si>
  <si>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</si>
  <si>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</si>
  <si>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</si>
  <si>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</si>
  <si>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</si>
  <si>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</si>
  <si>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</si>
  <si>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</si>
  <si>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</si>
  <si>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</si>
  <si>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</si>
  <si>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</si>
  <si>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</si>
  <si>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</si>
  <si>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</si>
  <si>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</si>
  <si>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</si>
  <si>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</si>
  <si>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</si>
  <si>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</si>
  <si>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</si>
  <si>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</si>
  <si>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</si>
  <si>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</si>
  <si>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</si>
  <si>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</si>
  <si>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</si>
  <si>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</si>
  <si>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</si>
  <si>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</si>
  <si>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</si>
  <si>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</si>
  <si>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</si>
  <si>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</si>
  <si>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</si>
  <si>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</si>
  <si>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</si>
  <si>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</si>
  <si>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</si>
  <si>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</si>
  <si>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</si>
  <si>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</si>
  <si>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</si>
  <si>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</si>
  <si>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</si>
  <si>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</si>
  <si>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</si>
  <si>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</si>
  <si>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</si>
  <si>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</si>
  <si>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</si>
  <si>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</si>
  <si>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</si>
  <si>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</si>
  <si>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</si>
  <si>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</si>
  <si>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</si>
  <si>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</si>
  <si>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</si>
  <si>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</si>
  <si>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</si>
  <si>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</si>
  <si>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</si>
  <si>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</si>
  <si>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</si>
  <si>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</si>
  <si>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</si>
  <si>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</si>
  <si>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</si>
  <si>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</si>
  <si>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</si>
  <si>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</si>
  <si>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</si>
  <si>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</si>
  <si>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</si>
  <si>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</si>
  <si>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</si>
  <si>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</si>
  <si>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</si>
  <si>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</si>
  <si>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</si>
  <si>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</si>
  <si>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</si>
  <si>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</si>
  <si>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</si>
  <si>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</si>
  <si>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</si>
  <si>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</si>
  <si>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</si>
  <si>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</si>
  <si>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</si>
  <si>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</si>
  <si>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</si>
  <si>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</si>
  <si>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</si>
  <si>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</si>
  <si>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</si>
  <si>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</si>
  <si>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</si>
  <si>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</si>
  <si>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</si>
  <si>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</si>
  <si>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</si>
  <si>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</si>
  <si>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</si>
  <si>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</si>
  <si>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</si>
  <si>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</si>
  <si>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</si>
  <si>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</si>
  <si>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</si>
  <si>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</si>
  <si>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</si>
  <si>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</si>
  <si>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</si>
  <si>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</si>
  <si>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</si>
  <si>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</si>
  <si>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</si>
  <si>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</si>
  <si>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</si>
  <si>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</si>
  <si>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</si>
  <si>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</si>
  <si>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</si>
  <si>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</si>
  <si>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</si>
  <si>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</si>
  <si>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</si>
  <si>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</si>
  <si>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</si>
  <si>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</si>
  <si>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</si>
  <si>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</si>
  <si>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</si>
  <si>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</si>
  <si>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</si>
  <si>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</si>
  <si>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</si>
  <si>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</si>
  <si>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</si>
  <si>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</si>
  <si>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</si>
  <si>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</si>
  <si>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</si>
  <si>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</si>
  <si>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</si>
  <si>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</si>
  <si>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</si>
  <si>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</si>
  <si>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</si>
  <si>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</si>
  <si>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</si>
  <si>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</si>
  <si>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</si>
  <si>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</si>
  <si>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</si>
  <si>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</si>
  <si>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</si>
  <si>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</si>
  <si>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</si>
  <si>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</si>
  <si>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</si>
  <si>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</si>
  <si>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</si>
  <si>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</si>
  <si>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</si>
  <si>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</si>
  <si>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</si>
  <si>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</si>
  <si>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</si>
  <si>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</si>
  <si>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</si>
  <si>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</si>
  <si>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</si>
  <si>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</si>
  <si>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</si>
  <si>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</si>
  <si>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</si>
  <si>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</si>
  <si>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</si>
  <si>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</si>
  <si>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</si>
  <si>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</si>
  <si>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</si>
  <si>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</si>
  <si>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</si>
  <si>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</si>
  <si>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</si>
  <si>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</si>
  <si>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</si>
  <si>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</si>
  <si>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</si>
  <si>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</si>
  <si>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</si>
  <si>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</si>
  <si>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</si>
  <si>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</si>
  <si>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</si>
  <si>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</si>
  <si>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</si>
  <si>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</si>
  <si>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</si>
  <si>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</si>
  <si>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</si>
  <si>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</si>
  <si>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</si>
  <si>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</si>
  <si>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</si>
  <si>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</si>
  <si>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</si>
  <si>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</si>
  <si>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</si>
  <si>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</si>
  <si>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</si>
  <si>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</si>
  <si>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</si>
  <si>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</si>
  <si>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</si>
  <si>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</si>
  <si>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</si>
  <si>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</si>
  <si>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</si>
  <si>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</si>
  <si>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</si>
  <si>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</si>
  <si>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</si>
  <si>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</si>
  <si>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</si>
  <si>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</si>
  <si>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</si>
  <si>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</si>
  <si>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</si>
  <si>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</si>
  <si>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</si>
  <si>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</si>
  <si>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</si>
  <si>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</si>
  <si>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</si>
  <si>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</si>
  <si>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</si>
  <si>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</si>
  <si>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</si>
  <si>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</si>
  <si>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</si>
  <si>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</si>
  <si>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</si>
  <si>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</si>
  <si>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</si>
  <si>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</si>
  <si>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</si>
  <si>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</si>
  <si>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</si>
  <si>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</si>
  <si>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</si>
  <si>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</si>
  <si>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</si>
  <si>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</si>
  <si>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</si>
  <si>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</si>
  <si>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</si>
  <si>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</si>
  <si>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</si>
  <si>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</si>
  <si>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</si>
  <si>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</si>
  <si>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</si>
  <si>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</si>
  <si>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</si>
  <si>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</si>
  <si>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</si>
  <si>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</si>
  <si>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</si>
  <si>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</si>
  <si>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</si>
  <si>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</si>
  <si>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</si>
  <si>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</si>
  <si>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</si>
  <si>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</si>
  <si>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</si>
  <si>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</si>
  <si>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</si>
  <si>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</si>
  <si>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</si>
  <si>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</si>
  <si>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</si>
  <si>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</si>
  <si>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</si>
  <si>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</si>
  <si>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</si>
  <si>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</si>
  <si>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</si>
  <si>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</si>
  <si>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</si>
  <si>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</si>
  <si>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</si>
  <si>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</si>
  <si>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</si>
  <si>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</si>
  <si>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</si>
  <si>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</si>
  <si>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</si>
  <si>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</si>
  <si>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</si>
  <si>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</si>
  <si>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</si>
  <si>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</si>
  <si>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</si>
  <si>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</si>
  <si>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</si>
  <si>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</si>
  <si>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</si>
  <si>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</si>
  <si>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</si>
  <si>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</si>
  <si>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</si>
  <si>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</si>
  <si>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</si>
  <si>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</si>
  <si>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</si>
  <si>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</si>
  <si>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</si>
  <si>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</si>
  <si>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</si>
  <si>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</si>
  <si>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</si>
  <si>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</si>
  <si>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</si>
  <si>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</si>
  <si>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</si>
  <si>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</si>
  <si>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</si>
  <si>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</si>
  <si>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</si>
  <si>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</si>
  <si>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</si>
  <si>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</si>
  <si>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</si>
  <si>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</si>
  <si>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</si>
  <si>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</si>
  <si>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</si>
  <si>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</si>
  <si>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</si>
  <si>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</si>
  <si>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</si>
  <si>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</si>
  <si>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</si>
  <si>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</si>
  <si>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</si>
  <si>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</si>
  <si>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</si>
  <si>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</si>
  <si>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</si>
  <si>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</si>
  <si>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</si>
  <si>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</si>
  <si>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</si>
  <si>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</si>
  <si>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</si>
  <si>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</si>
  <si>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</si>
  <si>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</si>
  <si>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</si>
  <si>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</si>
  <si>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</si>
  <si>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</si>
  <si>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</si>
  <si>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</si>
  <si>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</si>
  <si>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</si>
  <si>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</si>
  <si>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</si>
  <si>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</si>
  <si>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</si>
  <si>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</si>
  <si>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</si>
  <si>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</si>
  <si>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</si>
  <si>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</si>
  <si>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</si>
  <si>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</si>
  <si>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</si>
  <si>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</si>
  <si>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</si>
  <si>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</si>
  <si>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</si>
  <si>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</si>
  <si>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</si>
  <si>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</si>
  <si>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</si>
  <si>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</si>
  <si>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</si>
  <si>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</si>
  <si>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</si>
  <si>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</si>
  <si>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</si>
  <si>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</si>
  <si>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</si>
  <si>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</si>
  <si>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</si>
  <si>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</si>
  <si>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</si>
  <si>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</si>
  <si>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</si>
  <si>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</si>
  <si>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</si>
  <si>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</si>
  <si>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</si>
  <si>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</si>
  <si>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</si>
  <si>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</si>
  <si>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</si>
  <si>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</si>
  <si>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</si>
  <si>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</si>
  <si>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</si>
  <si>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</si>
  <si>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</si>
  <si>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</si>
  <si>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</si>
  <si>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</si>
  <si>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</si>
  <si>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</si>
  <si>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</si>
  <si>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</si>
  <si>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</si>
  <si>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</si>
  <si>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</si>
  <si>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</si>
  <si>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</si>
  <si>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</si>
  <si>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</si>
  <si>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</si>
  <si>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</si>
  <si>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</si>
  <si>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</si>
  <si>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</si>
  <si>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</si>
  <si>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</si>
  <si>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</si>
  <si>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</si>
  <si>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</si>
  <si>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</si>
  <si>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</si>
  <si>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</si>
  <si>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</si>
  <si>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</si>
  <si>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</si>
  <si>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</si>
  <si>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</si>
  <si>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</si>
  <si>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</si>
  <si>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</si>
  <si>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</si>
  <si>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</si>
  <si>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</si>
  <si>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</si>
  <si>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</si>
  <si>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</si>
  <si>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</si>
  <si>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</si>
  <si>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</si>
  <si>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</si>
  <si>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</si>
  <si>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</si>
  <si>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</si>
  <si>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</si>
  <si>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</si>
  <si>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</si>
  <si>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</si>
  <si>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</si>
  <si>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</si>
  <si>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</si>
  <si>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</si>
  <si>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</si>
  <si>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</si>
  <si>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</si>
  <si>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</si>
  <si>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</si>
  <si>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</si>
  <si>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</si>
  <si>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</si>
  <si>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</si>
  <si>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</si>
  <si>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</si>
  <si>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</si>
  <si>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</si>
  <si>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</si>
  <si>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</si>
  <si>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</si>
  <si>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</si>
  <si>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</si>
  <si>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</si>
  <si>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</si>
  <si>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</si>
  <si>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</si>
  <si>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</si>
  <si>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</si>
  <si>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</si>
  <si>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</si>
  <si>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</si>
  <si>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</si>
  <si>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</si>
  <si>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</si>
  <si>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</si>
  <si>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</si>
  <si>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</si>
  <si>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</si>
  <si>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</si>
  <si>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</si>
  <si>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</si>
  <si>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</si>
  <si>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</si>
  <si>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</si>
  <si>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</si>
  <si>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</si>
  <si>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</si>
  <si>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</si>
  <si>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</si>
  <si>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</si>
  <si>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</si>
  <si>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</si>
  <si>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</si>
  <si>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</si>
  <si>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</si>
  <si>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</si>
  <si>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</si>
  <si>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</si>
  <si>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</si>
  <si>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</si>
  <si>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</si>
  <si>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</si>
  <si>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</si>
  <si>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</si>
  <si>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</si>
  <si>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</si>
  <si>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</si>
  <si>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</si>
  <si>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</si>
  <si>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</si>
  <si>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</si>
  <si>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</si>
  <si>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</si>
  <si>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</si>
  <si>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</si>
  <si>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</si>
  <si>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</si>
  <si>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</si>
  <si>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</si>
  <si>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</si>
  <si>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</si>
  <si>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</si>
  <si>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</si>
  <si>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</si>
  <si>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</si>
  <si>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</si>
  <si>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</si>
  <si>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</si>
  <si>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</si>
  <si>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</si>
  <si>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</si>
  <si>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</si>
  <si>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</si>
  <si>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</si>
  <si>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</si>
  <si>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</si>
  <si>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</si>
  <si>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</si>
  <si>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</si>
  <si>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</si>
  <si>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</si>
  <si>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</si>
  <si>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</si>
  <si>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</si>
  <si>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</si>
  <si>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</si>
  <si>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</si>
  <si>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</si>
  <si>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</si>
  <si>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</si>
  <si>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</si>
  <si>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</si>
  <si>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</si>
  <si>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</si>
  <si>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</si>
  <si>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</si>
  <si>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</si>
  <si>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</si>
  <si>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</si>
  <si>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</si>
  <si>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</si>
  <si>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</si>
  <si>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</si>
  <si>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</si>
  <si>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</si>
  <si>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</si>
  <si>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</si>
  <si>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</si>
  <si>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</si>
  <si>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</si>
  <si>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</si>
  <si>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</si>
  <si>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</si>
  <si>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</si>
  <si>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</si>
  <si>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</si>
  <si>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</si>
  <si>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</si>
  <si>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</si>
  <si>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</si>
  <si>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</si>
  <si>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</si>
  <si>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</si>
  <si>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</si>
  <si>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</si>
  <si>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</si>
  <si>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</si>
  <si>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</si>
  <si>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</si>
  <si>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</si>
  <si>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</si>
  <si>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</si>
  <si>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</si>
  <si>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</si>
  <si>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</si>
  <si>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</si>
  <si>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</si>
  <si>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</si>
  <si>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</si>
  <si>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</si>
  <si>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</si>
  <si>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</si>
  <si>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</si>
  <si>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</si>
  <si>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</si>
  <si>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</si>
  <si>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</si>
  <si>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</si>
  <si>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</si>
  <si>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</si>
  <si>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</si>
  <si>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</si>
  <si>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</si>
  <si>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</si>
  <si>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</si>
  <si>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</si>
  <si>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</si>
  <si>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</si>
  <si>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</si>
  <si>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</si>
  <si>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</si>
  <si>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</si>
  <si>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</si>
  <si>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</si>
  <si>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</si>
  <si>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</si>
  <si>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</si>
  <si>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</si>
  <si>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</si>
  <si>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</si>
  <si>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</si>
  <si>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</si>
  <si>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</si>
  <si>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</si>
  <si>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</si>
  <si>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</si>
  <si>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</si>
  <si>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</si>
  <si>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</si>
  <si>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</si>
  <si>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</si>
  <si>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</si>
  <si>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</si>
  <si>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</si>
  <si>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</si>
  <si>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</si>
  <si>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</si>
  <si>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</si>
  <si>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</si>
  <si>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</si>
  <si>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</si>
  <si>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</si>
  <si>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</si>
  <si>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</si>
  <si>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</si>
  <si>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</si>
  <si>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</si>
  <si>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</si>
  <si>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</si>
  <si>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</si>
  <si>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</si>
  <si>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</si>
  <si>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</si>
  <si>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</si>
  <si>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</si>
  <si>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</si>
  <si>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</si>
  <si>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</si>
  <si>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</si>
  <si>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</si>
  <si>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</si>
  <si>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</si>
  <si>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</si>
  <si>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</si>
  <si>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</si>
  <si>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</si>
  <si>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</si>
  <si>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</si>
  <si>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</si>
  <si>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</si>
  <si>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</si>
  <si>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</si>
  <si>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</si>
  <si>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</si>
  <si>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</si>
  <si>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</si>
  <si>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</si>
  <si>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</si>
  <si>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</si>
  <si>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</si>
  <si>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</si>
  <si>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</si>
  <si>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</si>
  <si>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</si>
  <si>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</si>
  <si>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</si>
  <si>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</si>
  <si>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</si>
  <si>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</si>
  <si>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</si>
  <si>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</si>
  <si>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</si>
  <si>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</si>
  <si>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</si>
  <si>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</si>
  <si>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</si>
  <si>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</si>
  <si>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</si>
  <si>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</si>
  <si>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</si>
  <si>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</si>
  <si>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</si>
  <si>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</si>
  <si>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</si>
  <si>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</si>
  <si>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</si>
  <si>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</si>
  <si>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</si>
  <si>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</si>
  <si>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</si>
  <si>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</si>
  <si>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</si>
  <si>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</si>
  <si>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</si>
  <si>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</si>
  <si>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</si>
  <si>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</si>
  <si>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</si>
  <si>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</si>
  <si>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</si>
  <si>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</si>
  <si>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</si>
  <si>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</si>
  <si>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</si>
  <si>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</si>
  <si>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</si>
  <si>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</si>
  <si>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</si>
  <si>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</si>
  <si>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</si>
  <si>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</si>
  <si>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</si>
  <si>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</si>
  <si>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</si>
  <si>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</si>
  <si>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</si>
  <si>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</si>
  <si>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</si>
  <si>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</si>
  <si>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</si>
  <si>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</si>
  <si>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</si>
  <si>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</si>
  <si>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</si>
  <si>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</si>
  <si>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</si>
  <si>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</si>
  <si>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</si>
  <si>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</si>
  <si>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</si>
  <si>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</si>
  <si>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</si>
  <si>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</si>
  <si>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</si>
  <si>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</si>
  <si>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</si>
  <si>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</si>
  <si>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</si>
  <si>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</si>
  <si>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</si>
  <si>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</si>
  <si>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</si>
  <si>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</si>
  <si>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</si>
  <si>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</si>
  <si>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</si>
  <si>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</si>
  <si>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</si>
  <si>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</si>
  <si>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</si>
  <si>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</si>
  <si>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</si>
  <si>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</si>
  <si>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</si>
  <si>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</si>
  <si>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</si>
  <si>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</si>
  <si>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</si>
  <si>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</si>
  <si>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</si>
  <si>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</si>
  <si>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</si>
  <si>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</si>
  <si>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</si>
  <si>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</si>
  <si>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</si>
  <si>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</si>
  <si>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</si>
  <si>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</si>
  <si>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</si>
  <si>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</si>
  <si>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</si>
  <si>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</si>
  <si>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</si>
  <si>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</si>
  <si>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</si>
  <si>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</si>
  <si>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</si>
  <si>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</si>
  <si>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</si>
  <si>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</si>
  <si>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</si>
  <si>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</si>
  <si>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</si>
  <si>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</si>
  <si>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</si>
  <si>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</si>
  <si>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</si>
  <si>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</si>
  <si>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</si>
  <si>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</si>
  <si>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</si>
  <si>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</si>
  <si>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</si>
  <si>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</si>
  <si>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</si>
  <si>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</si>
  <si>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</si>
  <si>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</si>
  <si>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</si>
  <si>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</si>
  <si>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</si>
  <si>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</si>
  <si>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</si>
  <si>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</si>
  <si>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</si>
  <si>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</si>
  <si>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</si>
  <si>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</si>
  <si>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</si>
  <si>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</si>
  <si>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</si>
  <si>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</si>
  <si>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</si>
  <si>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</si>
  <si>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</si>
  <si>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</si>
  <si>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</si>
  <si>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</si>
  <si>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</si>
  <si>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</si>
  <si>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</si>
  <si>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</si>
  <si>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</si>
  <si>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</si>
  <si>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</si>
  <si>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</si>
  <si>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</si>
  <si>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</si>
  <si>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</si>
  <si>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</si>
  <si>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兴通股份</t>
  </si>
  <si>
    <t>www.lixinger.com/analytics/company/sh/603209/603209/detail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</si>
  <si>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</si>
  <si>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</si>
  <si>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</si>
  <si>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</si>
  <si>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</si>
  <si>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</si>
  <si>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</si>
  <si>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</si>
  <si>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</si>
  <si>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</si>
  <si>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</si>
  <si>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</si>
  <si>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</si>
  <si>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</si>
  <si>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</si>
  <si>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</si>
  <si>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</si>
  <si>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</si>
  <si>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</si>
  <si>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</si>
  <si>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</si>
  <si>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</si>
  <si>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</si>
  <si>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</si>
  <si>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</si>
  <si>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</si>
  <si>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</si>
  <si>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</si>
  <si>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</si>
  <si>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</si>
  <si>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</si>
  <si>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</si>
  <si>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</si>
  <si>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</si>
  <si>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</si>
  <si>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</si>
  <si>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</si>
  <si>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</si>
  <si>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</si>
  <si>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</si>
  <si>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</si>
  <si>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</si>
  <si>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</si>
  <si>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</si>
  <si>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</si>
  <si>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</si>
  <si>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</si>
  <si>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</si>
  <si>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</si>
  <si>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</si>
  <si>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</si>
  <si>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</si>
  <si>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</si>
  <si>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</si>
  <si>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</si>
  <si>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</si>
  <si>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</si>
  <si>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</si>
  <si>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</si>
  <si>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</si>
  <si>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</si>
  <si>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</si>
  <si>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</si>
  <si>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</si>
  <si>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</si>
  <si>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</si>
  <si>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</si>
  <si>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</si>
  <si>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</si>
  <si>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</si>
  <si>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</si>
  <si>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</si>
  <si>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</si>
  <si>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</si>
  <si>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</si>
  <si>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</si>
  <si>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</si>
  <si>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</si>
  <si>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</si>
  <si>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</si>
  <si>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</si>
  <si>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</si>
  <si>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</si>
  <si>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</si>
  <si>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</si>
  <si>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</si>
  <si>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</si>
  <si>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</si>
  <si>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</si>
  <si>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</si>
  <si>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</si>
  <si>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</si>
  <si>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</si>
  <si>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</si>
  <si>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</si>
  <si>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</si>
  <si>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</si>
  <si>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</si>
  <si>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</si>
  <si>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</si>
  <si>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</si>
  <si>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</si>
  <si>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</si>
  <si>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</si>
  <si>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</si>
  <si>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</si>
  <si>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</si>
  <si>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</si>
  <si>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</si>
  <si>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</si>
  <si>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</si>
  <si>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</si>
  <si>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</si>
  <si>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</si>
  <si>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</si>
  <si>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</si>
  <si>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</si>
  <si>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</si>
  <si>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</si>
  <si>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</si>
  <si>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</si>
  <si>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</si>
  <si>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</si>
  <si>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</si>
  <si>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</si>
  <si>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</si>
  <si>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</si>
  <si>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</si>
  <si>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</si>
  <si>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</si>
  <si>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</si>
  <si>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</si>
  <si>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</si>
  <si>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</si>
  <si>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</si>
  <si>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</si>
  <si>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</si>
  <si>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</si>
  <si>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</si>
  <si>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</si>
  <si>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</si>
  <si>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</si>
  <si>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</si>
  <si>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</si>
  <si>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</si>
  <si>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</si>
  <si>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</si>
  <si>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</si>
  <si>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</si>
  <si>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</si>
  <si>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</si>
  <si>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</si>
  <si>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</si>
  <si>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</si>
  <si>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</si>
  <si>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</si>
  <si>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</si>
  <si>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</si>
  <si>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</si>
  <si>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</si>
  <si>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</si>
  <si>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</si>
  <si>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</si>
  <si>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</si>
  <si>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</si>
  <si>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</si>
  <si>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</si>
  <si>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</si>
  <si>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</si>
  <si>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</si>
  <si>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</si>
  <si>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</si>
  <si>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</si>
  <si>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</si>
  <si>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</si>
  <si>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</si>
  <si>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</si>
  <si>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</si>
  <si>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</si>
  <si>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</si>
  <si>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</si>
  <si>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</si>
  <si>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</si>
  <si>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</si>
  <si>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</si>
  <si>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</si>
  <si>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</si>
  <si>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</si>
  <si>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</si>
  <si>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</si>
  <si>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</si>
  <si>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</si>
  <si>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</si>
  <si>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</si>
  <si>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</si>
  <si>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</si>
  <si>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</si>
  <si>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</si>
  <si>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</si>
  <si>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</si>
  <si>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</si>
  <si>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</si>
  <si>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</si>
  <si>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</si>
  <si>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</si>
  <si>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</si>
  <si>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</si>
  <si>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</si>
  <si>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</si>
  <si>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</si>
  <si>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</si>
  <si>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</si>
  <si>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</si>
  <si>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</si>
  <si>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</si>
  <si>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</si>
  <si>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</si>
  <si>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</si>
  <si>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</si>
  <si>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</si>
  <si>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</si>
  <si>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</si>
  <si>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</si>
  <si>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</si>
  <si>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</si>
  <si>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</si>
  <si>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</si>
  <si>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</si>
  <si>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</si>
  <si>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</si>
  <si>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</si>
  <si>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</si>
  <si>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</si>
  <si>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</si>
  <si>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</si>
  <si>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</si>
  <si>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</si>
  <si>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</si>
  <si>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</si>
  <si>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</si>
  <si>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</si>
  <si>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</si>
  <si>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</si>
  <si>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</si>
  <si>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</si>
  <si>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</si>
  <si>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</si>
  <si>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</si>
  <si>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</si>
  <si>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</si>
  <si>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</si>
  <si>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</si>
  <si>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</si>
  <si>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</si>
  <si>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</si>
  <si>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</si>
  <si>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</si>
  <si>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</si>
  <si>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</si>
  <si>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</si>
  <si>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</si>
  <si>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</si>
  <si>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</si>
  <si>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</si>
  <si>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</si>
  <si>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</si>
  <si>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</si>
  <si>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</si>
  <si>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</si>
  <si>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</si>
  <si>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</si>
  <si>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</si>
  <si>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</si>
  <si>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</si>
  <si>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</si>
  <si>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</si>
  <si>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</si>
  <si>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</si>
  <si>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</si>
  <si>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</si>
  <si>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</si>
  <si>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</si>
  <si>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</si>
  <si>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</si>
  <si>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</si>
  <si>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</si>
  <si>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</si>
  <si>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</si>
  <si>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</si>
  <si>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</si>
  <si>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</si>
  <si>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</si>
  <si>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</si>
  <si>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</si>
  <si>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</si>
  <si>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</si>
  <si>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</si>
  <si>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</si>
  <si>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</si>
  <si>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</si>
  <si>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</si>
  <si>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</si>
  <si>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</si>
  <si>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</si>
  <si>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</si>
  <si>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</si>
  <si>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</si>
  <si>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</si>
  <si>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</si>
  <si>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</si>
  <si>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</si>
  <si>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</si>
  <si>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</si>
  <si>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</si>
  <si>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</si>
  <si>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</si>
  <si>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</si>
  <si>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</si>
  <si>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</si>
  <si>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</si>
  <si>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</si>
  <si>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</si>
  <si>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</si>
  <si>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</si>
  <si>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</si>
  <si>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</si>
  <si>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</si>
  <si>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</si>
  <si>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</si>
  <si>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</si>
  <si>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</si>
  <si>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</si>
  <si>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</si>
  <si>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</si>
  <si>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</si>
  <si>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</si>
  <si>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</si>
  <si>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</si>
  <si>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</si>
  <si>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</si>
  <si>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</si>
  <si>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</si>
  <si>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</si>
  <si>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</si>
  <si>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</si>
  <si>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</si>
  <si>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</si>
  <si>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</si>
  <si>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</si>
  <si>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</si>
  <si>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</si>
  <si>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</si>
  <si>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</si>
  <si>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</si>
  <si>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</si>
  <si>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</si>
  <si>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</si>
  <si>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</si>
  <si>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</si>
  <si>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</si>
  <si>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</si>
  <si>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</si>
  <si>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</si>
  <si>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</si>
  <si>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</si>
  <si>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</si>
  <si>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</si>
  <si>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</si>
  <si>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</si>
  <si>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</si>
  <si>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</si>
  <si>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</si>
  <si>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</si>
  <si>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</si>
  <si>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</si>
  <si>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</si>
  <si>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</si>
  <si>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</si>
  <si>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</si>
  <si>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</si>
  <si>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</si>
  <si>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</si>
  <si>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</si>
  <si>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</si>
  <si>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</si>
  <si>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</si>
  <si>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</si>
  <si>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</si>
  <si>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</si>
  <si>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</si>
  <si>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</si>
  <si>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</si>
  <si>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</si>
  <si>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</si>
  <si>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</si>
  <si>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</si>
  <si>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</si>
  <si>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</si>
  <si>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</si>
  <si>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</si>
  <si>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</si>
  <si>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</si>
  <si>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</si>
  <si>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</si>
  <si>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</si>
  <si>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</si>
  <si>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</si>
  <si>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</si>
  <si>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</si>
  <si>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</si>
  <si>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</si>
  <si>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</si>
  <si>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</si>
  <si>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</si>
  <si>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</si>
  <si>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</si>
  <si>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</si>
  <si>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</si>
  <si>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</si>
  <si>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</si>
  <si>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</si>
  <si>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</si>
  <si>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</si>
  <si>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</si>
  <si>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</si>
  <si>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</si>
  <si>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</si>
  <si>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</si>
  <si>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</si>
  <si>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</si>
  <si>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</si>
  <si>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</si>
  <si>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</si>
  <si>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</si>
  <si>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</si>
  <si>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</si>
  <si>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</si>
  <si>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</si>
  <si>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</si>
  <si>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</si>
  <si>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</si>
  <si>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</si>
  <si>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</si>
  <si>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</si>
  <si>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</si>
  <si>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</si>
  <si>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</si>
  <si>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</si>
  <si>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</si>
  <si>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</si>
  <si>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</si>
  <si>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</si>
  <si>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</si>
  <si>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</si>
  <si>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</si>
  <si>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</si>
  <si>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</si>
  <si>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</si>
  <si>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</si>
  <si>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</si>
  <si>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</si>
  <si>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</si>
  <si>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</si>
  <si>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</si>
  <si>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</si>
  <si>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</si>
  <si>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</si>
  <si>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</si>
  <si>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</si>
  <si>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</si>
  <si>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</si>
  <si>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</si>
  <si>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</si>
  <si>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</si>
  <si>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</si>
  <si>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</si>
  <si>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</si>
  <si>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</si>
  <si>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</si>
  <si>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</si>
  <si>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</si>
  <si>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</si>
  <si>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</si>
  <si>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</si>
  <si>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</si>
  <si>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</si>
  <si>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</si>
  <si>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</si>
  <si>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</si>
  <si>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</si>
  <si>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</si>
  <si>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</si>
  <si>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</si>
  <si>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</si>
  <si>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</si>
  <si>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</si>
  <si>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</si>
  <si>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</si>
  <si>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</si>
  <si>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</si>
  <si>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</si>
  <si>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</si>
  <si>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</si>
  <si>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</si>
  <si>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</si>
  <si>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</si>
  <si>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</si>
  <si>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</si>
  <si>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</si>
  <si>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</si>
  <si>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</si>
  <si>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</si>
  <si>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</si>
  <si>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</si>
  <si>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</si>
  <si>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</si>
  <si>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</si>
  <si>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</si>
  <si>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</si>
  <si>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</si>
  <si>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</si>
  <si>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</si>
  <si>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</si>
  <si>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</si>
  <si>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</si>
  <si>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</si>
  <si>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</si>
  <si>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</si>
  <si>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</si>
  <si>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</si>
  <si>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</si>
  <si>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</si>
  <si>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</si>
  <si>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</si>
  <si>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</si>
  <si>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</si>
  <si>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</si>
  <si>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</si>
  <si>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</si>
  <si>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</si>
  <si>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</si>
  <si>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</si>
  <si>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</si>
  <si>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</si>
  <si>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</si>
  <si>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</si>
  <si>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</si>
  <si>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</si>
  <si>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</si>
  <si>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</si>
  <si>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</si>
  <si>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</si>
  <si>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</si>
  <si>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</si>
  <si>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</si>
  <si>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</si>
  <si>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</si>
  <si>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</si>
  <si>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</si>
  <si>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</si>
  <si>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</si>
  <si>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</si>
  <si>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</si>
  <si>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</si>
  <si>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</si>
  <si>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</si>
  <si>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</si>
  <si>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</si>
  <si>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</si>
  <si>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</si>
  <si>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</si>
  <si>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</si>
  <si>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</si>
  <si>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</si>
  <si>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</si>
  <si>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</si>
  <si>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</si>
  <si>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</si>
  <si>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</si>
  <si>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</si>
  <si>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</si>
  <si>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</si>
  <si>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</si>
  <si>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</si>
  <si>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</si>
  <si>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</si>
  <si>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</si>
  <si>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</si>
  <si>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</si>
  <si>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</si>
  <si>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</si>
  <si>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</si>
  <si>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</si>
  <si>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</si>
  <si>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</si>
  <si>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</si>
  <si>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</si>
  <si>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</si>
  <si>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</si>
  <si>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</si>
  <si>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</si>
  <si>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</si>
  <si>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</si>
  <si>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</si>
  <si>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</si>
  <si>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</si>
  <si>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</si>
  <si>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</si>
  <si>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</si>
  <si>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</si>
  <si>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</si>
  <si>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</si>
  <si>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</si>
  <si>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</si>
  <si>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</si>
  <si>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</si>
  <si>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</si>
  <si>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</si>
  <si>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</si>
  <si>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</si>
  <si>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</si>
  <si>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</si>
  <si>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</si>
  <si>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</si>
  <si>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</si>
  <si>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</si>
  <si>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</si>
  <si>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</si>
  <si>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</si>
  <si>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</si>
  <si>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</si>
  <si>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</si>
  <si>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</si>
  <si>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</si>
  <si>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</si>
  <si>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</si>
  <si>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</si>
  <si>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</si>
  <si>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</si>
  <si>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</si>
  <si>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</si>
  <si>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</si>
  <si>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</si>
  <si>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</si>
  <si>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</si>
  <si>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</si>
  <si>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</si>
  <si>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</si>
  <si>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</si>
  <si>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</si>
  <si>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</si>
  <si>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</si>
  <si>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</si>
  <si>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</si>
  <si>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</si>
  <si>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</si>
  <si>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</si>
  <si>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</si>
  <si>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</si>
  <si>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</si>
  <si>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</si>
  <si>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</si>
  <si>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</si>
  <si>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</si>
  <si>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</si>
  <si>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</si>
  <si>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</si>
  <si>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</si>
  <si>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</si>
  <si>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</si>
  <si>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</si>
  <si>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</si>
  <si>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</si>
  <si>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</si>
  <si>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</si>
  <si>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</si>
  <si>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</si>
  <si>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</si>
  <si>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</si>
  <si>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</si>
  <si>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</si>
  <si>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</si>
  <si>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</si>
  <si>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</si>
  <si>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</si>
  <si>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</si>
  <si>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</si>
  <si>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</si>
  <si>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</si>
  <si>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</si>
  <si>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</si>
  <si>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</si>
  <si>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</si>
  <si>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</si>
  <si>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</si>
  <si>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</si>
  <si>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</si>
  <si>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</si>
  <si>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</si>
  <si>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</si>
  <si>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</si>
  <si>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</si>
  <si>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</si>
  <si>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</si>
  <si>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</si>
  <si>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</si>
  <si>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</si>
  <si>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</si>
  <si>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</si>
  <si>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</si>
  <si>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</si>
  <si>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</si>
  <si>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</si>
  <si>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</si>
  <si>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</si>
  <si>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</si>
  <si>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</si>
  <si>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</si>
  <si>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</si>
  <si>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</si>
  <si>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</si>
  <si>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</si>
  <si>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</si>
  <si>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</si>
  <si>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</si>
  <si>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</si>
  <si>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</si>
  <si>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</si>
  <si>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</si>
  <si>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</si>
  <si>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</si>
  <si>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</si>
  <si>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</si>
  <si>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</si>
  <si>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</si>
  <si>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</si>
  <si>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</si>
  <si>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</si>
  <si>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</si>
  <si>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</si>
  <si>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</si>
  <si>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</si>
  <si>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</si>
  <si>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</si>
  <si>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</si>
  <si>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</si>
  <si>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</si>
  <si>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</si>
  <si>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</si>
  <si>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</si>
  <si>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</si>
  <si>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</si>
  <si>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</si>
  <si>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</si>
  <si>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</si>
  <si>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</si>
  <si>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</si>
  <si>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</si>
  <si>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</si>
  <si>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</si>
  <si>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</si>
  <si>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</si>
  <si>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</si>
  <si>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</si>
  <si>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</si>
  <si>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</si>
  <si>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</si>
  <si>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</si>
  <si>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</si>
  <si>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</si>
  <si>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</si>
  <si>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</si>
  <si>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</si>
  <si>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</si>
  <si>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</si>
  <si>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</si>
  <si>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</si>
  <si>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</si>
  <si>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</si>
  <si>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</si>
  <si>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</si>
  <si>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</si>
  <si>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</si>
  <si>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</si>
  <si>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</si>
  <si>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</si>
  <si>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</si>
  <si>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</si>
  <si>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</si>
  <si>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</si>
  <si>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</si>
  <si>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</si>
  <si>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</si>
  <si>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</si>
  <si>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</si>
  <si>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</si>
  <si>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</si>
  <si>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</si>
  <si>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</si>
  <si>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</si>
  <si>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</si>
  <si>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</si>
  <si>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</si>
  <si>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</si>
  <si>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</si>
  <si>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</si>
  <si>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</si>
  <si>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</si>
  <si>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</si>
  <si>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</si>
  <si>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</si>
  <si>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</si>
  <si>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</si>
  <si>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</si>
  <si>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</si>
  <si>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</si>
  <si>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</si>
  <si>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</si>
  <si>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</si>
  <si>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</si>
  <si>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</si>
  <si>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</si>
  <si>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</si>
  <si>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</si>
  <si>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</si>
  <si>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</si>
  <si>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</si>
  <si>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</si>
  <si>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</si>
  <si>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</si>
  <si>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</si>
  <si>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</si>
  <si>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</si>
  <si>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</si>
  <si>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</si>
  <si>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</si>
  <si>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</si>
  <si>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</si>
  <si>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</si>
  <si>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</si>
  <si>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</si>
  <si>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</si>
  <si>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</si>
  <si>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</si>
  <si>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</si>
  <si>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</si>
  <si>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</si>
  <si>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</si>
  <si>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</si>
  <si>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</si>
  <si>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</si>
  <si>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</si>
  <si>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</si>
  <si>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</si>
  <si>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</si>
  <si>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</si>
  <si>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</si>
  <si>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</si>
  <si>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</si>
  <si>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</si>
  <si>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</si>
  <si>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</si>
  <si>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</si>
  <si>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</si>
  <si>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</si>
  <si>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</si>
  <si>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</si>
  <si>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</si>
  <si>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</si>
  <si>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</si>
  <si>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</si>
  <si>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</si>
  <si>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</si>
  <si>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</si>
  <si>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</si>
  <si>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</si>
  <si>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</si>
  <si>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</si>
  <si>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</si>
  <si>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</si>
  <si>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</si>
  <si>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</si>
  <si>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</si>
  <si>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</si>
  <si>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</si>
  <si>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</si>
  <si>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</si>
  <si>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</si>
  <si>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</si>
  <si>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</si>
  <si>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</si>
  <si>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</si>
  <si>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</si>
  <si>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</si>
  <si>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</si>
  <si>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</si>
  <si>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</si>
  <si>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</si>
  <si>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</si>
  <si>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</si>
  <si>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</si>
  <si>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</si>
  <si>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</si>
  <si>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</si>
  <si>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</si>
  <si>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</si>
  <si>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</si>
  <si>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</si>
  <si>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</si>
  <si>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</si>
  <si>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</si>
  <si>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</si>
  <si>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</si>
  <si>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</si>
  <si>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</si>
  <si>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</si>
  <si>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</si>
  <si>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</si>
  <si>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</si>
  <si>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</si>
  <si>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</si>
  <si>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</si>
  <si>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</si>
  <si>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</si>
  <si>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</si>
  <si>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</si>
  <si>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</si>
  <si>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</si>
  <si>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</si>
  <si>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</si>
  <si>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</si>
  <si>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</si>
  <si>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</si>
  <si>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</si>
  <si>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</si>
  <si>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</si>
  <si>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</si>
  <si>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</si>
  <si>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</si>
  <si>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</si>
  <si>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</si>
  <si>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</si>
  <si>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</si>
  <si>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</si>
  <si>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</si>
  <si>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</si>
  <si>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</si>
  <si>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</si>
  <si>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</si>
  <si>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</si>
  <si>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</si>
  <si>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</si>
  <si>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</si>
  <si>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</si>
  <si>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</si>
  <si>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</si>
  <si>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</si>
  <si>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</si>
  <si>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</si>
  <si>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</si>
  <si>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</si>
  <si>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</si>
  <si>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</si>
  <si>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</si>
  <si>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</si>
  <si>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</si>
  <si>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</si>
  <si>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</si>
  <si>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</si>
  <si>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</si>
  <si>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</si>
  <si>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</si>
  <si>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</si>
  <si>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</si>
  <si>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</si>
  <si>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</si>
  <si>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</si>
  <si>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</si>
  <si>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</si>
  <si>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</si>
  <si>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</si>
  <si>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</si>
  <si>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</si>
  <si>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</si>
  <si>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</si>
  <si>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</si>
  <si>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</si>
  <si>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</si>
  <si>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</si>
  <si>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</si>
  <si>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</si>
  <si>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</si>
  <si>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</si>
  <si>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</si>
  <si>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</si>
  <si>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</si>
  <si>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</si>
  <si>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</si>
  <si>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</si>
  <si>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</si>
  <si>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</si>
  <si>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</si>
  <si>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</si>
  <si>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</si>
  <si>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</si>
  <si>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</si>
  <si>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</si>
  <si>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</si>
  <si>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</si>
  <si>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</si>
  <si>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</si>
  <si>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</si>
  <si>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</si>
  <si>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</si>
  <si>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</si>
  <si>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</si>
  <si>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</si>
  <si>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</si>
  <si>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</si>
  <si>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</si>
  <si>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</si>
  <si>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</si>
  <si>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</si>
  <si>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</si>
  <si>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</si>
  <si>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</si>
  <si>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</si>
  <si>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</si>
  <si>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</si>
  <si>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</si>
  <si>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</si>
  <si>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</si>
  <si>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</si>
  <si>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</si>
  <si>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</si>
  <si>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</si>
  <si>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</si>
  <si>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</si>
  <si>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</si>
  <si>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</si>
  <si>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</si>
  <si>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</si>
  <si>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</si>
  <si>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</si>
  <si>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</si>
  <si>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</si>
  <si>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</si>
  <si>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</si>
  <si>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</si>
  <si>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</si>
  <si>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</si>
  <si>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</si>
  <si>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</si>
  <si>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</si>
  <si>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</si>
  <si>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</si>
  <si>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</si>
  <si>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</si>
  <si>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</si>
  <si>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</si>
  <si>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</si>
  <si>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</si>
  <si>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</si>
  <si>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</si>
  <si>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</si>
  <si>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</si>
  <si>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</si>
  <si>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</si>
  <si>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</si>
  <si>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</si>
  <si>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</si>
  <si>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</si>
  <si>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</si>
  <si>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</si>
  <si>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</si>
  <si>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</si>
  <si>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</si>
  <si>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</si>
  <si>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</si>
  <si>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</si>
  <si>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</si>
  <si>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</si>
  <si>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</si>
  <si>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</si>
  <si>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</si>
  <si>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</si>
  <si>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</si>
  <si>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</si>
  <si>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</si>
  <si>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</si>
  <si>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</si>
  <si>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</si>
  <si>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</si>
  <si>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</si>
  <si>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</si>
  <si>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</si>
  <si>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</si>
  <si>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</si>
  <si>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</si>
  <si>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</si>
  <si>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</si>
  <si>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</si>
  <si>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</si>
  <si>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</si>
  <si>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</si>
  <si>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</si>
  <si>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</si>
  <si>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</si>
  <si>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</si>
  <si>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</si>
  <si>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</si>
  <si>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</si>
  <si>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</si>
  <si>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</si>
  <si>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</si>
  <si>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</si>
  <si>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</si>
  <si>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</si>
  <si>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</si>
  <si>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</si>
  <si>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</si>
  <si>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</si>
  <si>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</si>
  <si>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</si>
  <si>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</si>
  <si>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</si>
  <si>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</si>
  <si>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</si>
  <si>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</si>
  <si>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</si>
  <si>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</si>
  <si>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</si>
  <si>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</si>
  <si>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</si>
  <si>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</si>
  <si>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</si>
  <si>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</si>
  <si>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</si>
  <si>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</si>
  <si>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</si>
  <si>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</si>
  <si>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</si>
  <si>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</si>
  <si>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</si>
  <si>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</si>
  <si>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</si>
  <si>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</si>
  <si>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</si>
  <si>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</si>
  <si>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</si>
  <si>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</si>
  <si>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</si>
  <si>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</si>
  <si>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</si>
  <si>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</si>
  <si>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</si>
  <si>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</si>
  <si>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</si>
  <si>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</si>
  <si>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</si>
  <si>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</si>
  <si>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</si>
  <si>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</si>
  <si>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</si>
  <si>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</si>
  <si>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</si>
  <si>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</si>
  <si>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</si>
  <si>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</si>
  <si>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</si>
  <si>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</si>
  <si>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</si>
  <si>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</si>
  <si>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</si>
  <si>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</si>
  <si>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</si>
  <si>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</si>
  <si>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</si>
  <si>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</si>
  <si>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</si>
  <si>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</si>
  <si>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</si>
  <si>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</si>
  <si>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</si>
  <si>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</si>
  <si>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</si>
  <si>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</si>
  <si>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</si>
  <si>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</si>
  <si>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</si>
  <si>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</si>
  <si>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</si>
  <si>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</si>
  <si>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</si>
  <si>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</si>
  <si>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</si>
  <si>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</si>
  <si>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</si>
  <si>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</si>
  <si>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</si>
  <si>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</si>
  <si>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</si>
  <si>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</si>
  <si>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</si>
  <si>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</si>
  <si>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</si>
  <si>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</si>
  <si>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</si>
  <si>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</si>
  <si>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</si>
  <si>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</si>
  <si>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</si>
  <si>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</si>
  <si>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</si>
  <si>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</si>
  <si>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</si>
  <si>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</si>
  <si>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</si>
  <si>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</si>
  <si>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</si>
  <si>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</si>
  <si>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</si>
  <si>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</si>
  <si>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</si>
  <si>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</si>
  <si>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</si>
  <si>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</si>
  <si>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</si>
  <si>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</si>
  <si>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</si>
  <si>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</si>
  <si>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</si>
  <si>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</si>
  <si>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</si>
  <si>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</si>
  <si>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</si>
  <si>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</si>
  <si>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</si>
  <si>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</si>
  <si>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</si>
  <si>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</si>
  <si>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</si>
  <si>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</si>
  <si>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</si>
  <si>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</si>
  <si>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</si>
  <si>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</si>
  <si>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</si>
  <si>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</si>
  <si>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</si>
  <si>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</si>
  <si>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</si>
  <si>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</si>
  <si>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</si>
  <si>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</si>
  <si>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</si>
  <si>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</si>
  <si>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</si>
  <si>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</si>
  <si>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</si>
  <si>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</si>
  <si>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</si>
  <si>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</si>
  <si>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</si>
  <si>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</si>
  <si>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</si>
  <si>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</si>
  <si>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</si>
  <si>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</si>
  <si>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</si>
  <si>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</si>
  <si>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</si>
  <si>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</si>
  <si>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</si>
  <si>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</si>
  <si>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</si>
  <si>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</si>
  <si>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</si>
  <si>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</si>
  <si>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</si>
  <si>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</si>
  <si>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</si>
  <si>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</si>
  <si>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</si>
  <si>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</si>
  <si>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</si>
  <si>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</si>
  <si>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</si>
  <si>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</si>
  <si>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</si>
  <si>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</si>
  <si>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</si>
  <si>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</si>
  <si>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</si>
  <si>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</si>
  <si>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</si>
  <si>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</si>
  <si>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</si>
  <si>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</si>
  <si>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</si>
  <si>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</si>
  <si>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</si>
  <si>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</si>
  <si>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</si>
  <si>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</si>
  <si>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</si>
  <si>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</si>
  <si>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</si>
  <si>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</si>
  <si>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</si>
  <si>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</si>
  <si>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</si>
  <si>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</si>
  <si>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</si>
  <si>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</si>
  <si>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</si>
  <si>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</si>
  <si>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</si>
  <si>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</si>
  <si>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</si>
  <si>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</si>
  <si>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</si>
  <si>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</si>
  <si>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</si>
  <si>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</si>
  <si>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</si>
  <si>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</si>
  <si>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</si>
  <si>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</si>
  <si>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</si>
  <si>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</si>
  <si>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</si>
  <si>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</si>
  <si>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</si>
  <si>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</si>
  <si>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</si>
  <si>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</si>
  <si>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</si>
  <si>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</si>
  <si>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</si>
  <si>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</si>
  <si>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</si>
  <si>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</si>
  <si>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</si>
  <si>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</si>
  <si>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</si>
  <si>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</si>
  <si>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</si>
  <si>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</si>
  <si>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</si>
  <si>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</si>
  <si>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</si>
  <si>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</si>
  <si>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</si>
  <si>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</si>
  <si>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</si>
  <si>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</si>
  <si>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</si>
  <si>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</si>
  <si>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</si>
  <si>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</si>
  <si>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</si>
  <si>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</si>
  <si>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</si>
  <si>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</si>
  <si>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</si>
  <si>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</si>
  <si>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</si>
  <si>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</si>
  <si>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</si>
  <si>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</si>
  <si>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</si>
  <si>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</si>
  <si>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</si>
  <si>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</si>
  <si>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</si>
  <si>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</si>
  <si>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</si>
  <si>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</si>
  <si>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</si>
  <si>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</si>
  <si>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</si>
  <si>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</si>
  <si>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</si>
  <si>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</si>
  <si>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</si>
  <si>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</si>
  <si>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</si>
  <si>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</si>
  <si>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</si>
  <si>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</si>
  <si>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</si>
  <si>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</si>
  <si>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</si>
  <si>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</si>
  <si>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</si>
  <si>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</si>
  <si>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</si>
  <si>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</si>
  <si>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</si>
  <si>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</si>
  <si>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</si>
  <si>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</si>
  <si>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</si>
  <si>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</si>
  <si>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</si>
  <si>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</si>
  <si>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</si>
  <si>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</si>
  <si>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</si>
  <si>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</si>
  <si>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</si>
  <si>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</si>
  <si>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</si>
  <si>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</si>
  <si>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</si>
  <si>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</si>
  <si>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</si>
  <si>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</si>
  <si>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</si>
  <si>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</si>
  <si>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</si>
  <si>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</si>
  <si>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</si>
  <si>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</si>
  <si>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</si>
  <si>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</si>
  <si>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</si>
  <si>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</si>
  <si>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</si>
  <si>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</si>
  <si>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</si>
  <si>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</si>
  <si>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</si>
  <si>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</si>
  <si>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</si>
  <si>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</si>
  <si>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</si>
  <si>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</si>
  <si>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</si>
  <si>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</si>
  <si>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</si>
  <si>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</si>
  <si>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</si>
  <si>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</si>
  <si>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</si>
  <si>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</si>
  <si>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</si>
  <si>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</si>
  <si>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</si>
  <si>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</si>
  <si>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</si>
  <si>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</si>
  <si>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</si>
  <si>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</si>
  <si>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</si>
  <si>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</si>
  <si>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</si>
  <si>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</si>
  <si>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</si>
  <si>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</si>
  <si>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</si>
  <si>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</si>
  <si>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</si>
  <si>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</si>
  <si>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</si>
  <si>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</si>
  <si>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</si>
  <si>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</si>
  <si>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</si>
  <si>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</si>
  <si>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</si>
  <si>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</si>
  <si>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</si>
  <si>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</si>
  <si>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</si>
  <si>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</si>
  <si>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</si>
  <si>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</si>
  <si>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</si>
  <si>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</si>
  <si>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</si>
  <si>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</si>
  <si>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</si>
  <si>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</si>
  <si>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</si>
  <si>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</si>
  <si>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</si>
  <si>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</si>
  <si>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</si>
  <si>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</si>
  <si>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</si>
  <si>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</si>
  <si>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</si>
  <si>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</si>
  <si>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</si>
  <si>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</si>
  <si>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</si>
  <si>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</si>
  <si>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</si>
  <si>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</si>
  <si>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</si>
  <si>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</si>
  <si>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</si>
  <si>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</si>
  <si>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</si>
  <si>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</si>
  <si>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</si>
  <si>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</si>
  <si>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</si>
  <si>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</si>
  <si>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</si>
  <si>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</si>
  <si>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</si>
  <si>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</si>
  <si>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</si>
  <si>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</si>
  <si>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</si>
  <si>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</si>
  <si>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</si>
  <si>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</si>
  <si>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</si>
  <si>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</si>
  <si>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</si>
  <si>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</si>
  <si>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</si>
  <si>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</si>
  <si>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</si>
  <si>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</si>
  <si>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</si>
  <si>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</si>
  <si>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</si>
  <si>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</si>
  <si>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</si>
  <si>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</si>
  <si>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</si>
  <si>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</si>
  <si>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</si>
  <si>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</si>
  <si>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</si>
  <si>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</si>
  <si>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</si>
  <si>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</si>
  <si>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</si>
  <si>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</si>
  <si>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</si>
  <si>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</si>
  <si>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</si>
  <si>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</si>
  <si>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</si>
  <si>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</si>
  <si>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</si>
  <si>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</si>
  <si>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</si>
  <si>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</si>
  <si>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</si>
  <si>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</si>
  <si>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</si>
  <si>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</si>
  <si>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</si>
  <si>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</si>
  <si>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</si>
  <si>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</si>
  <si>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</si>
  <si>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</si>
  <si>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</si>
  <si>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</si>
  <si>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</si>
  <si>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</si>
  <si>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</si>
  <si>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</si>
  <si>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</si>
  <si>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</si>
  <si>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</si>
  <si>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</si>
  <si>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</si>
  <si>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</si>
  <si>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</si>
  <si>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</si>
  <si>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</si>
  <si>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</si>
  <si>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</si>
  <si>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</si>
  <si>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</si>
  <si>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</si>
  <si>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</si>
  <si>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</si>
  <si>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</si>
  <si>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</si>
  <si>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</si>
  <si>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</si>
  <si>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</si>
  <si>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</si>
  <si>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</si>
  <si>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</si>
  <si>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</si>
  <si>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</si>
  <si>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</si>
  <si>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</si>
  <si>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</si>
  <si>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</si>
  <si>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</si>
  <si>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</si>
  <si>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</si>
  <si>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</si>
  <si>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</si>
  <si>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</si>
  <si>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</si>
  <si>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</si>
  <si>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</si>
  <si>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</si>
  <si>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</si>
  <si>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</si>
  <si>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</si>
  <si>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</si>
  <si>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</si>
  <si>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</si>
  <si>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</si>
  <si>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</si>
  <si>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</si>
  <si>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</si>
  <si>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</si>
  <si>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</si>
  <si>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</si>
  <si>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</si>
  <si>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</si>
  <si>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</si>
  <si>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</si>
  <si>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</si>
  <si>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</si>
  <si>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</si>
  <si>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</si>
  <si>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</si>
  <si>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</si>
  <si>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</si>
  <si>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</si>
  <si>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</si>
  <si>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</si>
  <si>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</si>
  <si>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</si>
  <si>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</si>
  <si>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</si>
  <si>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</si>
  <si>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</si>
  <si>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</si>
  <si>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</si>
  <si>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</si>
  <si>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</si>
  <si>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</si>
  <si>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</si>
  <si>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</si>
  <si>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</si>
  <si>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</si>
  <si>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</si>
  <si>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</si>
  <si>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</si>
  <si>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</si>
  <si>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</si>
  <si>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</si>
  <si>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</si>
  <si>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</si>
  <si>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</si>
  <si>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</si>
  <si>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</si>
  <si>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</si>
  <si>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</si>
  <si>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</si>
  <si>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</si>
  <si>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</si>
  <si>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</si>
  <si>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</si>
  <si>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</si>
  <si>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</si>
  <si>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</si>
  <si>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</si>
  <si>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</si>
  <si>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</si>
  <si>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</si>
  <si>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</si>
  <si>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</si>
  <si>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</si>
  <si>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</si>
  <si>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</si>
  <si>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</si>
  <si>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</si>
  <si>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</si>
  <si>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</si>
  <si>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</si>
  <si>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</si>
  <si>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</si>
  <si>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</si>
  <si>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</si>
  <si>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</si>
  <si>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</si>
  <si>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</si>
  <si>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</si>
  <si>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</si>
  <si>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</si>
  <si>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</si>
  <si>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</si>
  <si>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</si>
  <si>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</si>
  <si>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</si>
  <si>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</si>
  <si>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</si>
  <si>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</si>
  <si>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</si>
  <si>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</si>
  <si>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</si>
  <si>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</si>
  <si>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</si>
  <si>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</si>
  <si>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</si>
  <si>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</si>
  <si>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</si>
  <si>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</si>
  <si>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</si>
  <si>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</si>
  <si>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</si>
  <si>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</si>
  <si>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</si>
  <si>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</si>
  <si>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</si>
  <si>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</si>
  <si>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</si>
  <si>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</si>
  <si>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</si>
  <si>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</si>
  <si>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</si>
  <si>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</si>
  <si>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</si>
  <si>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</si>
  <si>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</si>
  <si>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</si>
  <si>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</si>
  <si>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</si>
  <si>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</si>
  <si>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</si>
  <si>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</si>
  <si>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</si>
  <si>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</si>
  <si>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</si>
  <si>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</si>
  <si>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</si>
  <si>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</si>
  <si>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</si>
  <si>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</si>
  <si>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</si>
  <si>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</si>
  <si>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</si>
  <si>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</si>
  <si>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</si>
  <si>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</si>
  <si>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</si>
  <si>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</si>
  <si>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</si>
  <si>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</si>
  <si>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</si>
  <si>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</si>
  <si>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</si>
  <si>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</si>
  <si>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</si>
  <si>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</si>
  <si>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</si>
  <si>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</si>
  <si>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</si>
  <si>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</si>
  <si>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</si>
  <si>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</si>
  <si>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</si>
  <si>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</si>
  <si>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</si>
  <si>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</si>
  <si>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</si>
  <si>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</si>
  <si>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</si>
  <si>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</si>
  <si>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</si>
  <si>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</si>
  <si>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</si>
  <si>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</si>
  <si>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</si>
  <si>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</si>
  <si>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</si>
  <si>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</si>
  <si>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</si>
  <si>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</si>
  <si>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</si>
  <si>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</si>
  <si>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</si>
  <si>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</si>
  <si>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</si>
  <si>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</si>
  <si>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</si>
  <si>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</si>
  <si>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</si>
  <si>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</si>
  <si>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</si>
  <si>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</si>
  <si>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</si>
  <si>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</si>
  <si>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</si>
  <si>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</si>
  <si>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</si>
  <si>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</si>
  <si>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</si>
  <si>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</si>
  <si>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</si>
  <si>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</si>
  <si>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</si>
  <si>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</si>
  <si>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</si>
  <si>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</si>
  <si>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</si>
  <si>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</si>
  <si>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</si>
  <si>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</si>
  <si>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</si>
  <si>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</si>
  <si>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</si>
  <si>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</si>
  <si>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</si>
  <si>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</si>
  <si>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</si>
  <si>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</si>
  <si>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</si>
  <si>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</si>
  <si>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</si>
  <si>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</si>
  <si>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</si>
  <si>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</si>
  <si>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</si>
  <si>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</si>
  <si>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</si>
  <si>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</si>
  <si>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</si>
  <si>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</si>
  <si>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</si>
  <si>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</si>
  <si>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</si>
  <si>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</si>
  <si>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</si>
  <si>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</si>
  <si>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</si>
  <si>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</si>
  <si>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</si>
  <si>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</si>
  <si>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</si>
  <si>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</si>
  <si>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</si>
  <si>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</si>
  <si>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</si>
  <si>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</si>
  <si>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</si>
  <si>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</si>
  <si>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</si>
  <si>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</si>
  <si>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</si>
  <si>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</si>
  <si>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</si>
  <si>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</si>
  <si>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</si>
  <si>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</si>
  <si>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</si>
  <si>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</si>
  <si>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</si>
  <si>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</si>
  <si>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</si>
  <si>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</si>
  <si>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</si>
  <si>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</si>
  <si>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</si>
  <si>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</si>
  <si>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</si>
  <si>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</si>
  <si>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</si>
  <si>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</si>
  <si>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</si>
  <si>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</si>
  <si>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</si>
  <si>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</si>
  <si>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</si>
  <si>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</si>
  <si>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</si>
  <si>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</si>
  <si>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</si>
  <si>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</si>
  <si>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</si>
  <si>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</si>
  <si>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</si>
  <si>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</si>
  <si>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</si>
  <si>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</si>
  <si>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</si>
  <si>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</si>
  <si>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</si>
  <si>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</si>
  <si>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</si>
  <si>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</si>
  <si>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</si>
  <si>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</si>
  <si>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</si>
  <si>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</si>
  <si>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</si>
  <si>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</si>
  <si>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</si>
  <si>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</si>
  <si>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</si>
  <si>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</si>
  <si>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</si>
  <si>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</si>
  <si>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</si>
  <si>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</si>
  <si>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</si>
  <si>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</si>
  <si>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</si>
  <si>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</si>
  <si>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</si>
  <si>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</si>
  <si>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</si>
  <si>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</si>
  <si>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</si>
  <si>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</si>
  <si>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</si>
  <si>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</si>
  <si>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</si>
  <si>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</si>
  <si>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</si>
  <si>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</si>
  <si>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</si>
  <si>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</si>
  <si>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</si>
  <si>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</si>
  <si>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</si>
  <si>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</si>
  <si>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</si>
  <si>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</si>
  <si>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</si>
  <si>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</si>
  <si>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</si>
  <si>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</si>
  <si>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</si>
  <si>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</si>
  <si>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</si>
  <si>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</si>
  <si>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</si>
  <si>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</si>
  <si>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</si>
  <si>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</si>
  <si>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</si>
  <si>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</si>
  <si>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</si>
  <si>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</si>
  <si>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</si>
  <si>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</si>
  <si>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</si>
  <si>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</si>
  <si>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</si>
  <si>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</si>
  <si>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</si>
  <si>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</si>
  <si>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</si>
  <si>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</si>
  <si>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</si>
  <si>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</si>
  <si>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</si>
  <si>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</si>
  <si>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</si>
  <si>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</si>
  <si>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</si>
  <si>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</si>
  <si>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</si>
  <si>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</si>
  <si>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</si>
  <si>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</si>
  <si>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</si>
  <si>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</si>
  <si>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</si>
  <si>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</si>
  <si>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</si>
  <si>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</si>
  <si>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</si>
  <si>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</si>
  <si>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</si>
  <si>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</si>
  <si>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</si>
  <si>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</si>
  <si>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</si>
  <si>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</si>
  <si>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</si>
  <si>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</si>
  <si>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</si>
  <si>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</si>
  <si>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</si>
  <si>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</si>
  <si>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</si>
  <si>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</si>
  <si>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</si>
  <si>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</si>
  <si>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</si>
  <si>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</si>
  <si>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</si>
  <si>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</si>
  <si>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</si>
  <si>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</si>
  <si>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</si>
  <si>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</si>
  <si>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</si>
  <si>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</si>
  <si>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</si>
  <si>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</si>
  <si>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</si>
  <si>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</si>
  <si>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</si>
  <si>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</si>
  <si>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</si>
  <si>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</si>
  <si>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</si>
  <si>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</si>
  <si>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</si>
  <si>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</si>
  <si>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</si>
  <si>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</si>
  <si>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</si>
  <si>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</si>
  <si>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</si>
  <si>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</si>
  <si>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</si>
  <si>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</si>
  <si>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</si>
  <si>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</si>
  <si>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</si>
  <si>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</si>
  <si>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</si>
  <si>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</si>
  <si>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</si>
  <si>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</si>
  <si>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</si>
  <si>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</si>
  <si>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</si>
  <si>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</si>
  <si>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</si>
  <si>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</si>
  <si>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</si>
  <si>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</si>
  <si>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</si>
  <si>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</si>
  <si>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</si>
  <si>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</si>
  <si>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</si>
  <si>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</si>
  <si>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</si>
  <si>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</si>
  <si>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</si>
  <si>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</si>
  <si>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</si>
  <si>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</si>
  <si>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</si>
  <si>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</si>
  <si>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</si>
  <si>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</si>
  <si>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</si>
  <si>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</si>
  <si>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</si>
  <si>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</si>
  <si>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</si>
  <si>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</si>
  <si>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</si>
  <si>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</si>
  <si>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</si>
  <si>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</si>
  <si>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</si>
  <si>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</si>
  <si>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</si>
  <si>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</si>
  <si>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</si>
  <si>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</si>
  <si>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</si>
  <si>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</si>
  <si>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</si>
  <si>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</si>
  <si>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</si>
  <si>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</si>
  <si>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</si>
  <si>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</si>
  <si>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</si>
  <si>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</si>
  <si>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</si>
  <si>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</si>
  <si>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</si>
  <si>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</si>
  <si>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</si>
  <si>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</si>
  <si>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</si>
  <si>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</si>
  <si>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</si>
  <si>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</si>
  <si>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</si>
  <si>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</si>
  <si>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</si>
  <si>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</si>
  <si>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</si>
  <si>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</si>
  <si>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</si>
  <si>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</si>
  <si>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</si>
  <si>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</si>
  <si>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</si>
  <si>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</si>
  <si>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</si>
  <si>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</si>
  <si>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</si>
  <si>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</si>
  <si>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</si>
  <si>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</si>
  <si>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</si>
  <si>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</si>
  <si>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</si>
  <si>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</si>
  <si>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</si>
  <si>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</si>
  <si>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</si>
  <si>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</si>
  <si>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</si>
  <si>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</si>
  <si>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</si>
  <si>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</si>
  <si>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</si>
  <si>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</si>
  <si>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</si>
  <si>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</si>
  <si>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</si>
  <si>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</si>
  <si>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</si>
  <si>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</si>
  <si>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</si>
  <si>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</si>
  <si>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</si>
  <si>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</si>
  <si>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</si>
  <si>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</si>
  <si>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</si>
  <si>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</si>
  <si>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</si>
  <si>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</si>
  <si>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</si>
  <si>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</si>
  <si>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</si>
  <si>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</si>
  <si>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</si>
  <si>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</si>
  <si>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</si>
  <si>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</si>
  <si>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</si>
  <si>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</si>
  <si>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</si>
  <si>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</si>
  <si>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</si>
  <si>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</si>
  <si>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</si>
  <si>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</si>
  <si>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</si>
  <si>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</si>
  <si>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</si>
  <si>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</si>
  <si>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</si>
  <si>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</si>
  <si>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</si>
  <si>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</si>
  <si>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</si>
  <si>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</si>
  <si>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</si>
  <si>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</si>
  <si>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</si>
  <si>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</si>
  <si>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</si>
  <si>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</si>
  <si>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</si>
  <si>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</si>
  <si>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</si>
  <si>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</si>
  <si>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</si>
  <si>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</si>
  <si>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</si>
  <si>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</si>
  <si>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</si>
  <si>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</si>
  <si>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</si>
  <si>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</si>
  <si>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</si>
  <si>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</si>
  <si>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</si>
  <si>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</si>
  <si>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</si>
  <si>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</si>
  <si>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</si>
  <si>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</si>
  <si>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</si>
  <si>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</si>
  <si>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</si>
  <si>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</si>
  <si>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</si>
  <si>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</si>
  <si>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</si>
  <si>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</si>
  <si>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</si>
  <si>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</si>
  <si>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</si>
  <si>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</si>
  <si>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</si>
  <si>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</si>
  <si>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</si>
  <si>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</si>
  <si>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</si>
  <si>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</si>
  <si>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</si>
  <si>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</si>
  <si>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</si>
  <si>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</si>
  <si>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</si>
  <si>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</si>
  <si>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</si>
  <si>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</si>
  <si>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</si>
  <si>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</si>
  <si>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</si>
  <si>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</si>
  <si>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</si>
  <si>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</si>
  <si>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</si>
  <si>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</si>
  <si>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</si>
  <si>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</si>
  <si>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</si>
  <si>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</si>
  <si>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</si>
  <si>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</si>
  <si>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</si>
  <si>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</si>
  <si>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</si>
  <si>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</si>
  <si>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</si>
  <si>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</si>
  <si>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</si>
  <si>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</si>
  <si>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</si>
  <si>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</si>
  <si>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</si>
  <si>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</si>
  <si>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</si>
  <si>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</si>
  <si>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</si>
  <si>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</si>
  <si>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</si>
  <si>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</si>
  <si>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</si>
  <si>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</si>
  <si>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</si>
  <si>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</si>
  <si>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</si>
  <si>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</si>
  <si>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</si>
  <si>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</si>
  <si>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</si>
  <si>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</si>
  <si>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</si>
  <si>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</si>
  <si>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</si>
  <si>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</si>
  <si>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</si>
  <si>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</si>
  <si>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</si>
  <si>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</si>
  <si>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</si>
  <si>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</si>
  <si>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</si>
  <si>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</si>
  <si>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</si>
  <si>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</si>
  <si>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</si>
  <si>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</si>
  <si>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</si>
  <si>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</si>
  <si>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</si>
  <si>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</si>
  <si>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</si>
  <si>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</si>
  <si>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</si>
  <si>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</si>
  <si>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</si>
  <si>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</si>
  <si>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</si>
  <si>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</si>
  <si>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</si>
  <si>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</si>
  <si>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</si>
  <si>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</si>
  <si>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</si>
  <si>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</si>
  <si>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</si>
  <si>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</si>
  <si>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</si>
  <si>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</si>
  <si>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</si>
  <si>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</si>
  <si>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</si>
  <si>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</si>
  <si>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</si>
  <si>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</si>
  <si>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</si>
  <si>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</si>
  <si>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</si>
  <si>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</si>
  <si>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</si>
  <si>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</si>
  <si>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</si>
  <si>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</si>
  <si>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</si>
  <si>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</si>
  <si>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</si>
  <si>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</si>
  <si>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</si>
  <si>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</si>
  <si>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</si>
  <si>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</si>
  <si>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</si>
  <si>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</si>
  <si>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</si>
  <si>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</si>
  <si>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</si>
  <si>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</si>
  <si>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</si>
  <si>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</si>
  <si>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</si>
  <si>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</si>
  <si>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</si>
  <si>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</si>
  <si>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</si>
  <si>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</si>
  <si>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</si>
  <si>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</si>
  <si>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</si>
  <si>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</si>
  <si>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</si>
  <si>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</si>
  <si>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</si>
  <si>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</si>
  <si>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</si>
  <si>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</si>
  <si>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</si>
  <si>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</si>
  <si>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</si>
  <si>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</si>
  <si>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</si>
  <si>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</si>
  <si>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</si>
  <si>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</si>
  <si>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</si>
  <si>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</si>
  <si>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</si>
  <si>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</si>
  <si>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</si>
  <si>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</si>
  <si>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</si>
  <si>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</si>
  <si>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</si>
  <si>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</si>
  <si>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</si>
  <si>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</si>
  <si>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</si>
  <si>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</si>
  <si>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</si>
  <si>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</si>
  <si>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</si>
  <si>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</si>
  <si>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</si>
  <si>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</si>
  <si>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</si>
  <si>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</si>
  <si>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</si>
  <si>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</si>
  <si>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</si>
  <si>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</si>
  <si>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</si>
  <si>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</si>
  <si>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</si>
  <si>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</si>
  <si>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</si>
  <si>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</si>
  <si>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</si>
  <si>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</si>
  <si>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</si>
  <si>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</si>
  <si>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</si>
  <si>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</si>
  <si>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</si>
  <si>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</si>
  <si>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</si>
  <si>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</si>
  <si>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</si>
  <si>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</si>
  <si>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</si>
  <si>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</si>
  <si>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</si>
  <si>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</si>
  <si>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</si>
  <si>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</si>
  <si>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</si>
  <si>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</si>
  <si>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</si>
  <si>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</si>
  <si>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</si>
  <si>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</si>
  <si>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</si>
  <si>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</si>
  <si>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</si>
  <si>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</si>
  <si>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</si>
  <si>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</si>
  <si>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</si>
  <si>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</si>
  <si>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</si>
  <si>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</si>
  <si>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</si>
  <si>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</si>
  <si>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</si>
  <si>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</si>
  <si>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</si>
  <si>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</si>
  <si>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</si>
  <si>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</si>
  <si>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</si>
  <si>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</si>
  <si>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</si>
  <si>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</si>
  <si>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</si>
  <si>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</si>
  <si>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</si>
  <si>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</si>
  <si>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</si>
  <si>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</si>
  <si>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</si>
  <si>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</si>
  <si>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</si>
  <si>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</si>
  <si>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</si>
  <si>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</si>
  <si>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</si>
  <si>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</si>
  <si>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</si>
  <si>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</si>
  <si>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</si>
  <si>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</si>
  <si>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</si>
  <si>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</si>
  <si>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</si>
  <si>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</si>
  <si>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</si>
  <si>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</si>
  <si>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</si>
  <si>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</si>
  <si>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</si>
  <si>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</si>
  <si>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</si>
  <si>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</si>
  <si>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</si>
  <si>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</si>
  <si>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</si>
  <si>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</si>
  <si>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</si>
  <si>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</si>
  <si>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</si>
  <si>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</si>
  <si>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</si>
  <si>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</si>
  <si>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</si>
  <si>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</si>
  <si>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</si>
  <si>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</si>
  <si>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</si>
  <si>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</si>
  <si>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</si>
  <si>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</si>
  <si>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</si>
  <si>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</si>
  <si>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</si>
  <si>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</si>
  <si>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</si>
  <si>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</si>
  <si>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</si>
  <si>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</si>
  <si>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</si>
  <si>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</si>
  <si>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</si>
  <si>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</si>
  <si>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</si>
  <si>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</si>
  <si>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</si>
  <si>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</si>
  <si>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</si>
  <si>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</si>
  <si>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</si>
  <si>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</si>
  <si>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</si>
  <si>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</si>
  <si>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</si>
  <si>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</si>
  <si>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</si>
  <si>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</si>
  <si>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</si>
  <si>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</si>
  <si>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</si>
  <si>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</si>
  <si>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</si>
  <si>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</si>
  <si>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</si>
  <si>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</si>
  <si>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</si>
  <si>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</si>
  <si>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</si>
  <si>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</si>
  <si>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</si>
  <si>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</si>
  <si>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</si>
  <si>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</si>
  <si>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</si>
  <si>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</si>
  <si>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</si>
  <si>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</si>
  <si>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</si>
  <si>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</si>
  <si>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</si>
  <si>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</si>
  <si>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</si>
  <si>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</si>
  <si>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</si>
  <si>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</si>
  <si>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</si>
  <si>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</si>
  <si>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</si>
  <si>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</si>
  <si>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</si>
  <si>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</si>
  <si>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</si>
  <si>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</si>
  <si>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</si>
  <si>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</si>
  <si>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</si>
  <si>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</si>
  <si>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</si>
  <si>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</si>
  <si>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</si>
  <si>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</si>
  <si>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</si>
  <si>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</si>
  <si>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</si>
  <si>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</si>
  <si>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</si>
  <si>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</si>
  <si>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</si>
  <si>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</si>
  <si>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</si>
  <si>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</si>
  <si>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</si>
  <si>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</si>
  <si>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</si>
  <si>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</si>
  <si>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</si>
  <si>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</si>
  <si>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</si>
  <si>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</si>
  <si>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</si>
  <si>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</si>
  <si>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</si>
  <si>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</si>
  <si>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</si>
  <si>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</si>
  <si>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</si>
  <si>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</si>
  <si>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</si>
  <si>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</si>
  <si>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</si>
  <si>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</si>
  <si>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</si>
  <si>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</si>
  <si>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</si>
  <si>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</si>
  <si>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</si>
  <si>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</si>
  <si>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</si>
  <si>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</si>
  <si>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</si>
  <si>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</si>
  <si>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</si>
  <si>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</si>
  <si>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</si>
  <si>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</si>
  <si>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</si>
  <si>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</si>
  <si>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</si>
  <si>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</si>
  <si>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</si>
  <si>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</si>
  <si>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</si>
  <si>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</si>
  <si>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</si>
  <si>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</si>
  <si>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</si>
  <si>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</si>
  <si>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</si>
  <si>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</si>
  <si>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</si>
  <si>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</si>
  <si>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</si>
  <si>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</si>
  <si>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</si>
  <si>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</si>
  <si>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</si>
  <si>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</si>
  <si>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</si>
  <si>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</si>
  <si>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</si>
  <si>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</si>
  <si>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</si>
  <si>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</si>
  <si>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</si>
  <si>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</si>
  <si>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</si>
  <si>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</si>
  <si>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</si>
  <si>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</si>
  <si>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</si>
  <si>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</si>
  <si>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</si>
  <si>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</si>
  <si>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</si>
  <si>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</si>
  <si>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</si>
  <si>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</si>
  <si>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</si>
  <si>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</si>
  <si>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</si>
  <si>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</si>
  <si>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</si>
  <si>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</si>
  <si>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</si>
  <si>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</si>
  <si>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</si>
  <si>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</si>
  <si>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</si>
  <si>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</si>
  <si>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</si>
  <si>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</si>
  <si>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</si>
  <si>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</si>
  <si>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</si>
  <si>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</si>
  <si>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</si>
  <si>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</si>
  <si>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</si>
  <si>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</si>
  <si>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</si>
  <si>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</si>
  <si>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</si>
  <si>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</si>
  <si>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</si>
  <si>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</si>
  <si>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</si>
  <si>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</si>
  <si>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</si>
  <si>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</si>
  <si>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</si>
  <si>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</si>
  <si>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</si>
  <si>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</si>
  <si>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</si>
  <si>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</si>
  <si>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</si>
  <si>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</si>
  <si>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</si>
  <si>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</si>
  <si>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</si>
  <si>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</si>
  <si>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</si>
  <si>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</si>
  <si>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</si>
  <si>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</si>
  <si>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</si>
  <si>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</si>
  <si>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</si>
  <si>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</si>
  <si>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</si>
  <si>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</si>
  <si>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</si>
  <si>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</si>
  <si>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</si>
  <si>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</si>
  <si>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</si>
  <si>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</si>
  <si>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</si>
  <si>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</si>
  <si>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</si>
  <si>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</si>
  <si>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</si>
  <si>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</si>
  <si>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</si>
  <si>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</si>
  <si>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</si>
  <si>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</si>
  <si>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</si>
  <si>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</si>
  <si>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</si>
  <si>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</si>
  <si>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</si>
  <si>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</si>
  <si>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</si>
  <si>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</si>
  <si>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</si>
  <si>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</si>
  <si>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</si>
  <si>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</si>
  <si>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</si>
  <si>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</si>
  <si>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</si>
  <si>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</si>
  <si>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</si>
  <si>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</si>
  <si>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</si>
  <si>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</si>
  <si>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</si>
  <si>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</si>
  <si>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</si>
  <si>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</si>
  <si>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</si>
  <si>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</si>
  <si>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</si>
  <si>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</si>
  <si>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</si>
  <si>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</si>
  <si>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</si>
  <si>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</si>
  <si>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</si>
  <si>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</si>
  <si>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</si>
  <si>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</si>
  <si>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</si>
  <si>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</si>
  <si>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</si>
  <si>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</si>
  <si>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</si>
  <si>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</si>
  <si>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</si>
  <si>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</si>
  <si>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</si>
  <si>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</si>
  <si>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</si>
  <si>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</si>
  <si>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</si>
  <si>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</si>
  <si>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</si>
  <si>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</si>
  <si>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</si>
  <si>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</si>
  <si>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</si>
  <si>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</si>
  <si>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</si>
  <si>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</si>
  <si>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</si>
  <si>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</si>
  <si>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</si>
  <si>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</si>
  <si>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</si>
  <si>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</si>
  <si>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</si>
  <si>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</si>
  <si>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</si>
  <si>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</si>
  <si>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</si>
  <si>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</si>
  <si>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</si>
  <si>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</si>
  <si>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</si>
  <si>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</si>
  <si>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</si>
  <si>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</si>
  <si>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</si>
  <si>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</si>
  <si>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</si>
  <si>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</si>
  <si>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</si>
  <si>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</si>
  <si>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</si>
  <si>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</si>
  <si>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</si>
  <si>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</si>
  <si>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</si>
  <si>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</si>
  <si>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</si>
  <si>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</si>
  <si>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</si>
  <si>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</si>
  <si>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</si>
  <si>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</si>
  <si>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</si>
  <si>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</si>
  <si>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</si>
  <si>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</si>
  <si>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</si>
  <si>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</si>
  <si>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</si>
  <si>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</si>
  <si>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</si>
  <si>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</si>
  <si>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</si>
  <si>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</si>
  <si>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</si>
  <si>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</si>
  <si>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</si>
  <si>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</si>
  <si>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</si>
  <si>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</si>
  <si>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</si>
  <si>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</si>
  <si>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</si>
  <si>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</si>
  <si>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</si>
  <si>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</si>
  <si>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</si>
  <si>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</si>
  <si>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</si>
  <si>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</si>
  <si>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</si>
  <si>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</si>
  <si>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</si>
  <si>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</si>
  <si>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</si>
  <si>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</si>
  <si>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</si>
  <si>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</si>
  <si>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</si>
  <si>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</si>
  <si>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</si>
  <si>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</si>
  <si>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</si>
  <si>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</si>
  <si>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</si>
  <si>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</si>
  <si>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</si>
  <si>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</si>
  <si>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</si>
  <si>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</si>
  <si>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</si>
  <si>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</si>
  <si>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</si>
  <si>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</si>
  <si>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</si>
  <si>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</si>
  <si>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</si>
  <si>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</si>
  <si>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</si>
  <si>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</si>
  <si>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</si>
  <si>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</si>
  <si>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</si>
  <si>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</si>
  <si>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</si>
  <si>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</si>
  <si>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</si>
  <si>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</si>
  <si>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</si>
  <si>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</si>
  <si>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</si>
  <si>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</si>
  <si>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</si>
  <si>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</si>
  <si>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</si>
  <si>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</si>
  <si>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</si>
  <si>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</si>
  <si>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</si>
  <si>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</si>
  <si>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</si>
  <si>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</si>
  <si>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</si>
  <si>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</si>
  <si>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</si>
  <si>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</si>
  <si>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</si>
  <si>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</si>
  <si>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</si>
  <si>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</si>
  <si>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</si>
  <si>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</si>
  <si>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</si>
  <si>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</si>
  <si>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</si>
  <si>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</si>
  <si>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</si>
  <si>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</si>
  <si>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</si>
  <si>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</si>
  <si>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</si>
  <si>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</si>
  <si>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</si>
  <si>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</si>
  <si>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</si>
  <si>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</si>
  <si>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</si>
  <si>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</si>
  <si>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</si>
  <si>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</si>
  <si>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</si>
  <si>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</si>
  <si>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</si>
  <si>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</si>
  <si>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</si>
  <si>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</si>
  <si>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</si>
  <si>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</si>
  <si>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</si>
  <si>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</si>
  <si>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</si>
  <si>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</si>
  <si>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</si>
  <si>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</si>
  <si>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</si>
  <si>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</si>
  <si>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</si>
  <si>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</si>
  <si>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</si>
  <si>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</si>
  <si>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</si>
  <si>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</si>
  <si>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</si>
  <si>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</si>
  <si>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</si>
  <si>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</si>
  <si>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</si>
  <si>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</si>
  <si>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</si>
  <si>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</si>
  <si>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</si>
  <si>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</si>
  <si>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</si>
  <si>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</si>
  <si>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</si>
  <si>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</si>
  <si>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</si>
  <si>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</si>
  <si>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</si>
  <si>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</si>
  <si>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</si>
  <si>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</si>
  <si>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</si>
  <si>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</si>
  <si>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</si>
  <si>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</si>
  <si>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</si>
  <si>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</si>
  <si>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</si>
  <si>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</si>
  <si>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</si>
  <si>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</si>
  <si>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</si>
  <si>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</si>
  <si>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</si>
  <si>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</si>
  <si>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</si>
  <si>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</si>
  <si>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</si>
  <si>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</si>
  <si>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</si>
  <si>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</si>
  <si>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</si>
  <si>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</si>
  <si>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</si>
  <si>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</si>
  <si>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</si>
  <si>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</si>
  <si>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</si>
  <si>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</si>
  <si>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</si>
  <si>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</si>
  <si>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</si>
  <si>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</si>
  <si>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</si>
  <si>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</si>
  <si>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</si>
  <si>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</si>
  <si>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</si>
  <si>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</si>
  <si>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</si>
  <si>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</si>
  <si>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</si>
  <si>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</si>
  <si>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</si>
  <si>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</si>
  <si>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</si>
  <si>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</si>
  <si>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</si>
  <si>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</si>
  <si>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</si>
  <si>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</si>
  <si>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</si>
  <si>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</si>
  <si>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</si>
  <si>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</si>
  <si>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</si>
  <si>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</si>
  <si>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</si>
  <si>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</si>
  <si>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</si>
  <si>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</si>
  <si>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</si>
  <si>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</si>
  <si>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</si>
  <si>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</si>
  <si>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</si>
  <si>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</si>
  <si>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</si>
  <si>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</si>
  <si>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</si>
  <si>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</si>
  <si>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</si>
  <si>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</si>
  <si>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</si>
  <si>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</si>
  <si>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</si>
  <si>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</si>
  <si>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</si>
  <si>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</si>
  <si>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</si>
  <si>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</si>
  <si>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</si>
  <si>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</si>
  <si>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</si>
  <si>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</si>
  <si>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</si>
  <si>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</si>
  <si>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</si>
  <si>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</si>
  <si>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</si>
  <si>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</si>
  <si>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</si>
  <si>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</si>
  <si>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</si>
  <si>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</si>
  <si>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</si>
  <si>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</si>
  <si>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</si>
  <si>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</si>
  <si>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</si>
  <si>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</si>
  <si>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</si>
  <si>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</si>
  <si>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汇绿生态</t>
  </si>
  <si>
    <t>www.lixinger.com/analytics/company/sz/001267/1267/detail</t>
  </si>
  <si>
    <t>运机集团</t>
  </si>
  <si>
    <t>www.lixinger.com/analytics/company/sz/001288/1288/detail</t>
  </si>
  <si>
    <t>龙源电力</t>
  </si>
  <si>
    <t>www.lixinger.com/analytics/company/sz/001289/1289/detail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</si>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</sst>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9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F2">
        <v>190982000000</v>
      </c>
      <c r="G2">
        <v>196384000000</v>
      </c>
      <c r="H2">
        <v>190688000000</v>
      </c>
      <c r="I2">
        <v>171542000000</v>
      </c>
      <c r="J2">
        <v>168619000000</v>
      </c>
      <c r="K2">
        <v>160792000000</v>
      </c>
      <c r="L2">
        <v>146550000000</v>
      </c>
      <c r="M2">
        <v>123181000000</v>
      </c>
      <c r="N2">
        <v>100015000000</v>
      </c>
      <c r="O2">
        <v>82952000000</v>
      </c>
      <c r="P2">
        <v>17545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5180238341</v>
      </c>
      <c r="G3">
        <v>5224638139</v>
      </c>
      <c r="H3">
        <v>7869942251</v>
      </c>
      <c r="I3">
        <v>7746817876</v>
      </c>
      <c r="J3">
        <v>6761550874</v>
      </c>
      <c r="K3">
        <v>6166683056</v>
      </c>
      <c r="L3">
        <v>5619735354</v>
      </c>
      <c r="M3">
        <v>5527678576</v>
      </c>
      <c r="N3">
        <v>5141313419</v>
      </c>
      <c r="O3">
        <v>4673315397</v>
      </c>
      <c r="P3">
        <v>1891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61309852853.120003</v>
      </c>
      <c r="L4">
        <v>58338039869.860001</v>
      </c>
      <c r="M4">
        <v>99373089374.800003</v>
      </c>
      <c r="N4">
        <v>89581302568.610001</v>
      </c>
      <c r="O4">
        <v>91579393163.279999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15550037110</v>
      </c>
      <c r="G5">
        <v>13733401399</v>
      </c>
      <c r="H5">
        <v>13520140618</v>
      </c>
      <c r="I5">
        <v>14420631394</v>
      </c>
      <c r="J5">
        <v>18300877679</v>
      </c>
      <c r="K5">
        <v>16018020958</v>
      </c>
      <c r="L5">
        <v>16875186766</v>
      </c>
      <c r="M5">
        <v>17471251823</v>
      </c>
      <c r="N5">
        <v>19305694174</v>
      </c>
      <c r="O5">
        <v>17699645354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3585982881</v>
      </c>
      <c r="G6">
        <v>3097760404</v>
      </c>
      <c r="H6">
        <v>3530148817</v>
      </c>
      <c r="I6">
        <v>3170768175</v>
      </c>
      <c r="J6">
        <v>2766461106</v>
      </c>
      <c r="K6">
        <v>2349397869</v>
      </c>
      <c r="L6">
        <v>2271278419</v>
      </c>
      <c r="M6">
        <v>2234266629</v>
      </c>
      <c r="N6">
        <v>2050149034</v>
      </c>
      <c r="O6">
        <v>1979950431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22232593040</v>
      </c>
      <c r="G7">
        <v>19224603589</v>
      </c>
      <c r="H7">
        <v>14907273552</v>
      </c>
      <c r="I7">
        <v>12455363050</v>
      </c>
      <c r="J7">
        <v>9285468448</v>
      </c>
      <c r="K7">
        <v>7912040562</v>
      </c>
      <c r="L7">
        <v>7061493506</v>
      </c>
      <c r="M7">
        <v>5589383248</v>
      </c>
      <c r="N7">
        <v>4230653566</v>
      </c>
      <c r="O7">
        <v>3382924613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3727797262</v>
      </c>
      <c r="G8">
        <v>4303465088</v>
      </c>
      <c r="H8">
        <v>10944668478</v>
      </c>
      <c r="I8">
        <v>9313114687</v>
      </c>
      <c r="J8">
        <v>8062379030</v>
      </c>
      <c r="K8">
        <v>6951474481</v>
      </c>
      <c r="L8">
        <v>6285400290</v>
      </c>
      <c r="M8">
        <v>5750882944</v>
      </c>
      <c r="N8">
        <v>5215129817</v>
      </c>
      <c r="O8">
        <v>4720413739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86183145818</v>
      </c>
      <c r="G9">
        <v>59266130291</v>
      </c>
      <c r="H9">
        <v>63397466567</v>
      </c>
      <c r="I9">
        <v>67187560568</v>
      </c>
      <c r="J9">
        <v>53683731316</v>
      </c>
      <c r="K9">
        <v>31028180257</v>
      </c>
      <c r="L9">
        <v>22501016455</v>
      </c>
      <c r="M9">
        <v>29791893595</v>
      </c>
      <c r="N9">
        <v>37770420234</v>
      </c>
      <c r="O9">
        <v>36933606039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204605083056</v>
      </c>
      <c r="G10">
        <v>169439187471</v>
      </c>
      <c r="H10">
        <v>173484800604</v>
      </c>
      <c r="I10">
        <v>169861164810</v>
      </c>
      <c r="J10">
        <v>152459443954</v>
      </c>
      <c r="K10">
        <v>113814235972</v>
      </c>
      <c r="L10">
        <v>128904872501</v>
      </c>
      <c r="M10">
        <v>125406855036</v>
      </c>
      <c r="N10">
        <v>133832874654</v>
      </c>
      <c r="O10">
        <v>133966658882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3920958228</v>
      </c>
      <c r="G11">
        <v>2632532207</v>
      </c>
      <c r="H11">
        <v>2946420820</v>
      </c>
      <c r="I11">
        <v>2966948529</v>
      </c>
      <c r="J11">
        <v>2861411105</v>
      </c>
      <c r="K11">
        <v>2499135630</v>
      </c>
      <c r="L11">
        <v>2427004934</v>
      </c>
      <c r="M11">
        <v>2339569537</v>
      </c>
      <c r="N11">
        <v>2330104247</v>
      </c>
      <c r="O11">
        <v>2222507036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F12">
        <v>95870000000</v>
      </c>
      <c r="G12">
        <v>95309000000</v>
      </c>
      <c r="H12">
        <v>84734000000</v>
      </c>
      <c r="I12">
        <v>72227000000</v>
      </c>
      <c r="J12">
        <v>66384000000</v>
      </c>
      <c r="K12">
        <v>64025000000</v>
      </c>
      <c r="L12">
        <v>58844000000</v>
      </c>
      <c r="M12">
        <v>54885000000</v>
      </c>
      <c r="N12">
        <v>45219000000</v>
      </c>
      <c r="O12">
        <v>39776951110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F13">
        <v>168804000000</v>
      </c>
      <c r="G13">
        <v>184951000000</v>
      </c>
      <c r="H13">
        <v>180441000000</v>
      </c>
      <c r="I13">
        <v>156769000000</v>
      </c>
      <c r="J13">
        <v>144281000000</v>
      </c>
      <c r="K13">
        <v>155211000000</v>
      </c>
      <c r="L13">
        <v>154425000000</v>
      </c>
      <c r="M13">
        <v>135469000000</v>
      </c>
      <c r="N13">
        <v>115886000000</v>
      </c>
      <c r="O13">
        <v>103111000000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6504678529</v>
      </c>
      <c r="G14">
        <v>5766916424</v>
      </c>
      <c r="H14">
        <v>5245581329</v>
      </c>
      <c r="I14">
        <v>5130080615</v>
      </c>
      <c r="J14">
        <v>4804316255</v>
      </c>
      <c r="K14">
        <v>4276865599</v>
      </c>
      <c r="L14">
        <v>4377920788</v>
      </c>
      <c r="M14">
        <v>5083603808</v>
      </c>
      <c r="N14">
        <v>4965500568</v>
      </c>
      <c r="O14">
        <v>4798872357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34288697334</v>
      </c>
      <c r="G15">
        <v>26119460820</v>
      </c>
      <c r="H15">
        <v>36101631985</v>
      </c>
      <c r="I15">
        <v>38042544621</v>
      </c>
      <c r="J15">
        <v>37423946227</v>
      </c>
      <c r="K15">
        <v>31359178524</v>
      </c>
      <c r="L15">
        <v>29510831899</v>
      </c>
      <c r="M15">
        <v>28778703526</v>
      </c>
      <c r="N15">
        <v>28162298533</v>
      </c>
      <c r="O15">
        <v>28381021293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364349298085</v>
      </c>
      <c r="G16">
        <v>283674412509</v>
      </c>
      <c r="H16">
        <v>291593978708</v>
      </c>
      <c r="I16">
        <v>304779462646</v>
      </c>
      <c r="J16">
        <v>289092900259</v>
      </c>
      <c r="K16">
        <v>185458649583</v>
      </c>
      <c r="L16">
        <v>163789548495</v>
      </c>
      <c r="M16">
        <v>187413640104</v>
      </c>
      <c r="N16">
        <v>189688379683</v>
      </c>
      <c r="O16">
        <v>191135536828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5606615817</v>
      </c>
      <c r="G17">
        <v>5076800823</v>
      </c>
      <c r="H17">
        <v>6386265798</v>
      </c>
      <c r="I17">
        <v>5776036469</v>
      </c>
      <c r="J17">
        <v>5846531115</v>
      </c>
      <c r="K17">
        <v>3933738587</v>
      </c>
      <c r="L17">
        <v>4539146645</v>
      </c>
      <c r="M17">
        <v>3885151719</v>
      </c>
      <c r="N17">
        <v>3050880565</v>
      </c>
      <c r="O17">
        <v>3970890163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30631318315</v>
      </c>
      <c r="G18">
        <v>24202837810</v>
      </c>
      <c r="H18">
        <v>23690034551</v>
      </c>
      <c r="I18">
        <v>22578777857</v>
      </c>
      <c r="J18">
        <v>18844317472</v>
      </c>
      <c r="K18">
        <v>16046441686</v>
      </c>
      <c r="L18">
        <v>17006343898</v>
      </c>
      <c r="M18">
        <v>16101966798</v>
      </c>
      <c r="N18">
        <v>15131582743</v>
      </c>
      <c r="O18">
        <v>15044339577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110850917703</v>
      </c>
      <c r="G19">
        <v>87316707291</v>
      </c>
      <c r="H19">
        <v>71091690306</v>
      </c>
      <c r="I19">
        <v>55908463617</v>
      </c>
      <c r="J19">
        <v>47898377899</v>
      </c>
      <c r="K19">
        <v>50142935981</v>
      </c>
      <c r="L19">
        <v>38972316370</v>
      </c>
      <c r="M19">
        <v>51865217366</v>
      </c>
      <c r="N19">
        <v>70469797410</v>
      </c>
      <c r="O19">
        <v>73303683976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71073237421</v>
      </c>
      <c r="G20">
        <v>51684433450</v>
      </c>
      <c r="H20">
        <v>54370549106</v>
      </c>
      <c r="I20">
        <v>56633636514</v>
      </c>
      <c r="J20">
        <v>51190754897</v>
      </c>
      <c r="K20">
        <v>39176612279</v>
      </c>
      <c r="L20">
        <v>39687933804</v>
      </c>
      <c r="M20">
        <v>44178960881</v>
      </c>
      <c r="N20">
        <v>53916002641</v>
      </c>
      <c r="O20">
        <v>47061207541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20201630492</v>
      </c>
      <c r="G21">
        <v>19253374955</v>
      </c>
      <c r="H21">
        <v>20800941121</v>
      </c>
      <c r="I21">
        <v>15516479020</v>
      </c>
      <c r="J21">
        <v>12847576870</v>
      </c>
      <c r="K21">
        <v>11552027814</v>
      </c>
      <c r="L21">
        <v>12960844357</v>
      </c>
      <c r="M21">
        <v>15608436401</v>
      </c>
      <c r="P21">
        <v>768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12698667711</v>
      </c>
      <c r="G22">
        <v>16384757725</v>
      </c>
      <c r="H22">
        <v>13880075063</v>
      </c>
      <c r="I22">
        <v>12286002132</v>
      </c>
      <c r="J22">
        <v>9759438472</v>
      </c>
      <c r="K22">
        <v>13005566309</v>
      </c>
      <c r="L22">
        <v>12776528953</v>
      </c>
      <c r="M22">
        <v>12333820378</v>
      </c>
      <c r="N22">
        <v>11392036932</v>
      </c>
      <c r="O22">
        <v>11156649489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104422213000</v>
      </c>
      <c r="G23">
        <v>90744016000</v>
      </c>
      <c r="H23">
        <v>93654431000</v>
      </c>
      <c r="I23">
        <v>88365069000</v>
      </c>
      <c r="J23">
        <v>79006836000</v>
      </c>
      <c r="K23">
        <v>63346051000</v>
      </c>
      <c r="L23">
        <v>71014693000</v>
      </c>
      <c r="M23">
        <v>68397717000</v>
      </c>
      <c r="N23">
        <v>66624666000</v>
      </c>
      <c r="O23">
        <v>59489973000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2740884000000</v>
      </c>
      <c r="G24">
        <v>2105984000000</v>
      </c>
      <c r="H24">
        <v>2966193000000</v>
      </c>
      <c r="I24">
        <v>2891179000000</v>
      </c>
      <c r="J24">
        <v>2360193000000</v>
      </c>
      <c r="K24">
        <v>1930911000000</v>
      </c>
      <c r="L24">
        <v>2018883000000</v>
      </c>
      <c r="M24">
        <v>2825914000000</v>
      </c>
      <c r="N24">
        <v>2880311000000</v>
      </c>
      <c r="O24">
        <v>2786045000000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101644000000</v>
      </c>
      <c r="G25">
        <v>92561000000</v>
      </c>
      <c r="H25">
        <v>154322000000</v>
      </c>
      <c r="I25">
        <v>143623000000</v>
      </c>
      <c r="J25">
        <v>127489000000</v>
      </c>
      <c r="K25">
        <v>114792000000</v>
      </c>
      <c r="L25">
        <v>111467000000</v>
      </c>
      <c r="M25">
        <v>108313000000</v>
      </c>
      <c r="N25">
        <v>98130000000</v>
      </c>
      <c r="O25">
        <v>101483000000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F26">
        <v>76523716527</v>
      </c>
      <c r="G26">
        <v>54382730242</v>
      </c>
      <c r="H26">
        <v>43139697642</v>
      </c>
      <c r="I26">
        <v>37220708075</v>
      </c>
      <c r="J26">
        <v>43291634081</v>
      </c>
      <c r="K26">
        <v>38001923489</v>
      </c>
      <c r="L26">
        <v>56013436033</v>
      </c>
      <c r="M26">
        <v>29197531133</v>
      </c>
      <c r="N26">
        <v>16115272157</v>
      </c>
      <c r="O26">
        <v>11693881926</v>
      </c>
      <c r="P26">
        <v>5756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106113346000</v>
      </c>
      <c r="G27">
        <v>99341988000</v>
      </c>
      <c r="H27">
        <v>75665760000</v>
      </c>
      <c r="I27">
        <v>55821504000</v>
      </c>
      <c r="J27">
        <v>38335087000</v>
      </c>
      <c r="K27">
        <v>23280072000</v>
      </c>
      <c r="L27">
        <v>23366869000</v>
      </c>
      <c r="M27">
        <v>30364721000</v>
      </c>
      <c r="N27">
        <v>37327890000</v>
      </c>
      <c r="O27">
        <v>46830535000</v>
      </c>
      <c r="P27">
        <v>6537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2909533795</v>
      </c>
      <c r="G28">
        <v>2346514156</v>
      </c>
      <c r="H28">
        <v>2102378362</v>
      </c>
      <c r="I28">
        <v>1250707683</v>
      </c>
      <c r="J28">
        <v>935651800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2977220759</v>
      </c>
      <c r="G29">
        <v>2325878078</v>
      </c>
      <c r="H29">
        <v>2904136382</v>
      </c>
      <c r="I29">
        <v>2662673033</v>
      </c>
      <c r="J29">
        <v>2474266702</v>
      </c>
      <c r="K29">
        <v>2528125622</v>
      </c>
      <c r="L29">
        <v>2577755028</v>
      </c>
      <c r="M29">
        <v>2636027676</v>
      </c>
      <c r="N29">
        <v>2625118115</v>
      </c>
      <c r="O29">
        <v>2425428245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3264011567</v>
      </c>
      <c r="G30">
        <v>2486712384</v>
      </c>
      <c r="H30">
        <v>2872968523</v>
      </c>
      <c r="I30">
        <v>3070395546</v>
      </c>
      <c r="J30">
        <v>2688435229</v>
      </c>
      <c r="K30">
        <v>1272601884</v>
      </c>
      <c r="L30">
        <v>1230650516</v>
      </c>
      <c r="M30">
        <v>1130242541</v>
      </c>
      <c r="N30">
        <v>1010872885</v>
      </c>
      <c r="O30">
        <v>954243368</v>
      </c>
      <c r="P30">
        <v>289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F31">
        <v>331253000000</v>
      </c>
      <c r="G31">
        <v>290482000000</v>
      </c>
      <c r="H31">
        <v>269703000000</v>
      </c>
      <c r="I31">
        <v>248555000000</v>
      </c>
      <c r="J31">
        <v>220897000000</v>
      </c>
      <c r="K31">
        <v>209025000000</v>
      </c>
      <c r="L31">
        <v>201471000000</v>
      </c>
      <c r="M31">
        <v>165863000000</v>
      </c>
      <c r="N31">
        <v>132604000000</v>
      </c>
      <c r="O31">
        <v>113367000000</v>
      </c>
      <c r="P31">
        <v>68585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2551537203</v>
      </c>
      <c r="G32">
        <v>2575378295</v>
      </c>
      <c r="H32">
        <v>2758605341</v>
      </c>
      <c r="I32">
        <v>2725247342</v>
      </c>
      <c r="J32">
        <v>2698182813</v>
      </c>
      <c r="K32">
        <v>2664832277</v>
      </c>
      <c r="L32">
        <v>2568067842</v>
      </c>
      <c r="M32">
        <v>2465998536</v>
      </c>
      <c r="N32">
        <v>2249613734</v>
      </c>
      <c r="O32">
        <v>2202089691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21789854719</v>
      </c>
      <c r="G33">
        <v>19654751084</v>
      </c>
      <c r="H33">
        <v>15795174249</v>
      </c>
      <c r="I33">
        <v>13065513622</v>
      </c>
      <c r="J33">
        <v>12048108836</v>
      </c>
      <c r="K33">
        <v>12521514021</v>
      </c>
      <c r="L33">
        <v>12544121414</v>
      </c>
      <c r="M33">
        <v>12455436126</v>
      </c>
      <c r="N33">
        <v>10830674602</v>
      </c>
      <c r="O33">
        <v>2858187038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85048512412</v>
      </c>
      <c r="G34">
        <v>61069907488</v>
      </c>
      <c r="H34">
        <v>52725476605</v>
      </c>
      <c r="I34">
        <v>40019221370</v>
      </c>
      <c r="J34">
        <v>32762821060</v>
      </c>
      <c r="K34">
        <v>30108345149</v>
      </c>
      <c r="L34">
        <v>30771184177</v>
      </c>
      <c r="M34">
        <v>26972743498</v>
      </c>
      <c r="N34">
        <v>25426913115</v>
      </c>
      <c r="O34">
        <v>24929693330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284933136294</v>
      </c>
      <c r="G35">
        <v>243094868537</v>
      </c>
      <c r="H35">
        <v>235933564582</v>
      </c>
      <c r="I35">
        <v>194513842492</v>
      </c>
      <c r="J35">
        <v>146306235169</v>
      </c>
      <c r="K35">
        <v>154752138130</v>
      </c>
      <c r="L35">
        <v>123428784172</v>
      </c>
      <c r="M35">
        <v>109056497066</v>
      </c>
      <c r="N35">
        <v>92355524196</v>
      </c>
      <c r="O35">
        <v>68905756710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327854494119</v>
      </c>
      <c r="G36">
        <v>303838070591</v>
      </c>
      <c r="H36">
        <v>290514554553</v>
      </c>
      <c r="I36">
        <v>290876776866</v>
      </c>
      <c r="J36">
        <v>274828946271</v>
      </c>
      <c r="K36">
        <v>274196782481</v>
      </c>
      <c r="L36">
        <v>277048529129</v>
      </c>
      <c r="M36">
        <v>288570874374</v>
      </c>
      <c r="N36">
        <v>303727203182</v>
      </c>
      <c r="O36">
        <v>256264749435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3725851908</v>
      </c>
      <c r="G37">
        <v>4913513656</v>
      </c>
      <c r="H37">
        <v>3874245058</v>
      </c>
      <c r="I37">
        <v>4039842661</v>
      </c>
      <c r="J37">
        <v>7068770731</v>
      </c>
      <c r="K37">
        <v>4182553190</v>
      </c>
      <c r="L37">
        <v>3698395081</v>
      </c>
      <c r="M37">
        <v>4442561321</v>
      </c>
      <c r="N37">
        <v>2823462066</v>
      </c>
      <c r="O37">
        <v>3023927135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233458453</v>
      </c>
      <c r="G38">
        <v>186440120</v>
      </c>
      <c r="H38">
        <v>101418096</v>
      </c>
      <c r="I38">
        <v>808555952</v>
      </c>
      <c r="J38">
        <v>821633918</v>
      </c>
      <c r="K38">
        <v>1739922106</v>
      </c>
      <c r="L38">
        <v>2342096429</v>
      </c>
      <c r="M38">
        <v>1759151681</v>
      </c>
      <c r="N38">
        <v>1920829564</v>
      </c>
      <c r="O38">
        <v>1520252017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205893274</v>
      </c>
      <c r="G39">
        <v>336346886</v>
      </c>
      <c r="H39">
        <v>2201133811</v>
      </c>
      <c r="I39">
        <v>815133092</v>
      </c>
      <c r="J39">
        <v>755990822</v>
      </c>
      <c r="K39">
        <v>1644153622</v>
      </c>
      <c r="L39">
        <v>1123764263</v>
      </c>
      <c r="M39">
        <v>803219388</v>
      </c>
      <c r="N39">
        <v>604881162</v>
      </c>
      <c r="O39">
        <v>330603132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895205493</v>
      </c>
      <c r="G40">
        <v>740843192</v>
      </c>
      <c r="H40">
        <v>1606740375</v>
      </c>
      <c r="I40">
        <v>1620953548</v>
      </c>
      <c r="J40">
        <v>1783906774</v>
      </c>
      <c r="K40">
        <v>1669335602</v>
      </c>
      <c r="L40">
        <v>1664622272</v>
      </c>
      <c r="M40">
        <v>1489909997</v>
      </c>
      <c r="N40">
        <v>1294090284</v>
      </c>
      <c r="O40">
        <v>1841407664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1156174686</v>
      </c>
      <c r="G41">
        <v>1131904792</v>
      </c>
      <c r="H41">
        <v>982372019</v>
      </c>
      <c r="I41">
        <v>954529651</v>
      </c>
      <c r="J41">
        <v>883958514</v>
      </c>
      <c r="K41">
        <v>813400702</v>
      </c>
      <c r="L41">
        <v>818218096</v>
      </c>
      <c r="M41">
        <v>739874867</v>
      </c>
      <c r="N41">
        <v>764680965</v>
      </c>
      <c r="O41">
        <v>690346219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36234414703</v>
      </c>
      <c r="G42">
        <v>39311753472</v>
      </c>
      <c r="H42">
        <v>35284824315</v>
      </c>
      <c r="I42">
        <v>31006036448</v>
      </c>
      <c r="J42">
        <v>30102338550</v>
      </c>
      <c r="K42">
        <v>25737892194</v>
      </c>
      <c r="L42">
        <v>20570225970</v>
      </c>
      <c r="M42">
        <v>17857372640</v>
      </c>
      <c r="N42">
        <v>14829508156</v>
      </c>
      <c r="O42">
        <v>9901358349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462516230105</v>
      </c>
      <c r="G43">
        <v>360214783466</v>
      </c>
      <c r="H43">
        <v>272411681645</v>
      </c>
      <c r="I43">
        <v>234007565966</v>
      </c>
      <c r="J43">
        <v>203290634265</v>
      </c>
      <c r="K43">
        <v>119066856738</v>
      </c>
      <c r="L43">
        <v>59923307039</v>
      </c>
      <c r="M43">
        <v>48383972066</v>
      </c>
      <c r="N43">
        <v>35402328041</v>
      </c>
      <c r="O43">
        <v>29355741014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87507340507</v>
      </c>
      <c r="G44">
        <v>67318471910</v>
      </c>
      <c r="H44">
        <v>62248468915</v>
      </c>
      <c r="I44">
        <v>56530042881</v>
      </c>
      <c r="J44">
        <v>59020163774</v>
      </c>
      <c r="K44">
        <v>40726679725</v>
      </c>
      <c r="L44">
        <v>61985524162</v>
      </c>
      <c r="M44">
        <v>134559384982</v>
      </c>
      <c r="N44">
        <v>203259150042</v>
      </c>
      <c r="O44">
        <v>149388449894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1576611912</v>
      </c>
      <c r="G45">
        <v>1300901437</v>
      </c>
      <c r="H45">
        <v>1759425558</v>
      </c>
      <c r="I45">
        <v>1717030272</v>
      </c>
      <c r="J45">
        <v>1637301754</v>
      </c>
      <c r="K45">
        <v>1535223217</v>
      </c>
      <c r="L45">
        <v>1375945636</v>
      </c>
      <c r="M45">
        <v>1337947725</v>
      </c>
      <c r="N45">
        <v>1467923846</v>
      </c>
      <c r="O45">
        <v>1421789153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46801131516</v>
      </c>
      <c r="G46">
        <v>39314718113</v>
      </c>
      <c r="H46">
        <v>34104738790</v>
      </c>
      <c r="I46">
        <v>35128278184</v>
      </c>
      <c r="J46">
        <v>32870410894</v>
      </c>
      <c r="K46">
        <v>31832456027</v>
      </c>
      <c r="L46">
        <v>30189986792</v>
      </c>
      <c r="M46">
        <v>29007069216</v>
      </c>
      <c r="N46">
        <v>28479859096</v>
      </c>
      <c r="O46">
        <v>25251980431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1191134605</v>
      </c>
      <c r="G47">
        <v>959663087</v>
      </c>
      <c r="H47">
        <v>668103209</v>
      </c>
      <c r="I47">
        <v>2364308199</v>
      </c>
      <c r="J47">
        <v>704734402</v>
      </c>
      <c r="K47">
        <v>510024499</v>
      </c>
      <c r="L47">
        <v>2280719676</v>
      </c>
      <c r="M47">
        <v>4716843208</v>
      </c>
      <c r="N47">
        <v>4356238867</v>
      </c>
      <c r="O47">
        <v>3252610663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9111516931</v>
      </c>
      <c r="G48">
        <v>8503938230</v>
      </c>
      <c r="H48">
        <v>9380989928</v>
      </c>
      <c r="I48">
        <v>8225083313</v>
      </c>
      <c r="J48">
        <v>6421846769</v>
      </c>
      <c r="K48">
        <v>5494803869</v>
      </c>
      <c r="L48">
        <v>5138395402</v>
      </c>
      <c r="M48">
        <v>4280960954</v>
      </c>
      <c r="N48">
        <v>6834574326</v>
      </c>
      <c r="O48">
        <v>6989323408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8103151148</v>
      </c>
      <c r="G49">
        <v>7053556366</v>
      </c>
      <c r="H49">
        <v>6356379638</v>
      </c>
      <c r="I49">
        <v>5857244754</v>
      </c>
      <c r="J49">
        <v>4705712046</v>
      </c>
      <c r="K49">
        <v>3543435736</v>
      </c>
      <c r="L49">
        <v>3484643313</v>
      </c>
      <c r="M49">
        <v>4126092483</v>
      </c>
      <c r="N49">
        <v>3573058833</v>
      </c>
      <c r="O49">
        <v>2879150558</v>
      </c>
      <c r="P49">
        <v>222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4918628734</v>
      </c>
      <c r="G50">
        <v>2903536226</v>
      </c>
      <c r="H50">
        <v>2908775313</v>
      </c>
      <c r="I50">
        <v>3398597165</v>
      </c>
      <c r="J50">
        <v>3595437626</v>
      </c>
      <c r="K50">
        <v>5183099937</v>
      </c>
      <c r="L50">
        <v>3838121347</v>
      </c>
      <c r="M50">
        <v>3242074106</v>
      </c>
      <c r="N50">
        <v>3502006871</v>
      </c>
      <c r="O50">
        <v>2163458611</v>
      </c>
      <c r="P50">
        <v>431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547526576.69000006</v>
      </c>
      <c r="L51">
        <v>1103713468.99</v>
      </c>
      <c r="M51">
        <v>1831416917.8099999</v>
      </c>
      <c r="N51">
        <v>3333139550.02</v>
      </c>
      <c r="O51">
        <v>2610272383.8200002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23233463182</v>
      </c>
      <c r="G52">
        <v>21705048360</v>
      </c>
      <c r="H52">
        <v>30479437931</v>
      </c>
      <c r="I52">
        <v>31745844573</v>
      </c>
      <c r="J52">
        <v>33221948767</v>
      </c>
      <c r="K52">
        <v>35850442043</v>
      </c>
      <c r="L52">
        <v>31210873853</v>
      </c>
      <c r="M52">
        <v>25728299513</v>
      </c>
      <c r="N52">
        <v>22093826571</v>
      </c>
      <c r="O52">
        <v>19763459199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9457218836</v>
      </c>
      <c r="G53">
        <v>8891814904</v>
      </c>
      <c r="H53">
        <v>7787326951</v>
      </c>
      <c r="I53">
        <v>8108531921</v>
      </c>
      <c r="J53">
        <v>6896989337</v>
      </c>
      <c r="K53">
        <v>6129156477</v>
      </c>
      <c r="L53">
        <v>7402205140</v>
      </c>
      <c r="M53">
        <v>7564206725</v>
      </c>
      <c r="N53">
        <v>8225480266</v>
      </c>
      <c r="O53">
        <v>6256271571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112611172877</v>
      </c>
      <c r="H54">
        <v>109945696867</v>
      </c>
      <c r="I54">
        <v>100625669772</v>
      </c>
      <c r="J54">
        <v>106807099535</v>
      </c>
      <c r="K54">
        <v>100254150416</v>
      </c>
      <c r="L54">
        <v>82274932384</v>
      </c>
      <c r="M54">
        <v>71605390347</v>
      </c>
      <c r="N54">
        <v>59527557416</v>
      </c>
      <c r="O54">
        <v>53536895341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2019192475</v>
      </c>
      <c r="I55">
        <v>2835174674</v>
      </c>
      <c r="J55">
        <v>2937369148</v>
      </c>
      <c r="K55">
        <v>2342884024</v>
      </c>
      <c r="L55">
        <v>2820238364</v>
      </c>
      <c r="M55">
        <v>3005242677</v>
      </c>
      <c r="N55">
        <v>3514959659</v>
      </c>
      <c r="O55">
        <v>3392585524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1312128320</v>
      </c>
      <c r="G56">
        <v>3039071247</v>
      </c>
      <c r="H56">
        <v>3129137093</v>
      </c>
      <c r="I56">
        <v>2766960706</v>
      </c>
      <c r="J56">
        <v>1927233696</v>
      </c>
      <c r="K56">
        <v>879341836</v>
      </c>
      <c r="L56">
        <v>804640621</v>
      </c>
      <c r="M56">
        <v>963890368</v>
      </c>
      <c r="N56">
        <v>1072373157</v>
      </c>
      <c r="O56">
        <v>1056706355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1592744082</v>
      </c>
      <c r="G57">
        <v>1272676810</v>
      </c>
      <c r="H57">
        <v>1127927077</v>
      </c>
      <c r="I57">
        <v>777759622</v>
      </c>
      <c r="J57">
        <v>794493004</v>
      </c>
      <c r="K57">
        <v>749552199</v>
      </c>
      <c r="L57">
        <v>803232868</v>
      </c>
      <c r="M57">
        <v>890972343</v>
      </c>
      <c r="N57">
        <v>697782715</v>
      </c>
      <c r="O57">
        <v>1360140886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2409471909</v>
      </c>
      <c r="G58">
        <v>1874937664</v>
      </c>
      <c r="H58">
        <v>3328387821</v>
      </c>
      <c r="I58">
        <v>3264373125</v>
      </c>
      <c r="J58">
        <v>4263628598</v>
      </c>
      <c r="K58">
        <v>5304151935</v>
      </c>
      <c r="L58">
        <v>913590320</v>
      </c>
      <c r="M58">
        <v>979743843</v>
      </c>
      <c r="N58">
        <v>921151213</v>
      </c>
      <c r="O58">
        <v>1041537260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23617346326</v>
      </c>
      <c r="G59">
        <v>23866716560</v>
      </c>
      <c r="H59">
        <v>23403542394</v>
      </c>
      <c r="I59">
        <v>22179398768</v>
      </c>
      <c r="J59">
        <v>22221374104</v>
      </c>
      <c r="K59">
        <v>13833588955</v>
      </c>
      <c r="L59">
        <v>12233445661</v>
      </c>
      <c r="M59">
        <v>10562357749</v>
      </c>
      <c r="N59">
        <v>10376481447</v>
      </c>
      <c r="O59">
        <v>7852277084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161045544</v>
      </c>
      <c r="I60">
        <v>146448046</v>
      </c>
      <c r="J60">
        <v>2845811908</v>
      </c>
      <c r="K60">
        <v>4114202063</v>
      </c>
      <c r="L60">
        <v>1656993468</v>
      </c>
      <c r="M60">
        <v>739625931</v>
      </c>
      <c r="N60">
        <v>1401501128</v>
      </c>
      <c r="O60">
        <v>1745421580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12014607613</v>
      </c>
      <c r="G61">
        <v>8992579871</v>
      </c>
      <c r="H61">
        <v>4503737805</v>
      </c>
      <c r="I61">
        <v>4827760148</v>
      </c>
      <c r="J61">
        <v>4977162552</v>
      </c>
      <c r="K61">
        <v>5597392324</v>
      </c>
      <c r="L61">
        <v>2275036426</v>
      </c>
      <c r="M61">
        <v>4270042921</v>
      </c>
      <c r="N61">
        <v>3941109111</v>
      </c>
      <c r="O61">
        <v>4050041563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1286213336</v>
      </c>
      <c r="G62">
        <v>1023101597</v>
      </c>
      <c r="H62">
        <v>2012628534</v>
      </c>
      <c r="I62">
        <v>2289513096</v>
      </c>
      <c r="J62">
        <v>1818105952</v>
      </c>
      <c r="K62">
        <v>1307514422</v>
      </c>
      <c r="L62">
        <v>1030847103</v>
      </c>
      <c r="M62">
        <v>17252959</v>
      </c>
      <c r="N62">
        <v>13667521</v>
      </c>
      <c r="O62">
        <v>12791748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7498219048</v>
      </c>
      <c r="G63">
        <v>7161415261</v>
      </c>
      <c r="H63">
        <v>4166986135</v>
      </c>
      <c r="I63">
        <v>4592197658</v>
      </c>
      <c r="J63">
        <v>2749286862</v>
      </c>
      <c r="K63">
        <v>7763894112</v>
      </c>
      <c r="L63">
        <v>3473490212</v>
      </c>
      <c r="M63">
        <v>2323031034</v>
      </c>
      <c r="N63">
        <v>2791294799</v>
      </c>
      <c r="O63">
        <v>3062585886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3333405365</v>
      </c>
      <c r="G64">
        <v>3136548504</v>
      </c>
      <c r="H64">
        <v>3309960191</v>
      </c>
      <c r="I64">
        <v>3146473981</v>
      </c>
      <c r="J64">
        <v>2986019370</v>
      </c>
      <c r="K64">
        <v>3268254348</v>
      </c>
      <c r="L64">
        <v>2387726450</v>
      </c>
      <c r="M64">
        <v>2595561278</v>
      </c>
      <c r="N64">
        <v>2460190405</v>
      </c>
      <c r="O64">
        <v>2661494633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20441039365</v>
      </c>
      <c r="G65">
        <v>20368918740</v>
      </c>
      <c r="H65">
        <v>21806605805</v>
      </c>
      <c r="I65">
        <v>18633826363</v>
      </c>
      <c r="J65">
        <v>15445684101</v>
      </c>
      <c r="K65">
        <v>12330950053</v>
      </c>
      <c r="L65">
        <v>10053978403</v>
      </c>
      <c r="M65">
        <v>7051628038</v>
      </c>
      <c r="N65">
        <v>6010211398</v>
      </c>
      <c r="O65">
        <v>5317093010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534036501</v>
      </c>
      <c r="G66">
        <v>668180335</v>
      </c>
      <c r="H66">
        <v>754544014</v>
      </c>
      <c r="I66">
        <v>745161288</v>
      </c>
      <c r="J66">
        <v>757182461</v>
      </c>
      <c r="K66">
        <v>666645493</v>
      </c>
      <c r="L66">
        <v>730144537</v>
      </c>
      <c r="M66">
        <v>712790079</v>
      </c>
      <c r="N66">
        <v>471099599</v>
      </c>
      <c r="O66">
        <v>460193983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7861180525</v>
      </c>
      <c r="G67">
        <v>6889170074</v>
      </c>
      <c r="H67">
        <v>6530512834</v>
      </c>
      <c r="I67">
        <v>6673078457</v>
      </c>
      <c r="J67">
        <v>6101708462</v>
      </c>
      <c r="K67">
        <v>5224427206</v>
      </c>
      <c r="L67">
        <v>4824927064</v>
      </c>
      <c r="M67">
        <v>4901614600</v>
      </c>
      <c r="N67">
        <v>3082697719</v>
      </c>
      <c r="O67">
        <v>2448824243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911545495</v>
      </c>
      <c r="G68">
        <v>458100258</v>
      </c>
      <c r="H68">
        <v>677644002</v>
      </c>
      <c r="I68">
        <v>781435818</v>
      </c>
      <c r="J68">
        <v>511972110</v>
      </c>
      <c r="K68">
        <v>700723068</v>
      </c>
      <c r="L68">
        <v>683751062</v>
      </c>
      <c r="M68">
        <v>921410362</v>
      </c>
      <c r="N68">
        <v>869842885</v>
      </c>
      <c r="O68">
        <v>838931952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581590357</v>
      </c>
      <c r="G69">
        <v>244395513</v>
      </c>
      <c r="H69">
        <v>170898790</v>
      </c>
      <c r="I69">
        <v>1566152355</v>
      </c>
      <c r="J69">
        <v>87739385</v>
      </c>
      <c r="K69">
        <v>91445740</v>
      </c>
      <c r="L69">
        <v>114506774</v>
      </c>
      <c r="M69">
        <v>90577100</v>
      </c>
      <c r="N69">
        <v>82039111</v>
      </c>
      <c r="O69">
        <v>11908403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217230395</v>
      </c>
      <c r="G70">
        <v>94614897</v>
      </c>
      <c r="H70">
        <v>248314310</v>
      </c>
      <c r="I70">
        <v>342399095</v>
      </c>
      <c r="J70">
        <v>401735294</v>
      </c>
      <c r="K70">
        <v>264634159</v>
      </c>
      <c r="L70">
        <v>303140794</v>
      </c>
      <c r="M70">
        <v>523453640</v>
      </c>
      <c r="N70">
        <v>552141647</v>
      </c>
      <c r="O70">
        <v>619039395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14603100740</v>
      </c>
      <c r="G71">
        <v>12825879051</v>
      </c>
      <c r="H71">
        <v>13277123199</v>
      </c>
      <c r="I71">
        <v>14208636447</v>
      </c>
      <c r="J71">
        <v>13375966344</v>
      </c>
      <c r="K71">
        <v>12090740122</v>
      </c>
      <c r="L71">
        <v>10808761230</v>
      </c>
      <c r="M71">
        <v>9685867523</v>
      </c>
      <c r="N71">
        <v>8714647402</v>
      </c>
      <c r="O71">
        <v>7504031978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H72">
        <v>54062718</v>
      </c>
      <c r="I72">
        <v>2960978595</v>
      </c>
      <c r="J72">
        <v>9276629101</v>
      </c>
      <c r="K72">
        <v>6591548347</v>
      </c>
      <c r="L72">
        <v>8660600781</v>
      </c>
      <c r="M72">
        <v>4542552710</v>
      </c>
      <c r="N72">
        <v>5928023628</v>
      </c>
      <c r="O72">
        <v>4826965102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5781236542.1099997</v>
      </c>
      <c r="L73">
        <v>5479296438.71</v>
      </c>
      <c r="M73">
        <v>5202122615.6599998</v>
      </c>
      <c r="N73">
        <v>7306808610.75</v>
      </c>
      <c r="O73">
        <v>6629180994.79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1188056039</v>
      </c>
      <c r="G74">
        <v>778340964</v>
      </c>
      <c r="H74">
        <v>855821413</v>
      </c>
      <c r="I74">
        <v>810889023</v>
      </c>
      <c r="J74">
        <v>718061932</v>
      </c>
      <c r="K74">
        <v>514818729</v>
      </c>
      <c r="L74">
        <v>513550441</v>
      </c>
      <c r="M74">
        <v>756038255</v>
      </c>
      <c r="N74">
        <v>1240325128</v>
      </c>
      <c r="O74">
        <v>1228647825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61278367720</v>
      </c>
      <c r="G75">
        <v>44095319973</v>
      </c>
      <c r="H75">
        <v>36980048574</v>
      </c>
      <c r="I75">
        <v>39655527760</v>
      </c>
      <c r="J75">
        <v>38281201718</v>
      </c>
      <c r="K75">
        <v>40117492192</v>
      </c>
      <c r="L75">
        <v>37451962164</v>
      </c>
      <c r="M75">
        <v>36074756310</v>
      </c>
      <c r="N75">
        <v>29174688011</v>
      </c>
      <c r="O75">
        <v>20325141936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G76">
        <v>893822581</v>
      </c>
      <c r="H76">
        <v>4499630609</v>
      </c>
      <c r="I76">
        <v>10841541663</v>
      </c>
      <c r="J76">
        <v>9855346535</v>
      </c>
      <c r="K76">
        <v>8996568440</v>
      </c>
      <c r="L76">
        <v>1204977122</v>
      </c>
      <c r="M76">
        <v>1132164871</v>
      </c>
      <c r="N76">
        <v>1307258427</v>
      </c>
      <c r="O76">
        <v>1252421161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17715896</v>
      </c>
      <c r="G77">
        <v>18234736</v>
      </c>
      <c r="H77">
        <v>24177951</v>
      </c>
      <c r="I77">
        <v>56248962</v>
      </c>
      <c r="J77">
        <v>65476772</v>
      </c>
      <c r="K77">
        <v>28235511</v>
      </c>
      <c r="L77">
        <v>22023414</v>
      </c>
      <c r="M77">
        <v>21340114</v>
      </c>
      <c r="N77">
        <v>25528991</v>
      </c>
      <c r="O77">
        <v>31735877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168218.5</v>
      </c>
      <c r="L78">
        <v>313565.96999999997</v>
      </c>
      <c r="M78">
        <v>1308255.6000000001</v>
      </c>
      <c r="N78">
        <v>947526.01</v>
      </c>
      <c r="O78">
        <v>1048881.6000000001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884816063</v>
      </c>
      <c r="G79">
        <v>9094288562</v>
      </c>
      <c r="H79">
        <v>14174455095</v>
      </c>
      <c r="I79">
        <v>13549967139</v>
      </c>
      <c r="J79">
        <v>15437428994</v>
      </c>
      <c r="K79">
        <v>15704089646</v>
      </c>
      <c r="L79">
        <v>5271291350</v>
      </c>
      <c r="M79">
        <v>405008346</v>
      </c>
      <c r="N79">
        <v>388492902</v>
      </c>
      <c r="O79">
        <v>427260133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7661224597</v>
      </c>
      <c r="G80">
        <v>14836942772</v>
      </c>
      <c r="H80">
        <v>13043166527</v>
      </c>
      <c r="I80">
        <v>13383021389</v>
      </c>
      <c r="J80">
        <v>10244470545</v>
      </c>
      <c r="K80">
        <v>8764902969</v>
      </c>
      <c r="L80">
        <v>5167571884</v>
      </c>
      <c r="M80">
        <v>5379903275</v>
      </c>
      <c r="N80">
        <v>2939893169</v>
      </c>
      <c r="O80">
        <v>1676450139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2548273586</v>
      </c>
      <c r="G81">
        <v>730866643</v>
      </c>
      <c r="H81">
        <v>459493789</v>
      </c>
      <c r="I81">
        <v>299404616</v>
      </c>
      <c r="J81">
        <v>222566307</v>
      </c>
      <c r="K81">
        <v>254243478</v>
      </c>
      <c r="L81">
        <v>264619960</v>
      </c>
      <c r="M81">
        <v>440165422</v>
      </c>
      <c r="N81">
        <v>552760123</v>
      </c>
      <c r="O81">
        <v>323606958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63249227894</v>
      </c>
      <c r="G82">
        <v>52110835343</v>
      </c>
      <c r="H82">
        <v>53975857637</v>
      </c>
      <c r="I82">
        <v>52978958638</v>
      </c>
      <c r="J82">
        <v>55971434742</v>
      </c>
      <c r="K82">
        <v>52633726964</v>
      </c>
      <c r="L82">
        <v>50266903520</v>
      </c>
      <c r="M82">
        <v>54492278091</v>
      </c>
      <c r="N82">
        <v>55896235915</v>
      </c>
      <c r="O82">
        <v>9893035265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1980317011</v>
      </c>
      <c r="G83">
        <v>1968952164</v>
      </c>
      <c r="H83">
        <v>2212094889</v>
      </c>
      <c r="I83">
        <v>1909976200</v>
      </c>
      <c r="J83">
        <v>1787457509</v>
      </c>
      <c r="K83">
        <v>1148730870</v>
      </c>
      <c r="L83">
        <v>675047903</v>
      </c>
      <c r="M83">
        <v>831010887</v>
      </c>
      <c r="N83">
        <v>815560060</v>
      </c>
      <c r="O83">
        <v>819818890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37910132686</v>
      </c>
      <c r="G84">
        <v>31645123125</v>
      </c>
      <c r="H84">
        <v>29534215007</v>
      </c>
      <c r="I84">
        <v>25981687094</v>
      </c>
      <c r="J84">
        <v>24651887806</v>
      </c>
      <c r="K84">
        <v>22008147525</v>
      </c>
      <c r="L84">
        <v>21116650727</v>
      </c>
      <c r="M84">
        <v>19445795159</v>
      </c>
      <c r="N84">
        <v>16628451480</v>
      </c>
      <c r="O84">
        <v>15164465859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841449093</v>
      </c>
      <c r="G85">
        <v>599596431</v>
      </c>
      <c r="H85">
        <v>578073230</v>
      </c>
      <c r="I85">
        <v>526091430</v>
      </c>
      <c r="J85">
        <v>452273771</v>
      </c>
      <c r="K85">
        <v>462600425</v>
      </c>
      <c r="L85">
        <v>357003869</v>
      </c>
      <c r="M85">
        <v>357834662</v>
      </c>
      <c r="N85">
        <v>280368748</v>
      </c>
      <c r="O85">
        <v>219595635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28456349589</v>
      </c>
      <c r="G86">
        <v>25907048214</v>
      </c>
      <c r="H86">
        <v>23040436215</v>
      </c>
      <c r="I86">
        <v>24832976038</v>
      </c>
      <c r="J86">
        <v>25989387339</v>
      </c>
      <c r="K86">
        <v>27174336862</v>
      </c>
      <c r="L86">
        <v>28447284180</v>
      </c>
      <c r="M86">
        <v>25993724027</v>
      </c>
      <c r="N86">
        <v>22650144108</v>
      </c>
      <c r="O86">
        <v>22342679926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1928058091</v>
      </c>
      <c r="G87">
        <v>1668225827</v>
      </c>
      <c r="H87">
        <v>1607699267</v>
      </c>
      <c r="I87">
        <v>1599933133</v>
      </c>
      <c r="J87">
        <v>1513192946</v>
      </c>
      <c r="K87">
        <v>1383781590</v>
      </c>
      <c r="L87">
        <v>1267972636</v>
      </c>
      <c r="M87">
        <v>1244897125</v>
      </c>
      <c r="N87">
        <v>1080729765</v>
      </c>
      <c r="O87">
        <v>908260842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70469797409.649994</v>
      </c>
      <c r="O88">
        <v>73303683975.979996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2867293987</v>
      </c>
      <c r="G89">
        <v>2495383843</v>
      </c>
      <c r="H89">
        <v>2670264553</v>
      </c>
      <c r="I89">
        <v>2860507314</v>
      </c>
      <c r="J89">
        <v>2655536525</v>
      </c>
      <c r="K89">
        <v>2277754341</v>
      </c>
      <c r="L89">
        <v>2111610376</v>
      </c>
      <c r="M89">
        <v>1895488545</v>
      </c>
      <c r="N89">
        <v>1809205037</v>
      </c>
      <c r="O89">
        <v>1719490722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759914635560</v>
      </c>
      <c r="G90">
        <v>723042589215</v>
      </c>
      <c r="H90">
        <v>826530002968</v>
      </c>
      <c r="I90">
        <v>887626207288</v>
      </c>
      <c r="J90">
        <v>857977717907</v>
      </c>
      <c r="K90">
        <v>746236741229</v>
      </c>
      <c r="L90">
        <v>661373929793</v>
      </c>
      <c r="M90">
        <v>626712394487</v>
      </c>
      <c r="N90">
        <v>563345672366</v>
      </c>
      <c r="O90">
        <v>478432576343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3909727577</v>
      </c>
      <c r="G91">
        <v>3285355632</v>
      </c>
      <c r="H91">
        <v>3371003477</v>
      </c>
      <c r="I91">
        <v>3221253191</v>
      </c>
      <c r="J91">
        <v>2869207060</v>
      </c>
      <c r="K91">
        <v>2578578721</v>
      </c>
      <c r="L91">
        <v>2255624411</v>
      </c>
      <c r="M91">
        <v>2502507623</v>
      </c>
      <c r="N91">
        <v>1138593385</v>
      </c>
      <c r="O91">
        <v>1370540277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164771669</v>
      </c>
      <c r="G92">
        <v>201736167</v>
      </c>
      <c r="H92">
        <v>239130786</v>
      </c>
      <c r="I92">
        <v>239809187</v>
      </c>
      <c r="J92">
        <v>237824786</v>
      </c>
      <c r="K92">
        <v>305068818</v>
      </c>
      <c r="L92">
        <v>320334784</v>
      </c>
      <c r="M92">
        <v>339609382</v>
      </c>
      <c r="N92">
        <v>334697250</v>
      </c>
      <c r="O92">
        <v>321845985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485541078</v>
      </c>
      <c r="G93">
        <v>338918565</v>
      </c>
      <c r="H93">
        <v>447250852</v>
      </c>
      <c r="I93">
        <v>418458685</v>
      </c>
      <c r="J93">
        <v>443660878</v>
      </c>
      <c r="K93">
        <v>434337009</v>
      </c>
      <c r="L93">
        <v>470953799</v>
      </c>
      <c r="M93">
        <v>460402035</v>
      </c>
      <c r="N93">
        <v>550353943</v>
      </c>
      <c r="O93">
        <v>488511713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3332692530</v>
      </c>
      <c r="G94">
        <v>3132066912</v>
      </c>
      <c r="H94">
        <v>2731512697</v>
      </c>
      <c r="I94">
        <v>2507509620</v>
      </c>
      <c r="J94">
        <v>2066341678</v>
      </c>
      <c r="K94">
        <v>2068975052</v>
      </c>
      <c r="L94">
        <v>2191117594</v>
      </c>
      <c r="M94">
        <v>2244848821</v>
      </c>
      <c r="N94">
        <v>2336837178</v>
      </c>
      <c r="O94">
        <v>2246057396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F95">
        <v>7126630309</v>
      </c>
      <c r="G95">
        <v>6062801500</v>
      </c>
      <c r="H95">
        <v>4349514734</v>
      </c>
      <c r="I95">
        <v>3766119305</v>
      </c>
      <c r="J95">
        <v>4390587321</v>
      </c>
      <c r="K95">
        <v>4671462425</v>
      </c>
      <c r="L95">
        <v>6748452673</v>
      </c>
      <c r="M95">
        <v>2721722489</v>
      </c>
      <c r="N95">
        <v>1547030469</v>
      </c>
      <c r="O95">
        <v>1534328585</v>
      </c>
      <c r="P95">
        <v>1130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4445676167</v>
      </c>
      <c r="G96">
        <v>2154765317</v>
      </c>
      <c r="H96">
        <v>2150059461</v>
      </c>
      <c r="I96">
        <v>2321436794</v>
      </c>
      <c r="J96">
        <v>2537745848</v>
      </c>
      <c r="K96">
        <v>2002208923</v>
      </c>
      <c r="L96">
        <v>1726466466</v>
      </c>
      <c r="M96">
        <v>1892372052</v>
      </c>
      <c r="N96">
        <v>1972988531</v>
      </c>
      <c r="O96">
        <v>1532952189</v>
      </c>
      <c r="P96">
        <v>341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30408396179</v>
      </c>
      <c r="G97">
        <v>21245925391</v>
      </c>
      <c r="H97">
        <v>18091799254</v>
      </c>
      <c r="I97">
        <v>13954719015</v>
      </c>
      <c r="J97">
        <v>10203975367</v>
      </c>
      <c r="K97">
        <v>5113163183</v>
      </c>
      <c r="L97">
        <v>6548805376</v>
      </c>
      <c r="M97">
        <v>5837826427</v>
      </c>
      <c r="N97">
        <v>8471926673</v>
      </c>
      <c r="O97">
        <v>9241750513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117955160</v>
      </c>
      <c r="G98">
        <v>139312904</v>
      </c>
      <c r="H98">
        <v>266355402</v>
      </c>
      <c r="I98">
        <v>509662921</v>
      </c>
      <c r="J98">
        <v>564970732</v>
      </c>
      <c r="K98">
        <v>598382653</v>
      </c>
      <c r="L98">
        <v>670347407</v>
      </c>
      <c r="M98">
        <v>489162641</v>
      </c>
      <c r="N98">
        <v>654631311</v>
      </c>
      <c r="O98">
        <v>826083082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645396708</v>
      </c>
      <c r="G99">
        <v>504059396</v>
      </c>
      <c r="H99">
        <v>498371052</v>
      </c>
      <c r="I99">
        <v>417928891</v>
      </c>
      <c r="J99">
        <v>350102847</v>
      </c>
      <c r="K99">
        <v>357993319</v>
      </c>
      <c r="L99">
        <v>988448032</v>
      </c>
      <c r="M99">
        <v>444092934</v>
      </c>
      <c r="N99">
        <v>346431493</v>
      </c>
      <c r="O99">
        <v>308085851</v>
      </c>
      <c r="P99">
        <v>135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3591326907</v>
      </c>
      <c r="G100">
        <v>3283454007</v>
      </c>
      <c r="H100">
        <v>2161548086</v>
      </c>
      <c r="I100">
        <v>1918176438</v>
      </c>
      <c r="J100">
        <v>1782898099</v>
      </c>
      <c r="K100">
        <v>1467479957</v>
      </c>
      <c r="L100">
        <v>1368712297</v>
      </c>
      <c r="M100">
        <v>1230665436</v>
      </c>
      <c r="N100">
        <v>1140196305</v>
      </c>
      <c r="O100">
        <v>969436120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67127000000</v>
      </c>
      <c r="G101">
        <v>58639000000</v>
      </c>
      <c r="H101">
        <v>120860000000</v>
      </c>
      <c r="I101">
        <v>114930000000</v>
      </c>
      <c r="J101">
        <v>101721000000</v>
      </c>
      <c r="K101">
        <v>98560000000</v>
      </c>
      <c r="L101">
        <v>93844000000</v>
      </c>
      <c r="M101">
        <v>89746000000</v>
      </c>
      <c r="N101">
        <v>88009236000</v>
      </c>
      <c r="O101">
        <v>85569250000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10176643311</v>
      </c>
      <c r="G102">
        <v>5255983867</v>
      </c>
      <c r="H102">
        <v>1306910763</v>
      </c>
      <c r="I102">
        <v>1298466058</v>
      </c>
      <c r="J102">
        <v>1217622520</v>
      </c>
      <c r="K102">
        <v>1257511914</v>
      </c>
      <c r="L102">
        <v>1315752892</v>
      </c>
      <c r="M102">
        <v>1297834574</v>
      </c>
      <c r="N102">
        <v>1369113280</v>
      </c>
      <c r="O102">
        <v>945242589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12229101622</v>
      </c>
      <c r="G103">
        <v>10075510386</v>
      </c>
      <c r="H103">
        <v>9846270397</v>
      </c>
      <c r="I103">
        <v>6786516369</v>
      </c>
      <c r="J103">
        <v>7433673079</v>
      </c>
      <c r="K103">
        <v>7389624315</v>
      </c>
      <c r="L103">
        <v>6053347639</v>
      </c>
      <c r="M103">
        <v>7314387547</v>
      </c>
      <c r="N103">
        <v>7032338017</v>
      </c>
      <c r="O103">
        <v>6871295090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7058929862</v>
      </c>
      <c r="G104">
        <v>7007404413</v>
      </c>
      <c r="H104">
        <v>6463262390</v>
      </c>
      <c r="I104">
        <v>7583017859</v>
      </c>
      <c r="J104">
        <v>7385233096</v>
      </c>
      <c r="K104">
        <v>6337264555</v>
      </c>
      <c r="L104">
        <v>5448380921</v>
      </c>
      <c r="M104">
        <v>4664103788</v>
      </c>
      <c r="N104">
        <v>4803526980</v>
      </c>
      <c r="O104">
        <v>4260890415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1100751029</v>
      </c>
      <c r="G105">
        <v>499465181</v>
      </c>
      <c r="H105">
        <v>799667670</v>
      </c>
      <c r="I105">
        <v>1026181339</v>
      </c>
      <c r="J105">
        <v>2840894698</v>
      </c>
      <c r="K105">
        <v>2711533448</v>
      </c>
      <c r="L105">
        <v>2351686737</v>
      </c>
      <c r="M105">
        <v>1527121452</v>
      </c>
      <c r="N105">
        <v>1559243362</v>
      </c>
      <c r="O105">
        <v>1386482838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16962858530</v>
      </c>
      <c r="G106">
        <v>15035264493</v>
      </c>
      <c r="H106">
        <v>10843890231</v>
      </c>
      <c r="I106">
        <v>9892744409</v>
      </c>
      <c r="J106">
        <v>9186008932</v>
      </c>
      <c r="K106">
        <v>4494584638</v>
      </c>
      <c r="L106">
        <v>7702763533</v>
      </c>
      <c r="M106">
        <v>10340151401</v>
      </c>
      <c r="N106">
        <v>10799088858</v>
      </c>
      <c r="O106">
        <v>7933863339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3212261345</v>
      </c>
      <c r="G107">
        <v>2793337246</v>
      </c>
      <c r="H107">
        <v>3579876521</v>
      </c>
      <c r="I107">
        <v>4810226999</v>
      </c>
      <c r="J107">
        <v>5712399998</v>
      </c>
      <c r="K107">
        <v>9452244008</v>
      </c>
      <c r="L107">
        <v>11995516694</v>
      </c>
      <c r="M107">
        <v>19494553144</v>
      </c>
      <c r="N107">
        <v>20550069865</v>
      </c>
      <c r="O107">
        <v>20138544754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1410483530</v>
      </c>
      <c r="G108">
        <v>2231660295</v>
      </c>
      <c r="H108">
        <v>3997161585</v>
      </c>
      <c r="I108">
        <v>14018181637</v>
      </c>
      <c r="J108">
        <v>19032259082</v>
      </c>
      <c r="K108">
        <v>20512979132</v>
      </c>
      <c r="L108">
        <v>18714408613</v>
      </c>
      <c r="M108">
        <v>17472107070</v>
      </c>
      <c r="N108">
        <v>15914655250</v>
      </c>
      <c r="O108">
        <v>14247716902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12859564290</v>
      </c>
      <c r="G109">
        <v>6626372232</v>
      </c>
      <c r="H109">
        <v>7946898714</v>
      </c>
      <c r="I109">
        <v>8529102138</v>
      </c>
      <c r="J109">
        <v>7566330174</v>
      </c>
      <c r="K109">
        <v>4357613849</v>
      </c>
      <c r="L109">
        <v>4564517116</v>
      </c>
      <c r="M109">
        <v>5215900342</v>
      </c>
      <c r="N109">
        <v>6577501544</v>
      </c>
      <c r="O109">
        <v>7600508974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17893765485</v>
      </c>
      <c r="G110">
        <v>15167133912</v>
      </c>
      <c r="H110">
        <v>16368454209</v>
      </c>
      <c r="I110">
        <v>15638441903</v>
      </c>
      <c r="J110">
        <v>11683514658</v>
      </c>
      <c r="K110">
        <v>6312482497</v>
      </c>
      <c r="L110">
        <v>6316022528</v>
      </c>
      <c r="M110">
        <v>5905658264</v>
      </c>
      <c r="N110">
        <v>4280599731</v>
      </c>
      <c r="O110">
        <v>4114005398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49961420227</v>
      </c>
      <c r="G111">
        <v>32425195947</v>
      </c>
      <c r="H111">
        <v>26742479315</v>
      </c>
      <c r="I111">
        <v>26449774549</v>
      </c>
      <c r="J111">
        <v>27855812859</v>
      </c>
      <c r="K111">
        <v>19660287053</v>
      </c>
      <c r="L111">
        <v>8350293920</v>
      </c>
      <c r="M111">
        <v>14449052797</v>
      </c>
      <c r="N111">
        <v>17183465800</v>
      </c>
      <c r="O111">
        <v>17133457554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6706482232</v>
      </c>
      <c r="G112">
        <v>5715996408</v>
      </c>
      <c r="H112">
        <v>4108074490</v>
      </c>
      <c r="I112">
        <v>3011223472</v>
      </c>
      <c r="J112">
        <v>2759606170</v>
      </c>
      <c r="K112">
        <v>2217231932</v>
      </c>
      <c r="L112">
        <v>2285243577</v>
      </c>
      <c r="M112">
        <v>1680904067</v>
      </c>
      <c r="N112">
        <v>1498641076</v>
      </c>
      <c r="O112">
        <v>1472022459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5321094345</v>
      </c>
      <c r="G113">
        <v>4422080419</v>
      </c>
      <c r="H113">
        <v>4297028434</v>
      </c>
      <c r="I113">
        <v>4506991026</v>
      </c>
      <c r="J113">
        <v>4101082097</v>
      </c>
      <c r="K113">
        <v>2908857756</v>
      </c>
      <c r="L113">
        <v>3687273814</v>
      </c>
      <c r="M113">
        <v>4002136001</v>
      </c>
      <c r="N113">
        <v>3760723797</v>
      </c>
      <c r="O113">
        <v>3299986970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12149432719</v>
      </c>
      <c r="G114">
        <v>11207803712</v>
      </c>
      <c r="H114">
        <v>11643087427</v>
      </c>
      <c r="I114">
        <v>10689384281</v>
      </c>
      <c r="J114">
        <v>8734522958</v>
      </c>
      <c r="K114">
        <v>7788055733</v>
      </c>
      <c r="L114">
        <v>7164633001</v>
      </c>
      <c r="M114">
        <v>6958053480</v>
      </c>
      <c r="N114">
        <v>6603077715</v>
      </c>
      <c r="O114">
        <v>6596977563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787413129</v>
      </c>
      <c r="G115">
        <v>715034191</v>
      </c>
      <c r="H115">
        <v>537231886</v>
      </c>
      <c r="I115">
        <v>607381787</v>
      </c>
      <c r="J115">
        <v>1619824840</v>
      </c>
      <c r="K115">
        <v>3190023343</v>
      </c>
      <c r="L115">
        <v>1911770481</v>
      </c>
      <c r="M115">
        <v>1602779941</v>
      </c>
      <c r="N115">
        <v>1336754482</v>
      </c>
      <c r="O115">
        <v>1074486095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7465743129</v>
      </c>
      <c r="G116">
        <v>7011055714</v>
      </c>
      <c r="H116">
        <v>7765101078</v>
      </c>
      <c r="I116">
        <v>1121237411</v>
      </c>
      <c r="J116">
        <v>821584240</v>
      </c>
      <c r="K116">
        <v>1136610565</v>
      </c>
      <c r="L116">
        <v>935933378</v>
      </c>
      <c r="M116">
        <v>829812692</v>
      </c>
      <c r="N116">
        <v>771759620</v>
      </c>
      <c r="O116">
        <v>804986600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13119310688</v>
      </c>
      <c r="G117">
        <v>10941631163</v>
      </c>
      <c r="H117">
        <v>3581923735</v>
      </c>
      <c r="I117">
        <v>3467335930</v>
      </c>
      <c r="J117">
        <v>3175519522</v>
      </c>
      <c r="K117">
        <v>3195921516</v>
      </c>
      <c r="L117">
        <v>3323745278</v>
      </c>
      <c r="M117">
        <v>3168605433</v>
      </c>
      <c r="N117">
        <v>3386847381</v>
      </c>
      <c r="O117">
        <v>3149268811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12139934702</v>
      </c>
      <c r="G118">
        <v>10593750640</v>
      </c>
      <c r="H118">
        <v>9423207629</v>
      </c>
      <c r="I118">
        <v>8692502421</v>
      </c>
      <c r="J118">
        <v>7632906711</v>
      </c>
      <c r="K118">
        <v>6113909400</v>
      </c>
      <c r="L118">
        <v>6198091802</v>
      </c>
      <c r="M118">
        <v>7451200825</v>
      </c>
      <c r="N118">
        <v>5071240682</v>
      </c>
      <c r="O118">
        <v>3744670354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2235030947</v>
      </c>
      <c r="G119">
        <v>2053825546</v>
      </c>
      <c r="H119">
        <v>2136460975</v>
      </c>
      <c r="I119">
        <v>1862785641</v>
      </c>
      <c r="J119">
        <v>1851318473</v>
      </c>
      <c r="K119">
        <v>1421463573</v>
      </c>
      <c r="L119">
        <v>1183170003</v>
      </c>
      <c r="M119">
        <v>946219419</v>
      </c>
      <c r="N119">
        <v>934926678</v>
      </c>
      <c r="O119">
        <v>1015873163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1553560346</v>
      </c>
      <c r="G120">
        <v>699702254</v>
      </c>
      <c r="H120">
        <v>1782335445</v>
      </c>
      <c r="I120">
        <v>2668385664</v>
      </c>
      <c r="J120">
        <v>911935969</v>
      </c>
      <c r="K120">
        <v>569043293</v>
      </c>
      <c r="L120">
        <v>431174298</v>
      </c>
      <c r="M120">
        <v>70969044</v>
      </c>
      <c r="N120">
        <v>87666374</v>
      </c>
      <c r="O120">
        <v>87474296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402486329</v>
      </c>
      <c r="G121">
        <v>346533245</v>
      </c>
      <c r="H121">
        <v>331056364</v>
      </c>
      <c r="I121">
        <v>387587247</v>
      </c>
      <c r="J121">
        <v>343433628</v>
      </c>
      <c r="K121">
        <v>269095434</v>
      </c>
      <c r="L121">
        <v>205195870</v>
      </c>
      <c r="M121">
        <v>330657259</v>
      </c>
      <c r="N121">
        <v>437822683</v>
      </c>
      <c r="O121">
        <v>414956898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8635438895</v>
      </c>
      <c r="G122">
        <v>7150717616</v>
      </c>
      <c r="H122">
        <v>14053574128</v>
      </c>
      <c r="I122">
        <v>12264769135</v>
      </c>
      <c r="J122">
        <v>11019551807</v>
      </c>
      <c r="K122">
        <v>10327476312</v>
      </c>
      <c r="L122">
        <v>10577015943</v>
      </c>
      <c r="M122">
        <v>10607231706</v>
      </c>
      <c r="N122">
        <v>9316037547</v>
      </c>
      <c r="O122">
        <v>10279898406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94235433</v>
      </c>
      <c r="G123">
        <v>143116134</v>
      </c>
      <c r="H123">
        <v>152844045</v>
      </c>
      <c r="I123">
        <v>182898417</v>
      </c>
      <c r="J123">
        <v>287013744</v>
      </c>
      <c r="K123">
        <v>863914521</v>
      </c>
      <c r="L123">
        <v>1468033208</v>
      </c>
      <c r="M123">
        <v>462541960</v>
      </c>
      <c r="N123">
        <v>423046853</v>
      </c>
      <c r="O123">
        <v>587708447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23606680020</v>
      </c>
      <c r="G124">
        <v>18317376620</v>
      </c>
      <c r="H124">
        <v>18038707539</v>
      </c>
      <c r="I124">
        <v>17855450759</v>
      </c>
      <c r="J124">
        <v>15757805891</v>
      </c>
      <c r="K124">
        <v>14541193975</v>
      </c>
      <c r="L124">
        <v>12392341482</v>
      </c>
      <c r="M124">
        <v>11391976452</v>
      </c>
      <c r="N124">
        <v>10934404966</v>
      </c>
      <c r="O124">
        <v>9612038877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40198623227</v>
      </c>
      <c r="G125">
        <v>35061170905</v>
      </c>
      <c r="H125">
        <v>29285923753</v>
      </c>
      <c r="I125">
        <v>25316620559</v>
      </c>
      <c r="J125">
        <v>23137377933</v>
      </c>
      <c r="K125">
        <v>17990850566</v>
      </c>
      <c r="L125">
        <v>15682098184</v>
      </c>
      <c r="M125">
        <v>16093629073</v>
      </c>
      <c r="N125">
        <v>14425980838</v>
      </c>
      <c r="O125">
        <v>12240148304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G126">
        <v>3458721</v>
      </c>
      <c r="H126">
        <v>10382207</v>
      </c>
      <c r="I126">
        <v>13385359</v>
      </c>
      <c r="J126">
        <v>341552375</v>
      </c>
      <c r="K126">
        <v>12697732</v>
      </c>
      <c r="L126">
        <v>3902796</v>
      </c>
      <c r="M126">
        <v>42254324</v>
      </c>
      <c r="N126">
        <v>36150038</v>
      </c>
      <c r="O126">
        <v>29935468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G127">
        <v>123577708</v>
      </c>
      <c r="H127">
        <v>1143172355</v>
      </c>
      <c r="I127">
        <v>2162502055</v>
      </c>
      <c r="J127">
        <v>2187433259</v>
      </c>
      <c r="K127">
        <v>429672248</v>
      </c>
      <c r="L127">
        <v>14860236</v>
      </c>
      <c r="M127">
        <v>21621187</v>
      </c>
      <c r="N127">
        <v>40998466</v>
      </c>
      <c r="O127">
        <v>38231481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1123332537</v>
      </c>
      <c r="G128">
        <v>1156071126</v>
      </c>
      <c r="H128">
        <v>943820486</v>
      </c>
      <c r="I128">
        <v>887230907</v>
      </c>
      <c r="J128">
        <v>768323467</v>
      </c>
      <c r="K128">
        <v>610113420</v>
      </c>
      <c r="L128">
        <v>510492183</v>
      </c>
      <c r="M128">
        <v>668681383</v>
      </c>
      <c r="N128">
        <v>667488924</v>
      </c>
      <c r="O128">
        <v>602709985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220813165</v>
      </c>
      <c r="G129">
        <v>196979598</v>
      </c>
      <c r="H129">
        <v>187255192</v>
      </c>
      <c r="I129">
        <v>73130381</v>
      </c>
      <c r="J129">
        <v>51033533</v>
      </c>
      <c r="K129">
        <v>16513518</v>
      </c>
      <c r="L129">
        <v>11739456</v>
      </c>
      <c r="M129">
        <v>39685035</v>
      </c>
      <c r="N129">
        <v>51630168</v>
      </c>
      <c r="O129">
        <v>26536284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59740426346</v>
      </c>
      <c r="G130">
        <v>55243541320</v>
      </c>
      <c r="H130">
        <v>23136187919</v>
      </c>
      <c r="I130">
        <v>16910307369</v>
      </c>
      <c r="J130">
        <v>16691101410</v>
      </c>
      <c r="K130">
        <v>21457070448</v>
      </c>
      <c r="L130">
        <v>27763846309</v>
      </c>
      <c r="M130">
        <v>28323665892</v>
      </c>
      <c r="N130">
        <v>22198153818</v>
      </c>
      <c r="O130">
        <v>24276483663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6292981646</v>
      </c>
      <c r="G131">
        <v>6093302324</v>
      </c>
      <c r="H131">
        <v>6909895395</v>
      </c>
      <c r="I131">
        <v>6700888578</v>
      </c>
      <c r="J131">
        <v>6657146102</v>
      </c>
      <c r="K131">
        <v>5448465937</v>
      </c>
      <c r="L131">
        <v>4039940071</v>
      </c>
      <c r="M131">
        <v>3786810877</v>
      </c>
      <c r="N131">
        <v>3358868913</v>
      </c>
      <c r="O131">
        <v>1529393287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2075438208</v>
      </c>
      <c r="G132">
        <v>1744979518</v>
      </c>
      <c r="H132">
        <v>1645001121</v>
      </c>
      <c r="I132">
        <v>1602678943</v>
      </c>
      <c r="J132">
        <v>1597220956</v>
      </c>
      <c r="K132">
        <v>538874262</v>
      </c>
      <c r="L132">
        <v>753332686</v>
      </c>
      <c r="M132">
        <v>1253721808</v>
      </c>
      <c r="N132">
        <v>2322059535</v>
      </c>
      <c r="O132">
        <v>2951631743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707844495989</v>
      </c>
      <c r="G133">
        <v>432949487508</v>
      </c>
      <c r="H133">
        <v>337238672648</v>
      </c>
      <c r="I133">
        <v>280381790726</v>
      </c>
      <c r="J133">
        <v>218601578977</v>
      </c>
      <c r="K133">
        <v>145590890513</v>
      </c>
      <c r="L133">
        <v>128088561669</v>
      </c>
      <c r="M133">
        <v>120924831033</v>
      </c>
      <c r="N133">
        <v>102067799243</v>
      </c>
      <c r="O133">
        <v>91166970132</v>
      </c>
      <c r="P133">
        <v>2154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3765585513</v>
      </c>
      <c r="G134">
        <v>308065811</v>
      </c>
      <c r="H134">
        <v>234411106</v>
      </c>
      <c r="I134">
        <v>145598840</v>
      </c>
      <c r="J134">
        <v>350045419</v>
      </c>
      <c r="K134">
        <v>435396030</v>
      </c>
      <c r="L134">
        <v>348515808</v>
      </c>
      <c r="M134">
        <v>409467287</v>
      </c>
      <c r="N134">
        <v>71700010</v>
      </c>
      <c r="O134">
        <v>378805013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930365568</v>
      </c>
      <c r="G135">
        <v>913538722</v>
      </c>
      <c r="H135">
        <v>1038244480</v>
      </c>
      <c r="I135">
        <v>1016859661</v>
      </c>
      <c r="J135">
        <v>712453698</v>
      </c>
      <c r="K135">
        <v>593146429</v>
      </c>
      <c r="L135">
        <v>763366812</v>
      </c>
      <c r="M135">
        <v>907086752</v>
      </c>
      <c r="N135">
        <v>982091228</v>
      </c>
      <c r="O135">
        <v>780371078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27080483926</v>
      </c>
      <c r="G136">
        <v>22144195813</v>
      </c>
      <c r="H136">
        <v>21186956133</v>
      </c>
      <c r="I136">
        <v>22327277612</v>
      </c>
      <c r="J136">
        <v>22388242413</v>
      </c>
      <c r="K136">
        <v>13699155902</v>
      </c>
      <c r="L136">
        <v>10784223136</v>
      </c>
      <c r="M136">
        <v>7912059927</v>
      </c>
      <c r="N136">
        <v>9843259492</v>
      </c>
      <c r="O136">
        <v>7718329792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1515063184</v>
      </c>
      <c r="G137">
        <v>1996330290</v>
      </c>
      <c r="H137">
        <v>1523936270</v>
      </c>
      <c r="I137">
        <v>1449881144</v>
      </c>
      <c r="J137">
        <v>1092227320</v>
      </c>
      <c r="K137">
        <v>1186170813</v>
      </c>
      <c r="L137">
        <v>851407978</v>
      </c>
      <c r="M137">
        <v>1151640799</v>
      </c>
      <c r="N137">
        <v>984967542</v>
      </c>
      <c r="O137">
        <v>1049439103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1701426139</v>
      </c>
      <c r="G138">
        <v>987136508</v>
      </c>
      <c r="H138">
        <v>912731923</v>
      </c>
      <c r="I138">
        <v>882355910</v>
      </c>
      <c r="J138">
        <v>625802632</v>
      </c>
      <c r="K138">
        <v>1110562853</v>
      </c>
      <c r="L138">
        <v>668919809</v>
      </c>
      <c r="M138">
        <v>1217448253</v>
      </c>
      <c r="N138">
        <v>676659021</v>
      </c>
      <c r="O138">
        <v>285304050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17985585442</v>
      </c>
      <c r="G139">
        <v>16053698565</v>
      </c>
      <c r="H139">
        <v>15595234760</v>
      </c>
      <c r="I139">
        <v>15656274278</v>
      </c>
      <c r="J139">
        <v>13768037781</v>
      </c>
      <c r="K139">
        <v>10100939288</v>
      </c>
      <c r="L139">
        <v>9516157298</v>
      </c>
      <c r="M139">
        <v>9763546857</v>
      </c>
      <c r="N139">
        <v>9736541877</v>
      </c>
      <c r="O139">
        <v>7881535873</v>
      </c>
      <c r="P139">
        <v>469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4112155621</v>
      </c>
      <c r="G140">
        <v>3445594865</v>
      </c>
      <c r="H140">
        <v>3281859561</v>
      </c>
      <c r="I140">
        <v>2931058728</v>
      </c>
      <c r="J140">
        <v>1765169679</v>
      </c>
      <c r="K140">
        <v>2095734302</v>
      </c>
      <c r="L140">
        <v>1617985982</v>
      </c>
      <c r="M140">
        <v>1826551127</v>
      </c>
      <c r="N140">
        <v>1836504083</v>
      </c>
      <c r="O140">
        <v>1502351161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5704314008</v>
      </c>
      <c r="G141">
        <v>4982150889</v>
      </c>
      <c r="H141">
        <v>4927455544</v>
      </c>
      <c r="I141">
        <v>4135388048</v>
      </c>
      <c r="J141">
        <v>4313797549</v>
      </c>
      <c r="K141">
        <v>5410029780</v>
      </c>
      <c r="L141">
        <v>4211653867</v>
      </c>
      <c r="M141">
        <v>4407408456</v>
      </c>
      <c r="N141">
        <v>2919744792</v>
      </c>
      <c r="O141">
        <v>2689513165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1532634225</v>
      </c>
      <c r="G142">
        <v>1252012735</v>
      </c>
      <c r="H142">
        <v>580751341</v>
      </c>
      <c r="I142">
        <v>524103639</v>
      </c>
      <c r="J142">
        <v>506703077</v>
      </c>
      <c r="K142">
        <v>394217439</v>
      </c>
      <c r="L142">
        <v>679000018</v>
      </c>
      <c r="M142">
        <v>1070403005</v>
      </c>
      <c r="N142">
        <v>1408904113</v>
      </c>
      <c r="O142">
        <v>1466986549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192386865</v>
      </c>
      <c r="G143">
        <v>119114954</v>
      </c>
      <c r="H143">
        <v>265756859</v>
      </c>
      <c r="I143">
        <v>552087909</v>
      </c>
      <c r="J143">
        <v>1247939683</v>
      </c>
      <c r="K143">
        <v>2785053870</v>
      </c>
      <c r="L143">
        <v>1076651547</v>
      </c>
      <c r="M143">
        <v>1343165677</v>
      </c>
      <c r="N143">
        <v>1763903208</v>
      </c>
      <c r="O143">
        <v>1841805596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54973869227</v>
      </c>
      <c r="G144">
        <v>57765402949</v>
      </c>
      <c r="H144">
        <v>46965854224</v>
      </c>
      <c r="I144">
        <v>41053805098</v>
      </c>
      <c r="J144">
        <v>51710136962</v>
      </c>
      <c r="K144">
        <v>46532069536</v>
      </c>
      <c r="L144">
        <v>33997492420</v>
      </c>
      <c r="M144">
        <v>33691283637</v>
      </c>
      <c r="N144">
        <v>34152543119</v>
      </c>
      <c r="O144">
        <v>40973308479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3467955369</v>
      </c>
      <c r="G145">
        <v>3598009406</v>
      </c>
      <c r="H145">
        <v>3396169210</v>
      </c>
      <c r="I145">
        <v>3037023688</v>
      </c>
      <c r="J145">
        <v>2376375380</v>
      </c>
      <c r="K145">
        <v>2044444895</v>
      </c>
      <c r="L145">
        <v>757725112</v>
      </c>
      <c r="M145">
        <v>661485460</v>
      </c>
      <c r="N145">
        <v>582009592</v>
      </c>
      <c r="O145">
        <v>493750363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2011899169</v>
      </c>
      <c r="G146">
        <v>1643603464</v>
      </c>
      <c r="H146">
        <v>1529490560</v>
      </c>
      <c r="I146">
        <v>1451353305</v>
      </c>
      <c r="J146">
        <v>1250921369</v>
      </c>
      <c r="K146">
        <v>1198104194</v>
      </c>
      <c r="L146">
        <v>1198673366</v>
      </c>
      <c r="M146">
        <v>1178204960</v>
      </c>
      <c r="N146">
        <v>1035142986</v>
      </c>
      <c r="O146">
        <v>255933681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8320369714</v>
      </c>
      <c r="G147">
        <v>8610886343</v>
      </c>
      <c r="H147">
        <v>7037718395</v>
      </c>
      <c r="I147">
        <v>6428175733</v>
      </c>
      <c r="J147">
        <v>7177096666</v>
      </c>
      <c r="K147">
        <v>4277405820</v>
      </c>
      <c r="L147">
        <v>6861101805</v>
      </c>
      <c r="M147">
        <v>9023321689</v>
      </c>
      <c r="N147">
        <v>9551413327</v>
      </c>
      <c r="O147">
        <v>9360076854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281055468025</v>
      </c>
      <c r="G148">
        <v>231327232009</v>
      </c>
      <c r="H148">
        <v>205496707808</v>
      </c>
      <c r="I148">
        <v>170545783103</v>
      </c>
      <c r="J148">
        <v>142082638562</v>
      </c>
      <c r="K148">
        <v>133656535141</v>
      </c>
      <c r="L148">
        <v>125430707403</v>
      </c>
      <c r="M148">
        <v>113661687408</v>
      </c>
      <c r="N148">
        <v>102036054490</v>
      </c>
      <c r="O148">
        <v>93153631402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2024334631</v>
      </c>
      <c r="G149">
        <v>1332205746</v>
      </c>
      <c r="H149">
        <v>878629217</v>
      </c>
      <c r="I149">
        <v>784344437</v>
      </c>
      <c r="J149">
        <v>561873977</v>
      </c>
      <c r="K149">
        <v>509093878</v>
      </c>
      <c r="L149">
        <v>489210169</v>
      </c>
      <c r="M149">
        <v>467902169</v>
      </c>
      <c r="N149">
        <v>585514971</v>
      </c>
      <c r="O149">
        <v>676929540</v>
      </c>
      <c r="P149">
        <v>576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2652332244</v>
      </c>
      <c r="G150">
        <v>2450502581</v>
      </c>
      <c r="H150">
        <v>2913720061</v>
      </c>
      <c r="I150">
        <v>3165898900</v>
      </c>
      <c r="J150">
        <v>3166525962</v>
      </c>
      <c r="K150">
        <v>2177955807</v>
      </c>
      <c r="L150">
        <v>1816949035</v>
      </c>
      <c r="M150">
        <v>1662062032</v>
      </c>
      <c r="N150">
        <v>1556311681</v>
      </c>
      <c r="O150">
        <v>1255810041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2503287910</v>
      </c>
      <c r="G151">
        <v>2281298897</v>
      </c>
      <c r="H151">
        <v>1920775403</v>
      </c>
      <c r="I151">
        <v>2830107369</v>
      </c>
      <c r="J151">
        <v>1558273466</v>
      </c>
      <c r="K151">
        <v>1402982638</v>
      </c>
      <c r="L151">
        <v>1530017319</v>
      </c>
      <c r="M151">
        <v>1943477805</v>
      </c>
      <c r="N151">
        <v>1017170300</v>
      </c>
      <c r="O151">
        <v>767166107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3466481817</v>
      </c>
      <c r="I152">
        <v>5273953574</v>
      </c>
      <c r="J152">
        <v>6481577932</v>
      </c>
      <c r="K152">
        <v>4420933842</v>
      </c>
      <c r="L152">
        <v>4910881720</v>
      </c>
      <c r="M152">
        <v>4211392745</v>
      </c>
      <c r="N152">
        <v>5140220400</v>
      </c>
      <c r="O152">
        <v>2966688486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19706882080</v>
      </c>
      <c r="G153">
        <v>11666196819</v>
      </c>
      <c r="H153">
        <v>10493293116</v>
      </c>
      <c r="I153">
        <v>10032423279</v>
      </c>
      <c r="J153">
        <v>8651549179</v>
      </c>
      <c r="K153">
        <v>7446333674</v>
      </c>
      <c r="L153">
        <v>7054787300</v>
      </c>
      <c r="M153">
        <v>6268153540</v>
      </c>
      <c r="N153">
        <v>5209641310</v>
      </c>
      <c r="O153">
        <v>5103082384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13606863114</v>
      </c>
      <c r="G154">
        <v>11475570512</v>
      </c>
      <c r="H154">
        <v>12421171433</v>
      </c>
      <c r="I154">
        <v>9635479253</v>
      </c>
      <c r="J154">
        <v>9839528959</v>
      </c>
      <c r="K154">
        <v>14894999392</v>
      </c>
      <c r="L154">
        <v>14527392635</v>
      </c>
      <c r="M154">
        <v>15903215969</v>
      </c>
      <c r="N154">
        <v>15166875602</v>
      </c>
      <c r="O154">
        <v>10732502076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6585558228</v>
      </c>
      <c r="G155">
        <v>3385196029</v>
      </c>
      <c r="H155">
        <v>1939226218</v>
      </c>
      <c r="I155">
        <v>1293010075</v>
      </c>
      <c r="J155">
        <v>1811500221</v>
      </c>
      <c r="K155">
        <v>2537934266</v>
      </c>
      <c r="L155">
        <v>1261395058</v>
      </c>
      <c r="M155">
        <v>743204362</v>
      </c>
      <c r="N155">
        <v>855470302</v>
      </c>
      <c r="O155">
        <v>1243195266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7794183362</v>
      </c>
      <c r="G156">
        <v>4834709156</v>
      </c>
      <c r="H156">
        <v>5049732296</v>
      </c>
      <c r="I156">
        <v>10057536739</v>
      </c>
      <c r="J156">
        <v>6760621856</v>
      </c>
      <c r="K156">
        <v>3798127101</v>
      </c>
      <c r="L156">
        <v>866466340</v>
      </c>
      <c r="M156">
        <v>1080180739</v>
      </c>
      <c r="N156">
        <v>1641954552</v>
      </c>
      <c r="O156">
        <v>1639736588</v>
      </c>
      <c r="P156">
        <v>127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47642974002</v>
      </c>
      <c r="G157">
        <v>36664924222</v>
      </c>
      <c r="H157">
        <v>40256607815</v>
      </c>
      <c r="I157">
        <v>38095793350</v>
      </c>
      <c r="J157">
        <v>37497475139</v>
      </c>
      <c r="K157">
        <v>21233545276</v>
      </c>
      <c r="L157">
        <v>9405038177</v>
      </c>
      <c r="M157">
        <v>8339485768</v>
      </c>
      <c r="N157">
        <v>6490705970</v>
      </c>
      <c r="O157">
        <v>5281242580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3341881316</v>
      </c>
      <c r="G158">
        <v>2803047211</v>
      </c>
      <c r="H158">
        <v>3070118188</v>
      </c>
      <c r="I158">
        <v>3369363927</v>
      </c>
      <c r="J158">
        <v>3457763311</v>
      </c>
      <c r="K158">
        <v>3023590442</v>
      </c>
      <c r="L158">
        <v>3169597874</v>
      </c>
      <c r="M158">
        <v>3988135273</v>
      </c>
      <c r="N158">
        <v>4649860235</v>
      </c>
      <c r="O158">
        <v>4282716490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20274262978</v>
      </c>
      <c r="G159">
        <v>14687341460</v>
      </c>
      <c r="H159">
        <v>13241085241</v>
      </c>
      <c r="I159">
        <v>11981081734</v>
      </c>
      <c r="J159">
        <v>10751554130</v>
      </c>
      <c r="K159">
        <v>8538321095</v>
      </c>
      <c r="L159">
        <v>7610234181</v>
      </c>
      <c r="M159">
        <v>7418067383</v>
      </c>
      <c r="N159">
        <v>6570259192</v>
      </c>
      <c r="O159">
        <v>6092949825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3311805319</v>
      </c>
      <c r="G160">
        <v>2491896125</v>
      </c>
      <c r="H160">
        <v>2331710146</v>
      </c>
      <c r="I160">
        <v>2422314540</v>
      </c>
      <c r="J160">
        <v>1886034907</v>
      </c>
      <c r="K160">
        <v>2211423148</v>
      </c>
      <c r="L160">
        <v>2746908761</v>
      </c>
      <c r="M160">
        <v>1836044908</v>
      </c>
      <c r="N160">
        <v>1742910671</v>
      </c>
      <c r="O160">
        <v>1887049369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7133106865</v>
      </c>
      <c r="G161">
        <v>6388966673</v>
      </c>
      <c r="H161">
        <v>4192746376</v>
      </c>
      <c r="I161">
        <v>3078499380</v>
      </c>
      <c r="J161">
        <v>3130132856</v>
      </c>
      <c r="K161">
        <v>3121759390</v>
      </c>
      <c r="L161">
        <v>2544923818</v>
      </c>
      <c r="M161">
        <v>1466303262</v>
      </c>
      <c r="N161">
        <v>2163601351</v>
      </c>
      <c r="O161">
        <v>1623670676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1814929609</v>
      </c>
      <c r="G162">
        <v>1654638589</v>
      </c>
      <c r="H162">
        <v>1702510415</v>
      </c>
      <c r="I162">
        <v>1728816962</v>
      </c>
      <c r="J162">
        <v>1852912239</v>
      </c>
      <c r="K162">
        <v>1766772730</v>
      </c>
      <c r="L162">
        <v>1776275422</v>
      </c>
      <c r="M162">
        <v>2004938773</v>
      </c>
      <c r="N162">
        <v>2156618607</v>
      </c>
      <c r="O162">
        <v>2542826867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384499012</v>
      </c>
      <c r="G163">
        <v>379100938</v>
      </c>
      <c r="H163">
        <v>537836213</v>
      </c>
      <c r="I163">
        <v>467977075</v>
      </c>
      <c r="J163">
        <v>439782046</v>
      </c>
      <c r="K163">
        <v>357819939</v>
      </c>
      <c r="L163">
        <v>474704840</v>
      </c>
      <c r="M163">
        <v>719927217</v>
      </c>
      <c r="N163">
        <v>589401243</v>
      </c>
      <c r="O163">
        <v>356590447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151990797000</v>
      </c>
      <c r="G164">
        <v>214991818000</v>
      </c>
      <c r="H164">
        <v>200647187000</v>
      </c>
      <c r="I164">
        <v>163008472000</v>
      </c>
      <c r="J164">
        <v>151227775000</v>
      </c>
      <c r="K164">
        <v>101982213000</v>
      </c>
      <c r="L164">
        <v>69007382000</v>
      </c>
      <c r="M164">
        <v>63922738000</v>
      </c>
      <c r="N164">
        <v>58726589000</v>
      </c>
      <c r="O164">
        <v>59673546400</v>
      </c>
      <c r="P164">
        <v>1940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1470952179</v>
      </c>
      <c r="G165">
        <v>1372012333</v>
      </c>
      <c r="H165">
        <v>1601875868</v>
      </c>
      <c r="I165">
        <v>1546473367</v>
      </c>
      <c r="J165">
        <v>1026070671</v>
      </c>
      <c r="K165">
        <v>384030824</v>
      </c>
      <c r="L165">
        <v>1347984406</v>
      </c>
      <c r="M165">
        <v>1417501775</v>
      </c>
      <c r="N165">
        <v>1339431718</v>
      </c>
      <c r="O165">
        <v>1280854802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2932560612</v>
      </c>
      <c r="G166">
        <v>6804217807</v>
      </c>
      <c r="H166">
        <v>7032618014</v>
      </c>
      <c r="I166">
        <v>5921650580</v>
      </c>
      <c r="J166">
        <v>4531496189</v>
      </c>
      <c r="K166">
        <v>2552670346</v>
      </c>
      <c r="L166">
        <v>1805549386</v>
      </c>
      <c r="M166">
        <v>2126994652</v>
      </c>
      <c r="N166">
        <v>1844630277</v>
      </c>
      <c r="O166">
        <v>1168692686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42234363</v>
      </c>
      <c r="G167">
        <v>38639412</v>
      </c>
      <c r="H167">
        <v>111070495</v>
      </c>
      <c r="I167">
        <v>65403885</v>
      </c>
      <c r="J167">
        <v>167401093</v>
      </c>
      <c r="K167">
        <v>36668140</v>
      </c>
      <c r="L167">
        <v>32767224</v>
      </c>
      <c r="M167">
        <v>276975596</v>
      </c>
      <c r="N167">
        <v>222745877</v>
      </c>
      <c r="O167">
        <v>176269438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2066020580</v>
      </c>
      <c r="G168">
        <v>2064729163</v>
      </c>
      <c r="H168">
        <v>1917481615</v>
      </c>
      <c r="I168">
        <v>1784136698</v>
      </c>
      <c r="J168">
        <v>1904348968</v>
      </c>
      <c r="K168">
        <v>1816085979</v>
      </c>
      <c r="L168">
        <v>1805151542</v>
      </c>
      <c r="M168">
        <v>2058002798</v>
      </c>
      <c r="N168">
        <v>2010979460</v>
      </c>
      <c r="O168">
        <v>1916951463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690380687</v>
      </c>
      <c r="G169">
        <v>1095965282</v>
      </c>
      <c r="H169">
        <v>556346825</v>
      </c>
      <c r="I169">
        <v>221748436</v>
      </c>
      <c r="J169">
        <v>24677988</v>
      </c>
      <c r="K169">
        <v>57358389</v>
      </c>
      <c r="L169">
        <v>18551919</v>
      </c>
      <c r="M169">
        <v>51237988</v>
      </c>
      <c r="N169">
        <v>99330183</v>
      </c>
      <c r="O169">
        <v>104358244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5301571718</v>
      </c>
      <c r="G170">
        <v>4998683678</v>
      </c>
      <c r="H170">
        <v>4117720022</v>
      </c>
      <c r="I170">
        <v>4434238007</v>
      </c>
      <c r="J170">
        <v>4069729329</v>
      </c>
      <c r="K170">
        <v>3973870436</v>
      </c>
      <c r="L170">
        <v>4234189943</v>
      </c>
      <c r="M170">
        <v>4035441263</v>
      </c>
      <c r="N170">
        <v>3639750975</v>
      </c>
      <c r="O170">
        <v>3108992460</v>
      </c>
      <c r="P170">
        <v>373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39005086602</v>
      </c>
      <c r="G171">
        <v>30306981264</v>
      </c>
      <c r="H171">
        <v>28585152033</v>
      </c>
      <c r="I171">
        <v>24918273561</v>
      </c>
      <c r="J171">
        <v>18533555418</v>
      </c>
      <c r="K171">
        <v>14628820443</v>
      </c>
      <c r="L171">
        <v>12608648314</v>
      </c>
      <c r="M171">
        <v>12025532045</v>
      </c>
      <c r="N171">
        <v>9996409009</v>
      </c>
      <c r="O171">
        <v>7340782721</v>
      </c>
      <c r="P171">
        <v>3822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1937757597</v>
      </c>
      <c r="G172">
        <v>1802060042</v>
      </c>
      <c r="H172">
        <v>2301653011</v>
      </c>
      <c r="I172">
        <v>2124075619</v>
      </c>
      <c r="J172">
        <v>1918812697</v>
      </c>
      <c r="K172">
        <v>1692945216</v>
      </c>
      <c r="L172">
        <v>1637534259</v>
      </c>
      <c r="M172">
        <v>1628293376</v>
      </c>
      <c r="N172">
        <v>1753072622</v>
      </c>
      <c r="O172">
        <v>1762291716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1310799269</v>
      </c>
      <c r="G173">
        <v>1207211485</v>
      </c>
      <c r="H173">
        <v>1430647507</v>
      </c>
      <c r="I173">
        <v>2343849430</v>
      </c>
      <c r="J173">
        <v>4347688462</v>
      </c>
      <c r="K173">
        <v>7229672814</v>
      </c>
      <c r="L173">
        <v>8602588791</v>
      </c>
      <c r="M173">
        <v>7984031030</v>
      </c>
      <c r="N173">
        <v>7915172625</v>
      </c>
      <c r="O173">
        <v>6183261444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1211286175</v>
      </c>
      <c r="G174">
        <v>1037929418</v>
      </c>
      <c r="H174">
        <v>914102046</v>
      </c>
      <c r="I174">
        <v>1314564521</v>
      </c>
      <c r="J174">
        <v>1290154269</v>
      </c>
      <c r="K174">
        <v>1435739654</v>
      </c>
      <c r="L174">
        <v>1727599498</v>
      </c>
      <c r="M174">
        <v>2075034606</v>
      </c>
      <c r="N174">
        <v>2080618955</v>
      </c>
      <c r="O174">
        <v>2294436678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1775450710</v>
      </c>
      <c r="G175">
        <v>1871736671</v>
      </c>
      <c r="H175">
        <v>2109850653</v>
      </c>
      <c r="I175">
        <v>1701627608</v>
      </c>
      <c r="J175">
        <v>2960487768</v>
      </c>
      <c r="K175">
        <v>3989290786</v>
      </c>
      <c r="L175">
        <v>2928356222</v>
      </c>
      <c r="M175">
        <v>3066487289</v>
      </c>
      <c r="N175">
        <v>3875301454</v>
      </c>
      <c r="O175">
        <v>3722974685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1776317811</v>
      </c>
      <c r="G176">
        <v>1581905632</v>
      </c>
      <c r="H176">
        <v>1126782253</v>
      </c>
      <c r="I176">
        <v>1896608630</v>
      </c>
      <c r="J176">
        <v>1901010264</v>
      </c>
      <c r="K176">
        <v>1517019283</v>
      </c>
      <c r="L176">
        <v>1246505845</v>
      </c>
      <c r="M176">
        <v>1062932025</v>
      </c>
      <c r="N176">
        <v>671382979</v>
      </c>
      <c r="O176">
        <v>556475106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852784892</v>
      </c>
      <c r="G177">
        <v>917175848</v>
      </c>
      <c r="H177">
        <v>904500342</v>
      </c>
      <c r="I177">
        <v>768809146</v>
      </c>
      <c r="J177">
        <v>273462687</v>
      </c>
      <c r="K177">
        <v>264894277</v>
      </c>
      <c r="L177">
        <v>757259220</v>
      </c>
      <c r="M177">
        <v>1058990521</v>
      </c>
      <c r="N177">
        <v>879644925</v>
      </c>
      <c r="O177">
        <v>949131346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18633727227</v>
      </c>
      <c r="G178">
        <v>13034413341</v>
      </c>
      <c r="H178">
        <v>11377416398</v>
      </c>
      <c r="I178">
        <v>10988972054</v>
      </c>
      <c r="J178">
        <v>8202891851</v>
      </c>
      <c r="K178">
        <v>7096127236</v>
      </c>
      <c r="L178">
        <v>6182667324</v>
      </c>
      <c r="M178">
        <v>3511289560</v>
      </c>
      <c r="N178">
        <v>2499476676</v>
      </c>
      <c r="O178">
        <v>2723301862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16058609198</v>
      </c>
      <c r="G179">
        <v>12969038954</v>
      </c>
      <c r="H179">
        <v>10452454057</v>
      </c>
      <c r="I179">
        <v>4767907571</v>
      </c>
      <c r="J179">
        <v>4079620629</v>
      </c>
      <c r="K179">
        <v>3807978100</v>
      </c>
      <c r="L179">
        <v>2589548531</v>
      </c>
      <c r="M179">
        <v>2422937806</v>
      </c>
      <c r="N179">
        <v>490869619</v>
      </c>
      <c r="O179">
        <v>408999592</v>
      </c>
      <c r="P179">
        <v>420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3338522099</v>
      </c>
      <c r="G180">
        <v>2290768889</v>
      </c>
      <c r="H180">
        <v>2016359407</v>
      </c>
      <c r="I180">
        <v>2133931250</v>
      </c>
      <c r="J180">
        <v>1983925945</v>
      </c>
      <c r="K180">
        <v>1871466473</v>
      </c>
      <c r="L180">
        <v>1768472089</v>
      </c>
      <c r="M180">
        <v>1912732276</v>
      </c>
      <c r="N180">
        <v>1755790149</v>
      </c>
      <c r="O180">
        <v>1363577569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16891296007</v>
      </c>
      <c r="G181">
        <v>13792021062</v>
      </c>
      <c r="H181">
        <v>14810295115</v>
      </c>
      <c r="I181">
        <v>17227114696</v>
      </c>
      <c r="J181">
        <v>17499924006</v>
      </c>
      <c r="K181">
        <v>13626242155</v>
      </c>
      <c r="L181">
        <v>11636298826</v>
      </c>
      <c r="M181">
        <v>11038339078</v>
      </c>
      <c r="N181">
        <v>9209040365</v>
      </c>
      <c r="O181">
        <v>9908655443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72788732</v>
      </c>
      <c r="G182">
        <v>54387403</v>
      </c>
      <c r="H182">
        <v>126677241</v>
      </c>
      <c r="I182">
        <v>159841987</v>
      </c>
      <c r="J182">
        <v>150110956</v>
      </c>
      <c r="K182">
        <v>153354882</v>
      </c>
      <c r="L182">
        <v>109759987</v>
      </c>
      <c r="M182">
        <v>202098629</v>
      </c>
      <c r="N182">
        <v>203807025</v>
      </c>
      <c r="O182">
        <v>333484296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9528593025</v>
      </c>
      <c r="G183">
        <v>8417639218</v>
      </c>
      <c r="H183">
        <v>9210963560</v>
      </c>
      <c r="I183">
        <v>9009856257</v>
      </c>
      <c r="J183">
        <v>8507610492</v>
      </c>
      <c r="K183">
        <v>8356010723</v>
      </c>
      <c r="L183">
        <v>8389753642</v>
      </c>
      <c r="M183">
        <v>8501350497</v>
      </c>
      <c r="N183">
        <v>8626062241</v>
      </c>
      <c r="O183">
        <v>8056893843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2138586553</v>
      </c>
      <c r="G184">
        <v>1373105106</v>
      </c>
      <c r="H184">
        <v>1256021958</v>
      </c>
      <c r="I184">
        <v>1027879210</v>
      </c>
      <c r="J184">
        <v>915625718</v>
      </c>
      <c r="K184">
        <v>796806692</v>
      </c>
      <c r="L184">
        <v>1382755816</v>
      </c>
      <c r="M184">
        <v>1668036042</v>
      </c>
      <c r="N184">
        <v>1402221159</v>
      </c>
      <c r="O184">
        <v>1221385422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242799609</v>
      </c>
      <c r="G185">
        <v>276801552</v>
      </c>
      <c r="H185">
        <v>261171078</v>
      </c>
      <c r="I185">
        <v>245065271</v>
      </c>
      <c r="J185">
        <v>251732423</v>
      </c>
      <c r="K185">
        <v>261696813</v>
      </c>
      <c r="L185">
        <v>272220737</v>
      </c>
      <c r="M185">
        <v>666471248</v>
      </c>
      <c r="N185">
        <v>680945339</v>
      </c>
      <c r="O185">
        <v>716493716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978563635</v>
      </c>
      <c r="G186">
        <v>1879479862</v>
      </c>
      <c r="H186">
        <v>2708096161</v>
      </c>
      <c r="I186">
        <v>2457586437</v>
      </c>
      <c r="J186">
        <v>2386729781</v>
      </c>
      <c r="K186">
        <v>3395743970</v>
      </c>
      <c r="L186">
        <v>2015439742</v>
      </c>
      <c r="M186">
        <v>1473146586</v>
      </c>
      <c r="N186">
        <v>1208216305</v>
      </c>
      <c r="O186">
        <v>995916313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1421498143</v>
      </c>
      <c r="G187">
        <v>168954737</v>
      </c>
      <c r="H187">
        <v>186666622</v>
      </c>
      <c r="I187">
        <v>588943533</v>
      </c>
      <c r="J187">
        <v>417218216</v>
      </c>
      <c r="K187">
        <v>429095342</v>
      </c>
      <c r="L187">
        <v>372888466</v>
      </c>
      <c r="M187">
        <v>991238490</v>
      </c>
      <c r="N187">
        <v>663523669</v>
      </c>
      <c r="O187">
        <v>301971223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9129094497</v>
      </c>
      <c r="G188">
        <v>7326934799</v>
      </c>
      <c r="H188">
        <v>7043927619</v>
      </c>
      <c r="I188">
        <v>6858741581</v>
      </c>
      <c r="J188">
        <v>5692580365</v>
      </c>
      <c r="K188">
        <v>5279204031</v>
      </c>
      <c r="L188">
        <v>4496662379</v>
      </c>
      <c r="M188">
        <v>4832291832</v>
      </c>
      <c r="N188">
        <v>4932920237</v>
      </c>
      <c r="O188">
        <v>5264006116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3469154074</v>
      </c>
      <c r="G189">
        <v>3330505381</v>
      </c>
      <c r="H189">
        <v>3271586150</v>
      </c>
      <c r="I189">
        <v>3135964543</v>
      </c>
      <c r="J189">
        <v>2338202636</v>
      </c>
      <c r="K189">
        <v>1423486149</v>
      </c>
      <c r="L189">
        <v>1607137355</v>
      </c>
      <c r="M189">
        <v>674237586</v>
      </c>
      <c r="N189">
        <v>797539698</v>
      </c>
      <c r="O189">
        <v>760165621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5508197839</v>
      </c>
      <c r="G190">
        <v>4455989703</v>
      </c>
      <c r="H190">
        <v>4044447405</v>
      </c>
      <c r="I190">
        <v>3477083409</v>
      </c>
      <c r="J190">
        <v>3193670475</v>
      </c>
      <c r="K190">
        <v>2980986959</v>
      </c>
      <c r="L190">
        <v>2856191239</v>
      </c>
      <c r="M190">
        <v>2712890301</v>
      </c>
      <c r="N190">
        <v>3187367242</v>
      </c>
      <c r="O190">
        <v>2712056156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28725022944</v>
      </c>
      <c r="G191">
        <v>22298992578</v>
      </c>
      <c r="H191">
        <v>21509009121</v>
      </c>
      <c r="I191">
        <v>20222361956</v>
      </c>
      <c r="J191">
        <v>17067880799</v>
      </c>
      <c r="K191">
        <v>13227886191</v>
      </c>
      <c r="L191">
        <v>13669891603</v>
      </c>
      <c r="M191">
        <v>14056027014</v>
      </c>
      <c r="N191">
        <v>14524516127</v>
      </c>
      <c r="O191">
        <v>14869600075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1992472428</v>
      </c>
      <c r="G192">
        <v>1972351946</v>
      </c>
      <c r="H192">
        <v>2349026227</v>
      </c>
      <c r="I192">
        <v>2420302582</v>
      </c>
      <c r="J192">
        <v>2150841213</v>
      </c>
      <c r="K192">
        <v>2092172272</v>
      </c>
      <c r="L192">
        <v>2049556352</v>
      </c>
      <c r="M192">
        <v>2265201877</v>
      </c>
      <c r="N192">
        <v>2342008104</v>
      </c>
      <c r="O192">
        <v>2828923978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34002019000</v>
      </c>
      <c r="G193">
        <v>29401026000</v>
      </c>
      <c r="H193">
        <v>72389410000</v>
      </c>
      <c r="I193">
        <v>67763934000</v>
      </c>
      <c r="J193">
        <v>59903948000</v>
      </c>
      <c r="K193">
        <v>40678130000</v>
      </c>
      <c r="L193">
        <v>35225439000</v>
      </c>
      <c r="M193">
        <v>36043771000</v>
      </c>
      <c r="N193">
        <v>30231362000</v>
      </c>
      <c r="O193">
        <v>28867585000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1604516940</v>
      </c>
      <c r="G194">
        <v>1417097312</v>
      </c>
      <c r="H194">
        <v>1311814818</v>
      </c>
      <c r="I194">
        <v>1194794347</v>
      </c>
      <c r="J194">
        <v>1168390540</v>
      </c>
      <c r="K194">
        <v>953306514</v>
      </c>
      <c r="L194">
        <v>1017380812</v>
      </c>
      <c r="M194">
        <v>1254230236</v>
      </c>
      <c r="N194">
        <v>1304674915</v>
      </c>
      <c r="O194">
        <v>1089130607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12363270871</v>
      </c>
      <c r="G195">
        <v>13615482089</v>
      </c>
      <c r="H195">
        <v>10289206911</v>
      </c>
      <c r="I195">
        <v>8821312533</v>
      </c>
      <c r="J195">
        <v>7548771289</v>
      </c>
      <c r="K195">
        <v>7645921650</v>
      </c>
      <c r="L195">
        <v>5864434715</v>
      </c>
      <c r="M195">
        <v>5681863161</v>
      </c>
      <c r="N195">
        <v>5293036561</v>
      </c>
      <c r="O195">
        <v>3673819068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814009457</v>
      </c>
      <c r="G196">
        <v>1082401809</v>
      </c>
      <c r="H196">
        <v>1183486215</v>
      </c>
      <c r="I196">
        <v>3193158889</v>
      </c>
      <c r="J196">
        <v>1475784469</v>
      </c>
      <c r="K196">
        <v>1987349002</v>
      </c>
      <c r="L196">
        <v>632760117</v>
      </c>
      <c r="M196">
        <v>2547674178</v>
      </c>
      <c r="N196">
        <v>2841150064</v>
      </c>
      <c r="O196">
        <v>2693242270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681244922</v>
      </c>
      <c r="G197">
        <v>555657473</v>
      </c>
      <c r="H197">
        <v>805256358</v>
      </c>
      <c r="I197">
        <v>982064939</v>
      </c>
      <c r="J197">
        <v>1317429354</v>
      </c>
      <c r="K197">
        <v>1005491316</v>
      </c>
      <c r="L197">
        <v>1010102392</v>
      </c>
      <c r="M197">
        <v>1343931814</v>
      </c>
      <c r="N197">
        <v>1606864254</v>
      </c>
      <c r="O197">
        <v>1651842999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2181369746</v>
      </c>
      <c r="G198">
        <v>1926852892</v>
      </c>
      <c r="H198">
        <v>2026286237</v>
      </c>
      <c r="I198">
        <v>2430806759</v>
      </c>
      <c r="J198">
        <v>1692959399</v>
      </c>
      <c r="K198">
        <v>2731681385</v>
      </c>
      <c r="L198">
        <v>2761478183</v>
      </c>
      <c r="M198">
        <v>3286700284</v>
      </c>
      <c r="N198">
        <v>4149879864</v>
      </c>
      <c r="O198">
        <v>3504164632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495059717</v>
      </c>
      <c r="G199">
        <v>365594841</v>
      </c>
      <c r="H199">
        <v>433314419</v>
      </c>
      <c r="I199">
        <v>528479620</v>
      </c>
      <c r="J199">
        <v>553230518</v>
      </c>
      <c r="K199">
        <v>433696423</v>
      </c>
      <c r="L199">
        <v>542376142</v>
      </c>
      <c r="M199">
        <v>725819923</v>
      </c>
      <c r="N199">
        <v>719694348</v>
      </c>
      <c r="O199">
        <v>767144590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2415139669</v>
      </c>
      <c r="G200">
        <v>2155400105</v>
      </c>
      <c r="H200">
        <v>2314493553</v>
      </c>
      <c r="I200">
        <v>2170168173</v>
      </c>
      <c r="J200">
        <v>1969485006</v>
      </c>
      <c r="K200">
        <v>1773881912</v>
      </c>
      <c r="L200">
        <v>1538904356</v>
      </c>
      <c r="M200">
        <v>1833366255</v>
      </c>
      <c r="N200">
        <v>1816217756</v>
      </c>
      <c r="O200">
        <v>1919160734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2387383465</v>
      </c>
      <c r="G201">
        <v>1653264775</v>
      </c>
      <c r="H201">
        <v>2105568631</v>
      </c>
      <c r="I201">
        <v>4431727480</v>
      </c>
      <c r="J201">
        <v>4417195148</v>
      </c>
      <c r="K201">
        <v>2943902732</v>
      </c>
      <c r="L201">
        <v>1794454318</v>
      </c>
      <c r="M201">
        <v>3116033341</v>
      </c>
      <c r="N201">
        <v>3491085335</v>
      </c>
      <c r="O201">
        <v>3356699522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26153650859</v>
      </c>
      <c r="G202">
        <v>20297333479</v>
      </c>
      <c r="H202">
        <v>21117196547</v>
      </c>
      <c r="I202">
        <v>20776506349</v>
      </c>
      <c r="J202">
        <v>17987744733</v>
      </c>
      <c r="K202">
        <v>14462727145</v>
      </c>
      <c r="L202">
        <v>12452841100</v>
      </c>
      <c r="M202">
        <v>14372964349</v>
      </c>
      <c r="N202">
        <v>15650758957</v>
      </c>
      <c r="O202">
        <v>13136151270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1208903631</v>
      </c>
      <c r="G203">
        <v>1013472591</v>
      </c>
      <c r="H203">
        <v>1240315014</v>
      </c>
      <c r="I203">
        <v>1199088085</v>
      </c>
      <c r="J203">
        <v>1232715845</v>
      </c>
      <c r="K203">
        <v>1029898824</v>
      </c>
      <c r="L203">
        <v>1114749086</v>
      </c>
      <c r="M203">
        <v>1175972283</v>
      </c>
      <c r="N203">
        <v>1262715890</v>
      </c>
      <c r="O203">
        <v>1087886568</v>
      </c>
      <c r="P203">
        <v>88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45154953607</v>
      </c>
      <c r="G204">
        <v>34907041590</v>
      </c>
      <c r="H204">
        <v>31151121008</v>
      </c>
      <c r="I204">
        <v>27465144549</v>
      </c>
      <c r="J204">
        <v>19982200967</v>
      </c>
      <c r="K204">
        <v>16817825633</v>
      </c>
      <c r="L204">
        <v>907782346</v>
      </c>
      <c r="M204">
        <v>918559793</v>
      </c>
      <c r="N204">
        <v>808482575</v>
      </c>
      <c r="O204">
        <v>856128236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591090588</v>
      </c>
      <c r="G205">
        <v>1113972555</v>
      </c>
      <c r="H205">
        <v>227902943</v>
      </c>
      <c r="I205">
        <v>146396293</v>
      </c>
      <c r="J205">
        <v>14482790</v>
      </c>
      <c r="K205">
        <v>20626592</v>
      </c>
      <c r="L205">
        <v>10952570</v>
      </c>
      <c r="M205">
        <v>10578317</v>
      </c>
      <c r="N205">
        <v>10444484</v>
      </c>
      <c r="O205">
        <v>24883378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1525938566</v>
      </c>
      <c r="G206">
        <v>1353306948</v>
      </c>
      <c r="H206">
        <v>1398780971</v>
      </c>
      <c r="I206">
        <v>1517894687</v>
      </c>
      <c r="J206">
        <v>1609577440</v>
      </c>
      <c r="K206">
        <v>1468229547</v>
      </c>
      <c r="L206">
        <v>1411432792</v>
      </c>
      <c r="M206">
        <v>1373114052</v>
      </c>
      <c r="N206">
        <v>1256198147</v>
      </c>
      <c r="O206">
        <v>1268056943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8414290034</v>
      </c>
      <c r="G207">
        <v>8973945293</v>
      </c>
      <c r="H207">
        <v>9043440069</v>
      </c>
      <c r="I207">
        <v>9514343399</v>
      </c>
      <c r="J207">
        <v>8775100780</v>
      </c>
      <c r="K207">
        <v>8564983415</v>
      </c>
      <c r="L207">
        <v>10310748739</v>
      </c>
      <c r="M207">
        <v>5703384437</v>
      </c>
      <c r="N207">
        <v>4944102874</v>
      </c>
      <c r="O207">
        <v>5198176139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1000092345</v>
      </c>
      <c r="G208">
        <v>847086629</v>
      </c>
      <c r="H208">
        <v>822056686</v>
      </c>
      <c r="I208">
        <v>885377189</v>
      </c>
      <c r="J208">
        <v>813360705</v>
      </c>
      <c r="K208">
        <v>590501404</v>
      </c>
      <c r="L208">
        <v>599572544</v>
      </c>
      <c r="M208">
        <v>672461181</v>
      </c>
      <c r="N208">
        <v>647768021</v>
      </c>
      <c r="O208">
        <v>651741504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833421330</v>
      </c>
      <c r="G209">
        <v>807900929</v>
      </c>
      <c r="H209">
        <v>625421221</v>
      </c>
      <c r="I209">
        <v>705992537</v>
      </c>
      <c r="J209">
        <v>1142950385</v>
      </c>
      <c r="K209">
        <v>846250108</v>
      </c>
      <c r="L209">
        <v>438602282</v>
      </c>
      <c r="M209">
        <v>491557404</v>
      </c>
      <c r="N209">
        <v>910549987</v>
      </c>
      <c r="O209">
        <v>1258763086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6047321260</v>
      </c>
      <c r="G210">
        <v>4393259537</v>
      </c>
      <c r="H210">
        <v>6248276188</v>
      </c>
      <c r="I210">
        <v>9542983233</v>
      </c>
      <c r="J210">
        <v>14390839246</v>
      </c>
      <c r="K210">
        <v>9769685189</v>
      </c>
      <c r="L210">
        <v>4012909898</v>
      </c>
      <c r="M210">
        <v>3947471664</v>
      </c>
      <c r="N210">
        <v>2961636245</v>
      </c>
      <c r="O210">
        <v>354451123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180087908</v>
      </c>
      <c r="I211">
        <v>4886779363</v>
      </c>
      <c r="J211">
        <v>3861709531</v>
      </c>
      <c r="K211">
        <v>5203031268</v>
      </c>
      <c r="L211">
        <v>4681365830</v>
      </c>
      <c r="M211">
        <v>2750952319</v>
      </c>
      <c r="N211">
        <v>2792863641</v>
      </c>
      <c r="O211">
        <v>1565162848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780855818</v>
      </c>
      <c r="G212">
        <v>515890199</v>
      </c>
      <c r="H212">
        <v>439164777</v>
      </c>
      <c r="I212">
        <v>814732443</v>
      </c>
      <c r="J212">
        <v>1501375285</v>
      </c>
      <c r="K212">
        <v>1559906077</v>
      </c>
      <c r="L212">
        <v>1463789834</v>
      </c>
      <c r="M212">
        <v>1343917001</v>
      </c>
      <c r="N212">
        <v>1591387748</v>
      </c>
      <c r="O212">
        <v>1576511978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476970636</v>
      </c>
      <c r="G213">
        <v>999164930</v>
      </c>
      <c r="H213">
        <v>2271048110</v>
      </c>
      <c r="I213">
        <v>3018419996</v>
      </c>
      <c r="J213">
        <v>2135043104</v>
      </c>
      <c r="K213">
        <v>1314232184</v>
      </c>
      <c r="L213">
        <v>406304130</v>
      </c>
      <c r="M213">
        <v>257808160</v>
      </c>
      <c r="N213">
        <v>430161862</v>
      </c>
      <c r="O213">
        <v>529726332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676025669</v>
      </c>
      <c r="G214">
        <v>636706166</v>
      </c>
      <c r="H214">
        <v>706354710</v>
      </c>
      <c r="I214">
        <v>763513328</v>
      </c>
      <c r="J214">
        <v>918131313</v>
      </c>
      <c r="K214">
        <v>956499602</v>
      </c>
      <c r="L214">
        <v>1158521575</v>
      </c>
      <c r="M214">
        <v>1125788013</v>
      </c>
      <c r="N214">
        <v>1095081406</v>
      </c>
      <c r="O214">
        <v>1140039773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813288074</v>
      </c>
      <c r="G215">
        <v>1362421997</v>
      </c>
      <c r="H215">
        <v>1102767119</v>
      </c>
      <c r="I215">
        <v>3644769339</v>
      </c>
      <c r="J215">
        <v>3294957299</v>
      </c>
      <c r="K215">
        <v>2335888274</v>
      </c>
      <c r="L215">
        <v>2618861253</v>
      </c>
      <c r="M215">
        <v>1911575870</v>
      </c>
      <c r="N215">
        <v>3299251176</v>
      </c>
      <c r="O215">
        <v>4070526092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H216">
        <v>13924604</v>
      </c>
      <c r="I216">
        <v>31632562</v>
      </c>
      <c r="J216">
        <v>203203270</v>
      </c>
      <c r="K216">
        <v>805028777</v>
      </c>
      <c r="L216">
        <v>1005898146</v>
      </c>
      <c r="M216">
        <v>22677545</v>
      </c>
      <c r="N216">
        <v>84332631</v>
      </c>
      <c r="O216">
        <v>352544250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159477899164</v>
      </c>
      <c r="G217">
        <v>127723079503</v>
      </c>
      <c r="H217">
        <v>8067954355</v>
      </c>
      <c r="I217">
        <v>7572028176</v>
      </c>
      <c r="J217">
        <v>3893912949</v>
      </c>
      <c r="K217">
        <v>3625721059</v>
      </c>
      <c r="L217">
        <v>3817303254</v>
      </c>
      <c r="M217">
        <v>5194972608</v>
      </c>
      <c r="N217">
        <v>4999257199</v>
      </c>
      <c r="O217">
        <v>4495061961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717526128</v>
      </c>
      <c r="G218">
        <v>685431239</v>
      </c>
      <c r="H218">
        <v>1186674091</v>
      </c>
      <c r="I218">
        <v>1244728370</v>
      </c>
      <c r="J218">
        <v>1472115743</v>
      </c>
      <c r="K218">
        <v>1561837700</v>
      </c>
      <c r="L218">
        <v>1353192522</v>
      </c>
      <c r="M218">
        <v>1186989185</v>
      </c>
      <c r="N218">
        <v>1183550090</v>
      </c>
      <c r="O218">
        <v>1227615498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825734323</v>
      </c>
      <c r="G219">
        <v>958947207</v>
      </c>
      <c r="H219">
        <v>905235424</v>
      </c>
      <c r="I219">
        <v>1012303558</v>
      </c>
      <c r="J219">
        <v>799388913</v>
      </c>
      <c r="K219">
        <v>847940583</v>
      </c>
      <c r="L219">
        <v>1356605760</v>
      </c>
      <c r="M219">
        <v>2791661619</v>
      </c>
      <c r="N219">
        <v>5165541177</v>
      </c>
      <c r="O219">
        <v>4453605010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4337189310</v>
      </c>
      <c r="G220">
        <v>2769325552</v>
      </c>
      <c r="H220">
        <v>3256880896</v>
      </c>
      <c r="I220">
        <v>2174777460</v>
      </c>
      <c r="J220">
        <v>1602327485</v>
      </c>
      <c r="K220">
        <v>1537488841</v>
      </c>
      <c r="L220">
        <v>1531678351</v>
      </c>
      <c r="M220">
        <v>1153597825</v>
      </c>
      <c r="N220">
        <v>1279254552</v>
      </c>
      <c r="O220">
        <v>1071649556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3161843646</v>
      </c>
      <c r="G221">
        <v>3676393703</v>
      </c>
      <c r="H221">
        <v>3814056086</v>
      </c>
      <c r="I221">
        <v>3298765284</v>
      </c>
      <c r="J221">
        <v>2047709277</v>
      </c>
      <c r="K221">
        <v>1670061992</v>
      </c>
      <c r="L221">
        <v>1343085146</v>
      </c>
      <c r="M221">
        <v>3214406389</v>
      </c>
      <c r="N221">
        <v>3996697642</v>
      </c>
      <c r="O221">
        <v>1945718453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3235757981.1300001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3247292217</v>
      </c>
      <c r="G223">
        <v>2237956764</v>
      </c>
      <c r="H223">
        <v>3544771438</v>
      </c>
      <c r="I223">
        <v>5019396301</v>
      </c>
      <c r="J223">
        <v>5375168723</v>
      </c>
      <c r="K223">
        <v>5141519953</v>
      </c>
      <c r="L223">
        <v>5771955410</v>
      </c>
      <c r="M223">
        <v>5891865287</v>
      </c>
      <c r="N223">
        <v>4378723211</v>
      </c>
      <c r="O223">
        <v>3921007907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24864951200</v>
      </c>
      <c r="G224">
        <v>15133627913</v>
      </c>
      <c r="H224">
        <v>14041598394</v>
      </c>
      <c r="I224">
        <v>12904564071</v>
      </c>
      <c r="J224">
        <v>8137456365</v>
      </c>
      <c r="K224">
        <v>4194346373</v>
      </c>
      <c r="L224">
        <v>4825244472</v>
      </c>
      <c r="M224">
        <v>6717268836</v>
      </c>
      <c r="N224">
        <v>4805284820</v>
      </c>
      <c r="O224">
        <v>3715235902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1292312437</v>
      </c>
      <c r="G225">
        <v>936517810</v>
      </c>
      <c r="H225">
        <v>1112490034</v>
      </c>
      <c r="I225">
        <v>1070087927</v>
      </c>
      <c r="J225">
        <v>996570641</v>
      </c>
      <c r="K225">
        <v>926193681</v>
      </c>
      <c r="L225">
        <v>808924739</v>
      </c>
      <c r="M225">
        <v>682654092</v>
      </c>
      <c r="N225">
        <v>623970942</v>
      </c>
      <c r="O225">
        <v>575317011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6153086628</v>
      </c>
      <c r="G226">
        <v>5281880485</v>
      </c>
      <c r="H226">
        <v>8311103505</v>
      </c>
      <c r="I226">
        <v>8538810025</v>
      </c>
      <c r="J226">
        <v>8416651932</v>
      </c>
      <c r="K226">
        <v>6522779198</v>
      </c>
      <c r="L226">
        <v>1332799606</v>
      </c>
      <c r="M226">
        <v>2790622395</v>
      </c>
      <c r="N226">
        <v>2964530796</v>
      </c>
      <c r="O226">
        <v>3040758122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16098636615</v>
      </c>
      <c r="G227">
        <v>10185781442</v>
      </c>
      <c r="H227">
        <v>4509180935</v>
      </c>
      <c r="I227">
        <v>2410719135</v>
      </c>
      <c r="J227">
        <v>5495230981</v>
      </c>
      <c r="K227">
        <v>4161956503</v>
      </c>
      <c r="L227">
        <v>3427618608</v>
      </c>
      <c r="M227">
        <v>2621134225</v>
      </c>
      <c r="N227">
        <v>1600391994</v>
      </c>
      <c r="O227">
        <v>2380506689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958418244</v>
      </c>
      <c r="G228">
        <v>8499587353</v>
      </c>
      <c r="H228">
        <v>15859989821</v>
      </c>
      <c r="I228">
        <v>16957836736</v>
      </c>
      <c r="J228">
        <v>15138429294</v>
      </c>
      <c r="K228">
        <v>8420679913</v>
      </c>
      <c r="L228">
        <v>3230112548</v>
      </c>
      <c r="M228">
        <v>1743091404</v>
      </c>
      <c r="N228">
        <v>1919635540</v>
      </c>
      <c r="O228">
        <v>2483734496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4264106136</v>
      </c>
      <c r="G229">
        <v>4820894277</v>
      </c>
      <c r="H229">
        <v>5316197019</v>
      </c>
      <c r="I229">
        <v>5616191330</v>
      </c>
      <c r="J229">
        <v>5038238703</v>
      </c>
      <c r="K229">
        <v>4393123515</v>
      </c>
      <c r="L229">
        <v>4257924355</v>
      </c>
      <c r="M229">
        <v>3251187298</v>
      </c>
      <c r="N229">
        <v>3168995664</v>
      </c>
      <c r="O229">
        <v>2592852993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1645903602</v>
      </c>
      <c r="G230">
        <v>1388383104</v>
      </c>
      <c r="H230">
        <v>1417563549</v>
      </c>
      <c r="I230">
        <v>1195591714</v>
      </c>
      <c r="J230">
        <v>890350200</v>
      </c>
      <c r="K230">
        <v>883047830</v>
      </c>
      <c r="L230">
        <v>990334460</v>
      </c>
      <c r="M230">
        <v>1479741461</v>
      </c>
      <c r="N230">
        <v>2181240213</v>
      </c>
      <c r="O230">
        <v>2554108884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137029110</v>
      </c>
      <c r="G231">
        <v>50678245</v>
      </c>
      <c r="H231">
        <v>203245286</v>
      </c>
      <c r="I231">
        <v>118866707</v>
      </c>
      <c r="J231">
        <v>65973577</v>
      </c>
      <c r="K231">
        <v>70718280</v>
      </c>
      <c r="L231">
        <v>87847154</v>
      </c>
      <c r="M231">
        <v>95927291</v>
      </c>
      <c r="N231">
        <v>250238490</v>
      </c>
      <c r="O231">
        <v>120931225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24184267659</v>
      </c>
      <c r="G232">
        <v>13890861807</v>
      </c>
      <c r="H232">
        <v>16431884817</v>
      </c>
      <c r="I232">
        <v>13380520554</v>
      </c>
      <c r="J232">
        <v>14042729748</v>
      </c>
      <c r="K232">
        <v>11627832785</v>
      </c>
      <c r="L232">
        <v>9178203960</v>
      </c>
      <c r="M232">
        <v>10011047448</v>
      </c>
      <c r="N232">
        <v>7692225491</v>
      </c>
      <c r="O232">
        <v>6683980314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12136465765</v>
      </c>
      <c r="G233">
        <v>11354395743</v>
      </c>
      <c r="H233">
        <v>11071784243</v>
      </c>
      <c r="I233">
        <v>10187440965</v>
      </c>
      <c r="J233">
        <v>10571526723</v>
      </c>
      <c r="K233">
        <v>9733423460</v>
      </c>
      <c r="L233">
        <v>8767428140</v>
      </c>
      <c r="M233">
        <v>10096747862</v>
      </c>
      <c r="N233">
        <v>8604311584</v>
      </c>
      <c r="O233">
        <v>5801766062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5892864718</v>
      </c>
      <c r="G234">
        <v>5032029718</v>
      </c>
      <c r="H234">
        <v>4947381998</v>
      </c>
      <c r="I234">
        <v>4931073083</v>
      </c>
      <c r="J234">
        <v>6078377430</v>
      </c>
      <c r="K234">
        <v>5893489455</v>
      </c>
      <c r="L234">
        <v>5585396620</v>
      </c>
      <c r="M234">
        <v>4860578313</v>
      </c>
      <c r="N234">
        <v>5193355912</v>
      </c>
      <c r="O234">
        <v>4147229516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6429549627</v>
      </c>
      <c r="G235">
        <v>5065987167</v>
      </c>
      <c r="H235">
        <v>5039442018</v>
      </c>
      <c r="I235">
        <v>4507419165</v>
      </c>
      <c r="J235">
        <v>4327803253</v>
      </c>
      <c r="K235">
        <v>4554766903</v>
      </c>
      <c r="L235">
        <v>5501600704</v>
      </c>
      <c r="M235">
        <v>4080508100</v>
      </c>
      <c r="N235">
        <v>3913305804</v>
      </c>
      <c r="O235">
        <v>3557665305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J236">
        <v>6206624721</v>
      </c>
      <c r="K236">
        <v>4949582031</v>
      </c>
      <c r="L236">
        <v>4352795361.2600002</v>
      </c>
      <c r="M236">
        <v>4171131131.2199998</v>
      </c>
      <c r="N236">
        <v>3901411614.6799998</v>
      </c>
      <c r="O236">
        <v>3946506735.5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23515544220</v>
      </c>
      <c r="G237">
        <v>21812692365</v>
      </c>
      <c r="H237">
        <v>33904078037</v>
      </c>
      <c r="I237">
        <v>27940083194</v>
      </c>
      <c r="J237">
        <v>29754491182</v>
      </c>
      <c r="K237">
        <v>25613776557</v>
      </c>
      <c r="L237">
        <v>22383420461</v>
      </c>
      <c r="M237">
        <v>19959190548</v>
      </c>
      <c r="N237">
        <v>16582461563</v>
      </c>
      <c r="O237">
        <v>14525305765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669830445</v>
      </c>
      <c r="G238">
        <v>761821633</v>
      </c>
      <c r="H238">
        <v>870398326</v>
      </c>
      <c r="I238">
        <v>877569053</v>
      </c>
      <c r="J238">
        <v>962101573</v>
      </c>
      <c r="K238">
        <v>906058549</v>
      </c>
      <c r="L238">
        <v>881279115</v>
      </c>
      <c r="M238">
        <v>882798199</v>
      </c>
      <c r="N238">
        <v>859439009</v>
      </c>
      <c r="O238">
        <v>818017339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8956568696</v>
      </c>
      <c r="G239">
        <v>5567617517</v>
      </c>
      <c r="H239">
        <v>5369034304</v>
      </c>
      <c r="I239">
        <v>5603762608</v>
      </c>
      <c r="J239">
        <v>5576006079</v>
      </c>
      <c r="K239">
        <v>4503335579</v>
      </c>
      <c r="L239">
        <v>3391330276</v>
      </c>
      <c r="M239">
        <v>3385390027</v>
      </c>
      <c r="N239">
        <v>1349429794</v>
      </c>
      <c r="O239">
        <v>1438352194</v>
      </c>
      <c r="P239">
        <v>3514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110165467</v>
      </c>
      <c r="G240">
        <v>24157383</v>
      </c>
      <c r="H240">
        <v>38933140</v>
      </c>
      <c r="I240">
        <v>37890471</v>
      </c>
      <c r="J240">
        <v>14468146</v>
      </c>
      <c r="K240">
        <v>17889807</v>
      </c>
      <c r="L240">
        <v>11266425</v>
      </c>
      <c r="M240">
        <v>11912413</v>
      </c>
      <c r="N240">
        <v>11740973</v>
      </c>
      <c r="O240">
        <v>13101570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25905526376</v>
      </c>
      <c r="G241">
        <v>27734598748</v>
      </c>
      <c r="H241">
        <v>23288576607</v>
      </c>
      <c r="I241">
        <v>17417901050</v>
      </c>
      <c r="J241">
        <v>13835629370</v>
      </c>
      <c r="K241">
        <v>11093724121</v>
      </c>
      <c r="L241">
        <v>9315960168</v>
      </c>
      <c r="M241">
        <v>7452253088</v>
      </c>
      <c r="N241">
        <v>6203074355</v>
      </c>
      <c r="O241">
        <v>5435067561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12438770503</v>
      </c>
      <c r="G242">
        <v>12915201032</v>
      </c>
      <c r="H242">
        <v>12367356605</v>
      </c>
      <c r="I242">
        <v>17371363700</v>
      </c>
      <c r="J242">
        <v>15746029614</v>
      </c>
      <c r="K242">
        <v>11047172939</v>
      </c>
      <c r="L242">
        <v>8056094424</v>
      </c>
      <c r="M242">
        <v>12010016489</v>
      </c>
      <c r="N242">
        <v>14392678934</v>
      </c>
      <c r="O242">
        <v>11051586121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43549442122</v>
      </c>
      <c r="G243">
        <v>39409416485</v>
      </c>
      <c r="H243">
        <v>17692484825</v>
      </c>
      <c r="I243">
        <v>16741242570</v>
      </c>
      <c r="J243">
        <v>15833649847</v>
      </c>
      <c r="K243">
        <v>15378142700</v>
      </c>
      <c r="L243">
        <v>14174385897</v>
      </c>
      <c r="M243">
        <v>14548687659</v>
      </c>
      <c r="N243">
        <v>14059149464</v>
      </c>
      <c r="O243">
        <v>14114259562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5481832867</v>
      </c>
      <c r="G244">
        <v>5080630104</v>
      </c>
      <c r="H244">
        <v>4777233883</v>
      </c>
      <c r="I244">
        <v>6366590941</v>
      </c>
      <c r="J244">
        <v>6320538389</v>
      </c>
      <c r="K244">
        <v>2199404264</v>
      </c>
      <c r="L244">
        <v>2066058756</v>
      </c>
      <c r="M244">
        <v>1895295920</v>
      </c>
      <c r="N244">
        <v>1269816591</v>
      </c>
      <c r="O244">
        <v>1464492999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2880687492</v>
      </c>
      <c r="G245">
        <v>3183051120</v>
      </c>
      <c r="H245">
        <v>8103013048</v>
      </c>
      <c r="I245">
        <v>8249765229</v>
      </c>
      <c r="J245">
        <v>8453223628</v>
      </c>
      <c r="K245">
        <v>6430259283</v>
      </c>
      <c r="L245">
        <v>6646135380</v>
      </c>
      <c r="M245">
        <v>6871300505</v>
      </c>
      <c r="N245">
        <v>7318643001</v>
      </c>
      <c r="O245">
        <v>6027834659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280051722</v>
      </c>
      <c r="G246">
        <v>388671631</v>
      </c>
      <c r="H246">
        <v>542326404</v>
      </c>
      <c r="I246">
        <v>705700445</v>
      </c>
      <c r="J246">
        <v>871719340</v>
      </c>
      <c r="K246">
        <v>1581091209</v>
      </c>
      <c r="L246">
        <v>2305578640</v>
      </c>
      <c r="M246">
        <v>3370144157</v>
      </c>
      <c r="N246">
        <v>3169848899</v>
      </c>
      <c r="O246">
        <v>4011281664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75674092127</v>
      </c>
      <c r="G247">
        <v>53122864093</v>
      </c>
      <c r="H247">
        <v>47970483149</v>
      </c>
      <c r="I247">
        <v>43646788888</v>
      </c>
      <c r="J247">
        <v>37600664146</v>
      </c>
      <c r="K247">
        <v>24173859123</v>
      </c>
      <c r="L247">
        <v>22251888809</v>
      </c>
      <c r="M247">
        <v>27885480799</v>
      </c>
      <c r="N247">
        <v>26822513596</v>
      </c>
      <c r="O247">
        <v>32032052247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1538519306</v>
      </c>
      <c r="G248">
        <v>1315071909</v>
      </c>
      <c r="H248">
        <v>1174868291</v>
      </c>
      <c r="I248">
        <v>1067746401</v>
      </c>
      <c r="J248">
        <v>981292457</v>
      </c>
      <c r="K248">
        <v>815495796</v>
      </c>
      <c r="L248">
        <v>804430658</v>
      </c>
      <c r="M248">
        <v>802979857</v>
      </c>
      <c r="N248">
        <v>733742083</v>
      </c>
      <c r="O248">
        <v>678289513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11394786072</v>
      </c>
      <c r="G249">
        <v>8376485797</v>
      </c>
      <c r="H249">
        <v>6219610575</v>
      </c>
      <c r="I249">
        <v>3672378143</v>
      </c>
      <c r="J249">
        <v>3261833529</v>
      </c>
      <c r="K249">
        <v>2537631600</v>
      </c>
      <c r="L249">
        <v>3163612534</v>
      </c>
      <c r="M249">
        <v>3765315816</v>
      </c>
      <c r="N249">
        <v>1943861473</v>
      </c>
      <c r="O249">
        <v>1208119175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2693510918</v>
      </c>
      <c r="G250">
        <v>2331577447</v>
      </c>
      <c r="H250">
        <v>2157052001</v>
      </c>
      <c r="I250">
        <v>2053113181</v>
      </c>
      <c r="J250">
        <v>1848525085</v>
      </c>
      <c r="K250">
        <v>1439313473</v>
      </c>
      <c r="L250">
        <v>1070767194</v>
      </c>
      <c r="M250">
        <v>826274118</v>
      </c>
      <c r="N250">
        <v>686974843</v>
      </c>
      <c r="O250">
        <v>562700777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186425605.68000001</v>
      </c>
      <c r="L251">
        <v>174140928.83000001</v>
      </c>
      <c r="M251">
        <v>11588501.02</v>
      </c>
      <c r="N251">
        <v>17228987.02</v>
      </c>
      <c r="O251">
        <v>11754902.67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3876151730</v>
      </c>
      <c r="G252">
        <v>4378079123</v>
      </c>
      <c r="H252">
        <v>4621763768</v>
      </c>
      <c r="I252">
        <v>5364499252</v>
      </c>
      <c r="J252">
        <v>5499472799</v>
      </c>
      <c r="K252">
        <v>4750509492</v>
      </c>
      <c r="L252">
        <v>5840595229</v>
      </c>
      <c r="M252">
        <v>5777576233</v>
      </c>
      <c r="N252">
        <v>5797617499</v>
      </c>
      <c r="O252">
        <v>5732116113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2537098601</v>
      </c>
      <c r="G253">
        <v>2315175744</v>
      </c>
      <c r="H253">
        <v>3305797829</v>
      </c>
      <c r="I253">
        <v>3342279651</v>
      </c>
      <c r="J253">
        <v>2966250874</v>
      </c>
      <c r="K253">
        <v>2686413994</v>
      </c>
      <c r="L253">
        <v>2682026085</v>
      </c>
      <c r="M253">
        <v>3349485326</v>
      </c>
      <c r="N253">
        <v>3548694779</v>
      </c>
      <c r="O253">
        <v>3829461905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392777350</v>
      </c>
      <c r="G254">
        <v>523542623</v>
      </c>
      <c r="H254">
        <v>733955923</v>
      </c>
      <c r="I254">
        <v>1253758777</v>
      </c>
      <c r="J254">
        <v>1325553409</v>
      </c>
      <c r="K254">
        <v>1331030735</v>
      </c>
      <c r="L254">
        <v>1197536454</v>
      </c>
      <c r="M254">
        <v>1172038987</v>
      </c>
      <c r="N254">
        <v>1115239043</v>
      </c>
      <c r="O254">
        <v>1119142903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368357958</v>
      </c>
      <c r="G255">
        <v>839418266</v>
      </c>
      <c r="H255">
        <v>1086183597</v>
      </c>
      <c r="I255">
        <v>1566715500</v>
      </c>
      <c r="J255">
        <v>2178040361</v>
      </c>
      <c r="K255">
        <v>1772393826</v>
      </c>
      <c r="L255">
        <v>2059884987</v>
      </c>
      <c r="M255">
        <v>1749032239</v>
      </c>
      <c r="N255">
        <v>1532687957</v>
      </c>
      <c r="O255">
        <v>1319499017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105637009</v>
      </c>
      <c r="G256">
        <v>21089401478</v>
      </c>
      <c r="H256">
        <v>14871958349</v>
      </c>
      <c r="I256">
        <v>23215269081</v>
      </c>
      <c r="J256">
        <v>30246421890</v>
      </c>
      <c r="K256">
        <v>30603660510</v>
      </c>
      <c r="L256">
        <v>20029267014</v>
      </c>
      <c r="M256">
        <v>11605542098</v>
      </c>
      <c r="N256">
        <v>184582237.41</v>
      </c>
      <c r="O256">
        <v>490683151.38999999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4438095726</v>
      </c>
      <c r="G257">
        <v>3678237669</v>
      </c>
      <c r="H257">
        <v>4067543740</v>
      </c>
      <c r="I257">
        <v>3676485753</v>
      </c>
      <c r="J257">
        <v>3276826256</v>
      </c>
      <c r="K257">
        <v>3261237664</v>
      </c>
      <c r="L257">
        <v>3536137915</v>
      </c>
      <c r="M257">
        <v>3484306126</v>
      </c>
      <c r="N257">
        <v>3250635078</v>
      </c>
      <c r="O257">
        <v>4789893563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3108551977</v>
      </c>
      <c r="G258">
        <v>2577683736</v>
      </c>
      <c r="H258">
        <v>3181543687</v>
      </c>
      <c r="I258">
        <v>9422187957</v>
      </c>
      <c r="J258">
        <v>12050492172</v>
      </c>
      <c r="K258">
        <v>3354580676</v>
      </c>
      <c r="L258">
        <v>1007350706</v>
      </c>
      <c r="M258">
        <v>1302802793</v>
      </c>
      <c r="N258">
        <v>1126710748</v>
      </c>
      <c r="O258">
        <v>1029854148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36473310790</v>
      </c>
      <c r="G259">
        <v>23141197882</v>
      </c>
      <c r="H259">
        <v>22789922589</v>
      </c>
      <c r="I259">
        <v>23858165636</v>
      </c>
      <c r="J259">
        <v>22126925198</v>
      </c>
      <c r="K259">
        <v>16591206640</v>
      </c>
      <c r="L259">
        <v>15240089997</v>
      </c>
      <c r="M259">
        <v>15568400216</v>
      </c>
      <c r="N259">
        <v>13910203685</v>
      </c>
      <c r="O259">
        <v>13508426076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158436689386</v>
      </c>
      <c r="G260">
        <v>158442099893</v>
      </c>
      <c r="H260">
        <v>170455950031</v>
      </c>
      <c r="I260">
        <v>166172991985</v>
      </c>
      <c r="J260">
        <v>160711522503</v>
      </c>
      <c r="K260">
        <v>135422263101</v>
      </c>
      <c r="L260">
        <v>93700035201</v>
      </c>
      <c r="M260">
        <v>371514112</v>
      </c>
      <c r="N260">
        <v>427450640</v>
      </c>
      <c r="O260">
        <v>759699767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10675333008</v>
      </c>
      <c r="G261">
        <v>8933035778</v>
      </c>
      <c r="H261">
        <v>7652754552</v>
      </c>
      <c r="I261">
        <v>6685600650</v>
      </c>
      <c r="J261">
        <v>5775728161</v>
      </c>
      <c r="K261">
        <v>4860532383</v>
      </c>
      <c r="L261">
        <v>4213360305</v>
      </c>
      <c r="M261">
        <v>3654114617</v>
      </c>
      <c r="N261">
        <v>3119381262</v>
      </c>
      <c r="O261">
        <v>2713663080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12868681379</v>
      </c>
      <c r="G262">
        <v>11910430976</v>
      </c>
      <c r="H262">
        <v>11135489839</v>
      </c>
      <c r="I262">
        <v>11417981750</v>
      </c>
      <c r="J262">
        <v>10397823108</v>
      </c>
      <c r="K262">
        <v>10688263140</v>
      </c>
      <c r="L262">
        <v>15173331658</v>
      </c>
      <c r="M262">
        <v>9544437406</v>
      </c>
      <c r="N262">
        <v>8262539718</v>
      </c>
      <c r="O262">
        <v>9084163843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4568174606</v>
      </c>
      <c r="G263">
        <v>4798816953</v>
      </c>
      <c r="H263">
        <v>5039164760</v>
      </c>
      <c r="I263">
        <v>5032918225</v>
      </c>
      <c r="J263">
        <v>4646544552</v>
      </c>
      <c r="K263">
        <v>4463595258</v>
      </c>
      <c r="L263">
        <v>3887769559</v>
      </c>
      <c r="M263">
        <v>4462424769</v>
      </c>
      <c r="N263">
        <v>5061830078</v>
      </c>
      <c r="O263">
        <v>5810490803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386905230</v>
      </c>
      <c r="G264">
        <v>728421003</v>
      </c>
      <c r="H264">
        <v>668526793</v>
      </c>
      <c r="I264">
        <v>275441564</v>
      </c>
      <c r="J264">
        <v>214156287</v>
      </c>
      <c r="K264">
        <v>71742118</v>
      </c>
      <c r="L264">
        <v>63939529</v>
      </c>
      <c r="M264">
        <v>642906632</v>
      </c>
      <c r="N264">
        <v>678019887</v>
      </c>
      <c r="O264">
        <v>806527693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1683660814</v>
      </c>
      <c r="G265">
        <v>1255801355</v>
      </c>
      <c r="H265">
        <v>541667689</v>
      </c>
      <c r="I265">
        <v>747158472</v>
      </c>
      <c r="J265">
        <v>704057400</v>
      </c>
      <c r="K265">
        <v>571275598</v>
      </c>
      <c r="L265">
        <v>642313382</v>
      </c>
      <c r="M265">
        <v>798259352</v>
      </c>
      <c r="N265">
        <v>821199720</v>
      </c>
      <c r="O265">
        <v>707757628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2479884368</v>
      </c>
      <c r="G266">
        <v>2622946517</v>
      </c>
      <c r="H266">
        <v>2446884226</v>
      </c>
      <c r="I266">
        <v>2915052343</v>
      </c>
      <c r="J266">
        <v>3809181041</v>
      </c>
      <c r="K266">
        <v>3736692125</v>
      </c>
      <c r="L266">
        <v>4431845168</v>
      </c>
      <c r="M266">
        <v>4056480901</v>
      </c>
      <c r="N266">
        <v>4836308984</v>
      </c>
      <c r="O266">
        <v>5584223969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1893347830</v>
      </c>
      <c r="G267">
        <v>2014309859</v>
      </c>
      <c r="H267">
        <v>1832193611</v>
      </c>
      <c r="I267">
        <v>1693683097</v>
      </c>
      <c r="J267">
        <v>1541582737</v>
      </c>
      <c r="K267">
        <v>1447274815</v>
      </c>
      <c r="L267">
        <v>1305428217</v>
      </c>
      <c r="M267">
        <v>1207580388</v>
      </c>
      <c r="N267">
        <v>1110973538</v>
      </c>
      <c r="O267">
        <v>1146680714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152320749</v>
      </c>
      <c r="G268">
        <v>191926939</v>
      </c>
      <c r="H268">
        <v>995847583</v>
      </c>
      <c r="I268">
        <v>996676527</v>
      </c>
      <c r="J268">
        <v>922273690</v>
      </c>
      <c r="K268">
        <v>966827593</v>
      </c>
      <c r="L268">
        <v>1250897008</v>
      </c>
      <c r="M268">
        <v>1493696543</v>
      </c>
      <c r="N268">
        <v>1860387635</v>
      </c>
      <c r="O268">
        <v>1599804719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48668438514</v>
      </c>
      <c r="G269">
        <v>37021045090</v>
      </c>
      <c r="H269">
        <v>46736057848</v>
      </c>
      <c r="I269">
        <v>45431114804</v>
      </c>
      <c r="J269">
        <v>40987348814</v>
      </c>
      <c r="K269">
        <v>35093851058</v>
      </c>
      <c r="L269">
        <v>54776796201</v>
      </c>
      <c r="M269">
        <v>95753196097</v>
      </c>
      <c r="N269">
        <v>94569759961</v>
      </c>
      <c r="O269">
        <v>63700448459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14903266484</v>
      </c>
      <c r="G270">
        <v>12307883137</v>
      </c>
      <c r="H270">
        <v>13538816480</v>
      </c>
      <c r="I270">
        <v>14763348003</v>
      </c>
      <c r="J270">
        <v>13658917356</v>
      </c>
      <c r="K270">
        <v>10809907033</v>
      </c>
      <c r="L270">
        <v>9416782085</v>
      </c>
      <c r="M270">
        <v>9261782279</v>
      </c>
      <c r="N270">
        <v>9743049747</v>
      </c>
      <c r="O270">
        <v>9567404468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145537817629</v>
      </c>
      <c r="G271">
        <v>73432968476</v>
      </c>
      <c r="H271">
        <v>68050668651</v>
      </c>
      <c r="I271">
        <v>60621193437</v>
      </c>
      <c r="J271">
        <v>53123173259</v>
      </c>
      <c r="K271">
        <v>30099861530</v>
      </c>
      <c r="L271">
        <v>19492382890</v>
      </c>
      <c r="M271">
        <v>22088368489</v>
      </c>
      <c r="N271">
        <v>20237973218</v>
      </c>
      <c r="O271">
        <v>15942126517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17079988516</v>
      </c>
      <c r="G272">
        <v>18753746274</v>
      </c>
      <c r="H272">
        <v>26461703885</v>
      </c>
      <c r="I272">
        <v>11933180237</v>
      </c>
      <c r="J272">
        <v>10244835000</v>
      </c>
      <c r="K272">
        <v>5212623187</v>
      </c>
      <c r="L272">
        <v>3590603840</v>
      </c>
      <c r="M272">
        <v>2114534703</v>
      </c>
      <c r="N272">
        <v>2223704062</v>
      </c>
      <c r="O272">
        <v>4187340355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1042928226</v>
      </c>
      <c r="G273">
        <v>549944409</v>
      </c>
      <c r="H273">
        <v>215147884</v>
      </c>
      <c r="I273">
        <v>82235139</v>
      </c>
      <c r="J273">
        <v>166347808</v>
      </c>
      <c r="K273">
        <v>82435670</v>
      </c>
      <c r="L273">
        <v>78763725</v>
      </c>
      <c r="M273">
        <v>215314472</v>
      </c>
      <c r="N273">
        <v>210333105</v>
      </c>
      <c r="O273">
        <v>305575630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9273310046</v>
      </c>
      <c r="G274">
        <v>9781065125</v>
      </c>
      <c r="H274">
        <v>11159508671</v>
      </c>
      <c r="I274">
        <v>10816301273</v>
      </c>
      <c r="J274">
        <v>8959755297</v>
      </c>
      <c r="K274">
        <v>8869714499</v>
      </c>
      <c r="L274">
        <v>5830596168</v>
      </c>
      <c r="M274">
        <v>4605826500</v>
      </c>
      <c r="N274">
        <v>3818393165</v>
      </c>
      <c r="O274">
        <v>3284222420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3764392752</v>
      </c>
      <c r="G275">
        <v>3662548774</v>
      </c>
      <c r="H275">
        <v>5135725234</v>
      </c>
      <c r="I275">
        <v>3446395315</v>
      </c>
      <c r="J275">
        <v>3866695067</v>
      </c>
      <c r="K275">
        <v>4414501118</v>
      </c>
      <c r="L275">
        <v>3772977949</v>
      </c>
      <c r="M275">
        <v>3050359596</v>
      </c>
      <c r="N275">
        <v>2529148766</v>
      </c>
      <c r="O275">
        <v>2783782871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7646123007</v>
      </c>
      <c r="G276">
        <v>7032385622</v>
      </c>
      <c r="H276">
        <v>7596951823</v>
      </c>
      <c r="I276">
        <v>7137947377</v>
      </c>
      <c r="J276">
        <v>6488246212</v>
      </c>
      <c r="K276">
        <v>5321198258</v>
      </c>
      <c r="L276">
        <v>5845865323</v>
      </c>
      <c r="M276">
        <v>5334659318</v>
      </c>
      <c r="N276">
        <v>4468503687</v>
      </c>
      <c r="O276">
        <v>3998901455</v>
      </c>
      <c r="P276">
        <v>1245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7214281277</v>
      </c>
      <c r="G277">
        <v>5068597572</v>
      </c>
      <c r="H277">
        <v>4419722063</v>
      </c>
      <c r="I277">
        <v>2417799696</v>
      </c>
      <c r="J277">
        <v>2530024698</v>
      </c>
      <c r="K277">
        <v>3680183910</v>
      </c>
      <c r="L277">
        <v>2815575207</v>
      </c>
      <c r="M277">
        <v>3450740258</v>
      </c>
      <c r="N277">
        <v>2860498497</v>
      </c>
      <c r="O277">
        <v>2232706258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H278">
        <v>4768326952</v>
      </c>
      <c r="I278">
        <v>4813538152</v>
      </c>
      <c r="J278">
        <v>3818303048</v>
      </c>
      <c r="K278">
        <v>3665585852</v>
      </c>
      <c r="L278">
        <v>3787763122.3200002</v>
      </c>
      <c r="M278">
        <v>3910487551.0100002</v>
      </c>
      <c r="N278">
        <v>3687111558.9000001</v>
      </c>
      <c r="O278">
        <v>3441636525.4000001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395402339</v>
      </c>
      <c r="G279">
        <v>492197077</v>
      </c>
      <c r="H279">
        <v>517512973</v>
      </c>
      <c r="I279">
        <v>533352198</v>
      </c>
      <c r="J279">
        <v>633236982</v>
      </c>
      <c r="K279">
        <v>811302964</v>
      </c>
      <c r="L279">
        <v>944597608</v>
      </c>
      <c r="M279">
        <v>1222277750</v>
      </c>
      <c r="N279">
        <v>1178058714</v>
      </c>
      <c r="O279">
        <v>1021057963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192701716</v>
      </c>
      <c r="G280">
        <v>49293775</v>
      </c>
      <c r="H280">
        <v>1655120196</v>
      </c>
      <c r="I280">
        <v>2010163772</v>
      </c>
      <c r="J280">
        <v>1949780674</v>
      </c>
      <c r="K280">
        <v>1457437579</v>
      </c>
      <c r="L280">
        <v>1311503408</v>
      </c>
      <c r="M280">
        <v>1489024428</v>
      </c>
      <c r="N280">
        <v>1628244005</v>
      </c>
      <c r="O280">
        <v>1713399203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25977976968</v>
      </c>
      <c r="G281">
        <v>22655141652</v>
      </c>
      <c r="H281">
        <v>24595587883</v>
      </c>
      <c r="I281">
        <v>21812389644</v>
      </c>
      <c r="J281">
        <v>21858814000</v>
      </c>
      <c r="K281">
        <v>24348087928</v>
      </c>
      <c r="L281">
        <v>23272394677</v>
      </c>
      <c r="M281">
        <v>25069421487</v>
      </c>
      <c r="N281">
        <v>23201555800</v>
      </c>
      <c r="O281">
        <v>18255152096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1263115651</v>
      </c>
      <c r="G282">
        <v>731484889</v>
      </c>
      <c r="H282">
        <v>1411457825</v>
      </c>
      <c r="I282">
        <v>1968843146</v>
      </c>
      <c r="J282">
        <v>1163468540</v>
      </c>
      <c r="K282">
        <v>562711073</v>
      </c>
      <c r="L282">
        <v>564425721</v>
      </c>
      <c r="M282">
        <v>773026816</v>
      </c>
      <c r="N282">
        <v>744839857</v>
      </c>
      <c r="O282">
        <v>473116056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4665236632</v>
      </c>
      <c r="G283">
        <v>2752869629</v>
      </c>
      <c r="H283">
        <v>9564470926</v>
      </c>
      <c r="I283">
        <v>3401413516</v>
      </c>
      <c r="J283">
        <v>6349494852</v>
      </c>
      <c r="K283">
        <v>3531248854</v>
      </c>
      <c r="L283">
        <v>3802176274</v>
      </c>
      <c r="M283">
        <v>3181037356</v>
      </c>
      <c r="N283">
        <v>1749436596</v>
      </c>
      <c r="O283">
        <v>3213143485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11776514848</v>
      </c>
      <c r="G284">
        <v>7481435506</v>
      </c>
      <c r="H284">
        <v>6160031114</v>
      </c>
      <c r="I284">
        <v>4848494752</v>
      </c>
      <c r="J284">
        <v>4202080685</v>
      </c>
      <c r="K284">
        <v>3690344577</v>
      </c>
      <c r="L284">
        <v>3356967216</v>
      </c>
      <c r="M284">
        <v>2435295906</v>
      </c>
      <c r="N284">
        <v>1001449410</v>
      </c>
      <c r="O284">
        <v>885267958</v>
      </c>
      <c r="P284">
        <v>1151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51240679151</v>
      </c>
      <c r="G285">
        <v>51006301499</v>
      </c>
      <c r="H285">
        <v>33148683111</v>
      </c>
      <c r="I285">
        <v>23698927361</v>
      </c>
      <c r="J285">
        <v>19916813946</v>
      </c>
      <c r="K285">
        <v>13298911113</v>
      </c>
      <c r="L285">
        <v>8342339136</v>
      </c>
      <c r="M285">
        <v>7104302025</v>
      </c>
      <c r="N285">
        <v>7017125543</v>
      </c>
      <c r="O285">
        <v>4547332428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5776900693</v>
      </c>
      <c r="G286">
        <v>7076781814</v>
      </c>
      <c r="H286">
        <v>5621295714</v>
      </c>
      <c r="I286">
        <v>5021393225</v>
      </c>
      <c r="J286">
        <v>3590958656</v>
      </c>
      <c r="K286">
        <v>2501257287</v>
      </c>
      <c r="L286">
        <v>2086969182</v>
      </c>
      <c r="M286">
        <v>1415827376</v>
      </c>
      <c r="N286">
        <v>1745372440</v>
      </c>
      <c r="O286">
        <v>1640255342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6904813131</v>
      </c>
      <c r="G287">
        <v>7936307260</v>
      </c>
      <c r="H287">
        <v>9362157249</v>
      </c>
      <c r="I287">
        <v>9153568277</v>
      </c>
      <c r="J287">
        <v>9167576908</v>
      </c>
      <c r="K287">
        <v>9069672724</v>
      </c>
      <c r="L287">
        <v>8381524646</v>
      </c>
      <c r="M287">
        <v>8553678758</v>
      </c>
      <c r="N287">
        <v>8898870470</v>
      </c>
      <c r="O287">
        <v>7501385599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13413440391</v>
      </c>
      <c r="G288">
        <v>9752639800</v>
      </c>
      <c r="H288">
        <v>10045876322</v>
      </c>
      <c r="I288">
        <v>3780824063</v>
      </c>
      <c r="J288">
        <v>3286088250</v>
      </c>
      <c r="K288">
        <v>2524917263</v>
      </c>
      <c r="L288">
        <v>2367809137</v>
      </c>
      <c r="M288">
        <v>2716877984</v>
      </c>
      <c r="N288">
        <v>2012731376</v>
      </c>
      <c r="O288">
        <v>1628962016</v>
      </c>
      <c r="P288">
        <v>261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6907544256</v>
      </c>
      <c r="G289">
        <v>6603652015</v>
      </c>
      <c r="H289">
        <v>6993881698</v>
      </c>
      <c r="I289">
        <v>6358622319</v>
      </c>
      <c r="J289">
        <v>5689242496</v>
      </c>
      <c r="K289">
        <v>6178821796</v>
      </c>
      <c r="L289">
        <v>7080552238</v>
      </c>
      <c r="M289">
        <v>7086879279</v>
      </c>
      <c r="N289">
        <v>6010136728</v>
      </c>
      <c r="O289">
        <v>5129925987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4084906935</v>
      </c>
      <c r="G290">
        <v>3155775787</v>
      </c>
      <c r="H290">
        <v>2779942962</v>
      </c>
      <c r="I290">
        <v>2610217314</v>
      </c>
      <c r="J290">
        <v>2179361018</v>
      </c>
      <c r="K290">
        <v>1691772821</v>
      </c>
      <c r="L290">
        <v>1316140059</v>
      </c>
      <c r="M290">
        <v>1168229126</v>
      </c>
      <c r="N290">
        <v>1256100665</v>
      </c>
      <c r="O290">
        <v>1130324753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2907034806</v>
      </c>
      <c r="G291">
        <v>2280777892</v>
      </c>
      <c r="H291">
        <v>2545255749</v>
      </c>
      <c r="I291">
        <v>2690012210</v>
      </c>
      <c r="J291">
        <v>4622844290</v>
      </c>
      <c r="K291">
        <v>4076359734</v>
      </c>
      <c r="L291">
        <v>4368755787</v>
      </c>
      <c r="M291">
        <v>3759123603</v>
      </c>
      <c r="N291">
        <v>3511260142</v>
      </c>
      <c r="O291">
        <v>4440021844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69014052347</v>
      </c>
      <c r="G292">
        <v>61673702450</v>
      </c>
      <c r="H292">
        <v>64951777642</v>
      </c>
      <c r="I292">
        <v>42233838051</v>
      </c>
      <c r="J292">
        <v>20954225190</v>
      </c>
      <c r="K292">
        <v>20035681499</v>
      </c>
      <c r="L292">
        <v>19124658299</v>
      </c>
      <c r="M292">
        <v>18799880605</v>
      </c>
      <c r="N292">
        <v>17608193312</v>
      </c>
      <c r="O292">
        <v>8229058538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1796739863</v>
      </c>
      <c r="G293">
        <v>1562396998</v>
      </c>
      <c r="H293">
        <v>1733320224</v>
      </c>
      <c r="I293">
        <v>1568483156</v>
      </c>
      <c r="J293">
        <v>1462821920</v>
      </c>
      <c r="K293">
        <v>1301847533</v>
      </c>
      <c r="L293">
        <v>1513744498</v>
      </c>
      <c r="M293">
        <v>1641925573</v>
      </c>
      <c r="N293">
        <v>1749371528</v>
      </c>
      <c r="O293">
        <v>1726915180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43945252329</v>
      </c>
      <c r="G294">
        <v>44134810768</v>
      </c>
      <c r="H294">
        <v>52162141218</v>
      </c>
      <c r="I294">
        <v>44252758386</v>
      </c>
      <c r="J294">
        <v>50240139696</v>
      </c>
      <c r="K294">
        <v>50584791166</v>
      </c>
      <c r="L294">
        <v>64163714486</v>
      </c>
      <c r="M294">
        <v>90343539292</v>
      </c>
      <c r="N294">
        <v>74887843870</v>
      </c>
      <c r="O294">
        <v>62123698890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8625734982</v>
      </c>
      <c r="G295">
        <v>7059238131</v>
      </c>
      <c r="H295">
        <v>6433359578</v>
      </c>
      <c r="I295">
        <v>5645158339</v>
      </c>
      <c r="J295">
        <v>4661967639</v>
      </c>
      <c r="K295">
        <v>3750644768</v>
      </c>
      <c r="L295">
        <v>3606857732</v>
      </c>
      <c r="M295">
        <v>4121105677</v>
      </c>
      <c r="N295">
        <v>4312357400</v>
      </c>
      <c r="O295">
        <v>4002827471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5275430855</v>
      </c>
      <c r="G296">
        <v>4571328460</v>
      </c>
      <c r="H296">
        <v>5587983514</v>
      </c>
      <c r="I296">
        <v>5261023054</v>
      </c>
      <c r="J296">
        <v>4179418202</v>
      </c>
      <c r="K296">
        <v>3466512386</v>
      </c>
      <c r="L296">
        <v>2858819714</v>
      </c>
      <c r="M296">
        <v>2713771503</v>
      </c>
      <c r="N296">
        <v>2675159309</v>
      </c>
      <c r="O296">
        <v>2631062607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2048629105</v>
      </c>
      <c r="G297">
        <v>1132618200</v>
      </c>
      <c r="H297">
        <v>2234298037</v>
      </c>
      <c r="I297">
        <v>2046309846</v>
      </c>
      <c r="J297">
        <v>2466526854</v>
      </c>
      <c r="K297">
        <v>1476755188</v>
      </c>
      <c r="L297">
        <v>1491448793</v>
      </c>
      <c r="M297">
        <v>1541603286</v>
      </c>
      <c r="N297">
        <v>1569074165</v>
      </c>
      <c r="O297">
        <v>1337523972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79831849093</v>
      </c>
      <c r="G298">
        <v>70698459421</v>
      </c>
      <c r="H298">
        <v>65053897863</v>
      </c>
      <c r="I298">
        <v>58622877048</v>
      </c>
      <c r="J298">
        <v>55363747575</v>
      </c>
      <c r="K298">
        <v>50659441285</v>
      </c>
      <c r="L298">
        <v>1929280698</v>
      </c>
      <c r="M298">
        <v>2626402493</v>
      </c>
      <c r="N298">
        <v>3057262077</v>
      </c>
      <c r="O298">
        <v>3189231284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43180812903</v>
      </c>
      <c r="G299">
        <v>101208520745</v>
      </c>
      <c r="H299">
        <v>105209536217</v>
      </c>
      <c r="I299">
        <v>83798590155</v>
      </c>
      <c r="J299">
        <v>59635420323</v>
      </c>
      <c r="K299">
        <v>53820587476</v>
      </c>
      <c r="L299">
        <v>38334689695</v>
      </c>
      <c r="M299">
        <v>26885548491</v>
      </c>
      <c r="N299">
        <v>21059753648</v>
      </c>
      <c r="O299">
        <v>12076941011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1225998641</v>
      </c>
      <c r="G300">
        <v>1249018922</v>
      </c>
      <c r="H300">
        <v>2651512287</v>
      </c>
      <c r="I300">
        <v>1887773396</v>
      </c>
      <c r="J300">
        <v>1840534777</v>
      </c>
      <c r="K300">
        <v>1803667356</v>
      </c>
      <c r="L300">
        <v>1503359938</v>
      </c>
      <c r="M300">
        <v>1310615992</v>
      </c>
      <c r="N300">
        <v>1386721858</v>
      </c>
      <c r="O300">
        <v>1247424298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109880458</v>
      </c>
      <c r="G301">
        <v>176619036</v>
      </c>
      <c r="H301">
        <v>176267836</v>
      </c>
      <c r="I301">
        <v>147704241</v>
      </c>
      <c r="J301">
        <v>254829228</v>
      </c>
      <c r="K301">
        <v>583860838</v>
      </c>
      <c r="L301">
        <v>577333199</v>
      </c>
      <c r="M301">
        <v>865932815</v>
      </c>
      <c r="N301">
        <v>1063951191</v>
      </c>
      <c r="O301">
        <v>1077046295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197970344885</v>
      </c>
      <c r="G302">
        <v>152373395747</v>
      </c>
      <c r="H302">
        <v>100782371124</v>
      </c>
      <c r="I302">
        <v>60067255172</v>
      </c>
      <c r="J302">
        <v>22287966407</v>
      </c>
      <c r="K302">
        <v>19239958376</v>
      </c>
      <c r="L302">
        <v>840703067</v>
      </c>
      <c r="M302">
        <v>876055634</v>
      </c>
      <c r="N302">
        <v>1217812459</v>
      </c>
      <c r="O302">
        <v>1326964965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38006666064</v>
      </c>
      <c r="G303">
        <v>31181474490</v>
      </c>
      <c r="H303">
        <v>32657944785</v>
      </c>
      <c r="I303">
        <v>32683712212</v>
      </c>
      <c r="J303">
        <v>28114065876</v>
      </c>
      <c r="K303">
        <v>18701417548</v>
      </c>
      <c r="L303">
        <v>16863908099</v>
      </c>
      <c r="M303">
        <v>20722678480</v>
      </c>
      <c r="N303">
        <v>26169215695</v>
      </c>
      <c r="O303">
        <v>30115912325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16203578428</v>
      </c>
      <c r="G304">
        <v>11365164781</v>
      </c>
      <c r="H304">
        <v>7444768363</v>
      </c>
      <c r="I304">
        <v>6828798848</v>
      </c>
      <c r="J304">
        <v>7379531379</v>
      </c>
      <c r="K304">
        <v>8460561925</v>
      </c>
      <c r="L304">
        <v>6954608508</v>
      </c>
      <c r="M304">
        <v>6354738487</v>
      </c>
      <c r="N304">
        <v>5831463236</v>
      </c>
      <c r="O304">
        <v>5224958913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2763962482</v>
      </c>
      <c r="G305">
        <v>2602423106</v>
      </c>
      <c r="H305">
        <v>3041915899</v>
      </c>
      <c r="I305">
        <v>2918099220</v>
      </c>
      <c r="J305">
        <v>2558514621</v>
      </c>
      <c r="K305">
        <v>1806110171</v>
      </c>
      <c r="L305">
        <v>2065627073</v>
      </c>
      <c r="M305">
        <v>1889657429</v>
      </c>
      <c r="N305">
        <v>1624882782</v>
      </c>
      <c r="O305">
        <v>1266573182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16659819624</v>
      </c>
      <c r="G306">
        <v>15605441783</v>
      </c>
      <c r="H306">
        <v>21364994633</v>
      </c>
      <c r="I306">
        <v>19075780343</v>
      </c>
      <c r="J306">
        <v>15100899901</v>
      </c>
      <c r="K306">
        <v>12355532957</v>
      </c>
      <c r="L306">
        <v>14842113063</v>
      </c>
      <c r="M306">
        <v>15149985953</v>
      </c>
      <c r="N306">
        <v>14085822577</v>
      </c>
      <c r="O306">
        <v>7649308390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1006758283</v>
      </c>
      <c r="G307">
        <v>902035497</v>
      </c>
      <c r="H307">
        <v>1200618981</v>
      </c>
      <c r="I307">
        <v>1058854294</v>
      </c>
      <c r="J307">
        <v>1061692039</v>
      </c>
      <c r="K307">
        <v>978628634</v>
      </c>
      <c r="L307">
        <v>835014690</v>
      </c>
      <c r="M307">
        <v>545392319</v>
      </c>
      <c r="N307">
        <v>443594449</v>
      </c>
      <c r="O307">
        <v>434650552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922131315</v>
      </c>
      <c r="G308">
        <v>954210631</v>
      </c>
      <c r="H308">
        <v>1183712575</v>
      </c>
      <c r="I308">
        <v>767469079</v>
      </c>
      <c r="J308">
        <v>485178519</v>
      </c>
      <c r="K308">
        <v>655137591</v>
      </c>
      <c r="L308">
        <v>1304026666</v>
      </c>
      <c r="M308">
        <v>1255860455</v>
      </c>
      <c r="N308">
        <v>1874811757</v>
      </c>
      <c r="O308">
        <v>1974436812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263924016</v>
      </c>
      <c r="G309">
        <v>196600847</v>
      </c>
      <c r="H309">
        <v>302553924</v>
      </c>
      <c r="I309">
        <v>397762506</v>
      </c>
      <c r="J309">
        <v>341860367</v>
      </c>
      <c r="K309">
        <v>335811133</v>
      </c>
      <c r="L309">
        <v>407924062</v>
      </c>
      <c r="M309">
        <v>383296950</v>
      </c>
      <c r="N309">
        <v>315446561</v>
      </c>
      <c r="O309">
        <v>276925255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2021565770</v>
      </c>
      <c r="G310">
        <v>1828652254</v>
      </c>
      <c r="H310">
        <v>1756045298</v>
      </c>
      <c r="I310">
        <v>1610931195</v>
      </c>
      <c r="J310">
        <v>1444178232</v>
      </c>
      <c r="K310">
        <v>1360458693</v>
      </c>
      <c r="L310">
        <v>1395026675</v>
      </c>
      <c r="M310">
        <v>1497278940</v>
      </c>
      <c r="N310">
        <v>1517792021</v>
      </c>
      <c r="O310">
        <v>1450329833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823956774</v>
      </c>
      <c r="G311">
        <v>522299747</v>
      </c>
      <c r="H311">
        <v>354970863</v>
      </c>
      <c r="I311">
        <v>275183250</v>
      </c>
      <c r="J311">
        <v>287519905</v>
      </c>
      <c r="K311">
        <v>117284385</v>
      </c>
      <c r="L311">
        <v>88326691</v>
      </c>
      <c r="M311">
        <v>88557916</v>
      </c>
      <c r="N311">
        <v>118568747</v>
      </c>
      <c r="O311">
        <v>150400718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685361130</v>
      </c>
      <c r="G312">
        <v>556230065</v>
      </c>
      <c r="H312">
        <v>550803078</v>
      </c>
      <c r="I312">
        <v>626562733</v>
      </c>
      <c r="J312">
        <v>1084701437</v>
      </c>
      <c r="K312">
        <v>1562192861</v>
      </c>
      <c r="L312">
        <v>631268592</v>
      </c>
      <c r="M312">
        <v>667729706</v>
      </c>
      <c r="N312">
        <v>868094782</v>
      </c>
      <c r="O312">
        <v>980410882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2210055246</v>
      </c>
      <c r="G313">
        <v>1718583579</v>
      </c>
      <c r="H313">
        <v>1656485627</v>
      </c>
      <c r="I313">
        <v>1709262284</v>
      </c>
      <c r="J313">
        <v>1634890299</v>
      </c>
      <c r="K313">
        <v>1395863516</v>
      </c>
      <c r="L313">
        <v>1300659653</v>
      </c>
      <c r="M313">
        <v>1235814184</v>
      </c>
      <c r="N313">
        <v>1247865518</v>
      </c>
      <c r="O313">
        <v>1055067265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8353350843</v>
      </c>
      <c r="G314">
        <v>9548681528</v>
      </c>
      <c r="H314">
        <v>11992725179</v>
      </c>
      <c r="I314">
        <v>11595335896</v>
      </c>
      <c r="J314">
        <v>11759162596</v>
      </c>
      <c r="K314">
        <v>12358210320</v>
      </c>
      <c r="L314">
        <v>13429809357</v>
      </c>
      <c r="M314">
        <v>13331704112</v>
      </c>
      <c r="N314">
        <v>12747534796</v>
      </c>
      <c r="O314">
        <v>12323338696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442767670161</v>
      </c>
      <c r="G315">
        <v>318563174838</v>
      </c>
      <c r="H315">
        <v>240360335134</v>
      </c>
      <c r="I315">
        <v>215289866760</v>
      </c>
      <c r="J315">
        <v>205046854771</v>
      </c>
      <c r="K315">
        <v>202308220227</v>
      </c>
      <c r="L315">
        <v>185782491341</v>
      </c>
      <c r="M315">
        <v>198833486017</v>
      </c>
      <c r="N315">
        <v>175890190968</v>
      </c>
      <c r="O315">
        <v>158556206525</v>
      </c>
      <c r="P315">
        <v>910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3585863685</v>
      </c>
      <c r="G316">
        <v>3826689284</v>
      </c>
      <c r="H316">
        <v>4354617985</v>
      </c>
      <c r="I316">
        <v>3445562478</v>
      </c>
      <c r="J316">
        <v>3009262847</v>
      </c>
      <c r="K316">
        <v>2504328065</v>
      </c>
      <c r="L316">
        <v>2497279949</v>
      </c>
      <c r="M316">
        <v>1957049507</v>
      </c>
      <c r="N316">
        <v>1602272718</v>
      </c>
      <c r="O316">
        <v>1265136850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678350741</v>
      </c>
      <c r="G317">
        <v>608243677</v>
      </c>
      <c r="H317">
        <v>976001922</v>
      </c>
      <c r="I317">
        <v>1026650174</v>
      </c>
      <c r="J317">
        <v>941346820</v>
      </c>
      <c r="K317">
        <v>594016767</v>
      </c>
      <c r="L317">
        <v>474707109</v>
      </c>
      <c r="M317">
        <v>109794372</v>
      </c>
      <c r="N317">
        <v>84972607</v>
      </c>
      <c r="O317">
        <v>84217807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3753956786</v>
      </c>
      <c r="G318">
        <v>2399107592</v>
      </c>
      <c r="H318">
        <v>1945741772</v>
      </c>
      <c r="I318">
        <v>2026498472</v>
      </c>
      <c r="J318">
        <v>1881172771</v>
      </c>
      <c r="K318">
        <v>1560263491</v>
      </c>
      <c r="L318">
        <v>1435588698</v>
      </c>
      <c r="M318">
        <v>1435376733</v>
      </c>
      <c r="N318">
        <v>2138442603</v>
      </c>
      <c r="O318">
        <v>2919614600</v>
      </c>
      <c r="P318">
        <v>238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2195466084</v>
      </c>
      <c r="G319">
        <v>1377647244</v>
      </c>
      <c r="H319">
        <v>1523390234</v>
      </c>
      <c r="I319">
        <v>1593039258</v>
      </c>
      <c r="J319">
        <v>1335083507</v>
      </c>
      <c r="K319">
        <v>1171961955</v>
      </c>
      <c r="L319">
        <v>1042599858</v>
      </c>
      <c r="M319">
        <v>1092783894</v>
      </c>
      <c r="N319">
        <v>1053062158</v>
      </c>
      <c r="O319">
        <v>1156244080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1830660434</v>
      </c>
      <c r="G320">
        <v>1722894808</v>
      </c>
      <c r="H320">
        <v>2147435334</v>
      </c>
      <c r="I320">
        <v>1819353054</v>
      </c>
      <c r="J320">
        <v>1792177210</v>
      </c>
      <c r="K320">
        <v>1289784608</v>
      </c>
      <c r="L320">
        <v>2085692374</v>
      </c>
      <c r="M320">
        <v>3289784090</v>
      </c>
      <c r="N320">
        <v>6175549265</v>
      </c>
      <c r="O320">
        <v>5388886973</v>
      </c>
      <c r="P320">
        <v>301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F321">
        <v>3096080385</v>
      </c>
      <c r="G321">
        <v>3169571454</v>
      </c>
      <c r="H321">
        <v>3488837437</v>
      </c>
      <c r="I321">
        <v>2744154393</v>
      </c>
      <c r="J321">
        <v>3060764762</v>
      </c>
      <c r="K321">
        <v>3631659621</v>
      </c>
      <c r="L321">
        <v>8496799180</v>
      </c>
      <c r="M321">
        <v>3674829198</v>
      </c>
      <c r="N321">
        <v>1964126453</v>
      </c>
      <c r="O321">
        <v>1267970837</v>
      </c>
      <c r="P321">
        <v>932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19479172715</v>
      </c>
      <c r="G322">
        <v>16299797475</v>
      </c>
      <c r="H322">
        <v>1041419721</v>
      </c>
      <c r="I322">
        <v>1182076384</v>
      </c>
      <c r="J322">
        <v>1065883410</v>
      </c>
      <c r="K322">
        <v>976756002</v>
      </c>
      <c r="L322">
        <v>996268827</v>
      </c>
      <c r="M322">
        <v>1113745053</v>
      </c>
      <c r="N322">
        <v>1324972284</v>
      </c>
      <c r="O322">
        <v>1495281652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221697131</v>
      </c>
      <c r="G323">
        <v>240058210</v>
      </c>
      <c r="H323">
        <v>275377686</v>
      </c>
      <c r="I323">
        <v>263890772</v>
      </c>
      <c r="J323">
        <v>257773896</v>
      </c>
      <c r="K323">
        <v>318502364</v>
      </c>
      <c r="L323">
        <v>371715892</v>
      </c>
      <c r="M323">
        <v>438199301</v>
      </c>
      <c r="N323">
        <v>413015083</v>
      </c>
      <c r="O323">
        <v>660618661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9839298854</v>
      </c>
      <c r="G324">
        <v>8746614182</v>
      </c>
      <c r="H324">
        <v>8352187742</v>
      </c>
      <c r="I324">
        <v>7643430114</v>
      </c>
      <c r="J324">
        <v>7023114804</v>
      </c>
      <c r="K324">
        <v>6958678292</v>
      </c>
      <c r="L324">
        <v>6809466030</v>
      </c>
      <c r="M324">
        <v>6606659395</v>
      </c>
      <c r="N324">
        <v>5998575073</v>
      </c>
      <c r="O324">
        <v>4299716885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10714557474</v>
      </c>
      <c r="G325">
        <v>10339544971</v>
      </c>
      <c r="H325">
        <v>11258180127</v>
      </c>
      <c r="I325">
        <v>11512673967</v>
      </c>
      <c r="J325">
        <v>13306047614</v>
      </c>
      <c r="K325">
        <v>12775837643</v>
      </c>
      <c r="L325">
        <v>11601620038</v>
      </c>
      <c r="M325">
        <v>10503139592</v>
      </c>
      <c r="N325">
        <v>11386776458</v>
      </c>
      <c r="O325">
        <v>10003371537</v>
      </c>
      <c r="P325">
        <v>774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5319945259</v>
      </c>
      <c r="G326">
        <v>6428249565</v>
      </c>
      <c r="H326">
        <v>6382822629</v>
      </c>
      <c r="I326">
        <v>7292338602</v>
      </c>
      <c r="J326">
        <v>5991041368</v>
      </c>
      <c r="K326">
        <v>4047348589</v>
      </c>
      <c r="L326">
        <v>3542663728</v>
      </c>
      <c r="M326">
        <v>4997362299</v>
      </c>
      <c r="N326">
        <v>6560504695</v>
      </c>
      <c r="O326">
        <v>4475499427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67802259765</v>
      </c>
      <c r="G327">
        <v>44226427382</v>
      </c>
      <c r="H327">
        <v>47645398390</v>
      </c>
      <c r="I327">
        <v>39736005664</v>
      </c>
      <c r="J327">
        <v>36677641851</v>
      </c>
      <c r="K327">
        <v>29883264630</v>
      </c>
      <c r="L327">
        <v>23617882560</v>
      </c>
      <c r="M327">
        <v>20850502944</v>
      </c>
      <c r="N327">
        <v>13501339699</v>
      </c>
      <c r="O327">
        <v>12675546402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13792587243</v>
      </c>
      <c r="G328">
        <v>8032466746</v>
      </c>
      <c r="H328">
        <v>10078181219</v>
      </c>
      <c r="I328">
        <v>9969011165</v>
      </c>
      <c r="J328">
        <v>9455680365</v>
      </c>
      <c r="K328">
        <v>9201297066</v>
      </c>
      <c r="L328">
        <v>8761321186</v>
      </c>
      <c r="M328">
        <v>7879076285</v>
      </c>
      <c r="N328">
        <v>7614226717</v>
      </c>
      <c r="O328">
        <v>7795942681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7424354099</v>
      </c>
      <c r="G329">
        <v>5422264806</v>
      </c>
      <c r="H329">
        <v>4700686141</v>
      </c>
      <c r="I329">
        <v>4181828889</v>
      </c>
      <c r="J329">
        <v>526857528</v>
      </c>
      <c r="K329">
        <v>391544816</v>
      </c>
      <c r="L329">
        <v>473609596</v>
      </c>
      <c r="M329">
        <v>607685820</v>
      </c>
      <c r="N329">
        <v>684358582</v>
      </c>
      <c r="O329">
        <v>657015133</v>
      </c>
      <c r="P329">
        <v>227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1009935638</v>
      </c>
      <c r="G330">
        <v>902078704</v>
      </c>
      <c r="H330">
        <v>933906908</v>
      </c>
      <c r="I330">
        <v>849346060</v>
      </c>
      <c r="J330">
        <v>804883947</v>
      </c>
      <c r="K330">
        <v>696057727</v>
      </c>
      <c r="L330">
        <v>608148463</v>
      </c>
      <c r="M330">
        <v>592143338</v>
      </c>
      <c r="N330">
        <v>590189216</v>
      </c>
      <c r="O330">
        <v>650877047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15903688267</v>
      </c>
      <c r="G331">
        <v>13521605768</v>
      </c>
      <c r="H331">
        <v>11980153109</v>
      </c>
      <c r="I331">
        <v>11203963990</v>
      </c>
      <c r="J331">
        <v>10779258188</v>
      </c>
      <c r="K331">
        <v>9721544240</v>
      </c>
      <c r="L331">
        <v>8641891376</v>
      </c>
      <c r="M331">
        <v>7417906235</v>
      </c>
      <c r="N331">
        <v>6219885201</v>
      </c>
      <c r="O331">
        <v>5849960920</v>
      </c>
      <c r="P331">
        <v>964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127764006</v>
      </c>
      <c r="G332">
        <v>124266266</v>
      </c>
      <c r="H332">
        <v>233746329</v>
      </c>
      <c r="I332">
        <v>333018483</v>
      </c>
      <c r="J332">
        <v>471117193</v>
      </c>
      <c r="K332">
        <v>708130160</v>
      </c>
      <c r="L332">
        <v>1401689319</v>
      </c>
      <c r="M332">
        <v>29902526</v>
      </c>
      <c r="N332">
        <v>4167458</v>
      </c>
      <c r="O332">
        <v>480101178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1743365380</v>
      </c>
      <c r="G333">
        <v>568279740</v>
      </c>
      <c r="H333">
        <v>1186105451</v>
      </c>
      <c r="I333">
        <v>718506578</v>
      </c>
      <c r="J333">
        <v>640902275</v>
      </c>
      <c r="K333">
        <v>239564934</v>
      </c>
      <c r="L333">
        <v>217699522</v>
      </c>
      <c r="M333">
        <v>135256776</v>
      </c>
      <c r="N333">
        <v>54538156</v>
      </c>
      <c r="O333">
        <v>289102082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98934915652</v>
      </c>
      <c r="G334">
        <v>83656711004</v>
      </c>
      <c r="H334">
        <v>63084210230</v>
      </c>
      <c r="I334">
        <v>50311817459</v>
      </c>
      <c r="J334">
        <v>37332209456</v>
      </c>
      <c r="K334">
        <v>55329480541</v>
      </c>
      <c r="L334">
        <v>32733267203</v>
      </c>
      <c r="M334">
        <v>45636377982</v>
      </c>
      <c r="N334">
        <v>34835841295</v>
      </c>
      <c r="O334">
        <v>32863360360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60944457</v>
      </c>
      <c r="G335">
        <v>49101202</v>
      </c>
      <c r="H335">
        <v>71911171</v>
      </c>
      <c r="I335">
        <v>5453254</v>
      </c>
      <c r="J335">
        <v>24856861</v>
      </c>
      <c r="K335">
        <v>289949160</v>
      </c>
      <c r="L335">
        <v>638757199</v>
      </c>
      <c r="M335">
        <v>2028598104</v>
      </c>
      <c r="N335">
        <v>537933708</v>
      </c>
      <c r="O335">
        <v>4977842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4308699325</v>
      </c>
      <c r="G336">
        <v>4525169099</v>
      </c>
      <c r="H336">
        <v>5228325330</v>
      </c>
      <c r="I336">
        <v>4794061978</v>
      </c>
      <c r="J336">
        <v>4089176357</v>
      </c>
      <c r="K336">
        <v>3495646450</v>
      </c>
      <c r="L336">
        <v>3010598888</v>
      </c>
      <c r="M336">
        <v>3000419137</v>
      </c>
      <c r="N336">
        <v>3105916580</v>
      </c>
      <c r="O336">
        <v>2952329878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8281948282</v>
      </c>
      <c r="G337">
        <v>4931276210</v>
      </c>
      <c r="H337">
        <v>11959630453</v>
      </c>
      <c r="I337">
        <v>21412608495</v>
      </c>
      <c r="J337">
        <v>11502484677</v>
      </c>
      <c r="K337">
        <v>9792247172</v>
      </c>
      <c r="L337">
        <v>6284766255</v>
      </c>
      <c r="M337">
        <v>3040418004</v>
      </c>
      <c r="N337">
        <v>4532775043</v>
      </c>
      <c r="O337">
        <v>1920711497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11296737387</v>
      </c>
      <c r="G338">
        <v>10180764557</v>
      </c>
      <c r="H338">
        <v>10935027562</v>
      </c>
      <c r="I338">
        <v>9402298372</v>
      </c>
      <c r="J338">
        <v>8112692041</v>
      </c>
      <c r="K338">
        <v>8023539923</v>
      </c>
      <c r="L338">
        <v>7390960491</v>
      </c>
      <c r="M338">
        <v>6026663647</v>
      </c>
      <c r="N338">
        <v>5568211847</v>
      </c>
      <c r="O338">
        <v>4240193019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6483760508</v>
      </c>
      <c r="G339">
        <v>5121357779</v>
      </c>
      <c r="H339">
        <v>4781182239</v>
      </c>
      <c r="I339">
        <v>3921170778</v>
      </c>
      <c r="J339">
        <v>3641359132</v>
      </c>
      <c r="K339">
        <v>4751494700</v>
      </c>
      <c r="L339">
        <v>2677208158</v>
      </c>
      <c r="M339">
        <v>2975916721</v>
      </c>
      <c r="N339">
        <v>3162572050</v>
      </c>
      <c r="O339">
        <v>3007905375</v>
      </c>
      <c r="P339">
        <v>425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1990963794</v>
      </c>
      <c r="G340">
        <v>6298190294</v>
      </c>
      <c r="H340">
        <v>6364706089</v>
      </c>
      <c r="I340">
        <v>8234852488</v>
      </c>
      <c r="J340">
        <v>9908892577</v>
      </c>
      <c r="K340">
        <v>8938417753</v>
      </c>
      <c r="L340">
        <v>1365879018</v>
      </c>
      <c r="M340">
        <v>1303889165</v>
      </c>
      <c r="N340">
        <v>1052775521</v>
      </c>
      <c r="O340">
        <v>886589186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3504521069</v>
      </c>
      <c r="G341">
        <v>2721058486</v>
      </c>
      <c r="H341">
        <v>3383546452</v>
      </c>
      <c r="I341">
        <v>2364272867</v>
      </c>
      <c r="J341">
        <v>2258813945</v>
      </c>
      <c r="K341">
        <v>2125837007</v>
      </c>
      <c r="L341">
        <v>2027966346</v>
      </c>
      <c r="M341">
        <v>1963057692</v>
      </c>
      <c r="N341">
        <v>1815046030</v>
      </c>
      <c r="O341">
        <v>1573020698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10616349148</v>
      </c>
      <c r="G342">
        <v>8157251595</v>
      </c>
      <c r="H342">
        <v>6959518488</v>
      </c>
      <c r="I342">
        <v>6226964050</v>
      </c>
      <c r="J342">
        <v>5203559760</v>
      </c>
      <c r="K342">
        <v>1371133537</v>
      </c>
      <c r="L342">
        <v>1098154270</v>
      </c>
      <c r="M342">
        <v>1514500708</v>
      </c>
      <c r="N342">
        <v>1374699726</v>
      </c>
      <c r="O342">
        <v>749747538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888733028</v>
      </c>
      <c r="G343">
        <v>3016013897</v>
      </c>
      <c r="H343">
        <v>4584016901</v>
      </c>
      <c r="I343">
        <v>3275504133</v>
      </c>
      <c r="J343">
        <v>5600660745</v>
      </c>
      <c r="K343">
        <v>953913839</v>
      </c>
      <c r="L343">
        <v>831053758</v>
      </c>
      <c r="M343">
        <v>891304106</v>
      </c>
      <c r="N343">
        <v>489563816</v>
      </c>
      <c r="O343">
        <v>535235456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9725582042</v>
      </c>
      <c r="G344">
        <v>6481005330</v>
      </c>
      <c r="H344">
        <v>6457638387</v>
      </c>
      <c r="I344">
        <v>6089805238</v>
      </c>
      <c r="J344">
        <v>6081310900</v>
      </c>
      <c r="K344">
        <v>3914222900</v>
      </c>
      <c r="L344">
        <v>4069023300</v>
      </c>
      <c r="M344">
        <v>5174837583</v>
      </c>
      <c r="N344">
        <v>5783686058</v>
      </c>
      <c r="O344">
        <v>7882292378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6574339046</v>
      </c>
      <c r="G345">
        <v>7286516131</v>
      </c>
      <c r="H345">
        <v>7401341098</v>
      </c>
      <c r="I345">
        <v>7137514095</v>
      </c>
      <c r="J345">
        <v>6906908818</v>
      </c>
      <c r="K345">
        <v>6567449154</v>
      </c>
      <c r="L345">
        <v>7153909826</v>
      </c>
      <c r="M345">
        <v>4612343338</v>
      </c>
      <c r="N345">
        <v>4412671024</v>
      </c>
      <c r="O345">
        <v>3574275325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9383674162</v>
      </c>
      <c r="G346">
        <v>7602781445</v>
      </c>
      <c r="H346">
        <v>5553987178</v>
      </c>
      <c r="I346">
        <v>5048655734</v>
      </c>
      <c r="J346">
        <v>4130167959</v>
      </c>
      <c r="K346">
        <v>3261235667</v>
      </c>
      <c r="L346">
        <v>5116463090</v>
      </c>
      <c r="M346">
        <v>10651643996</v>
      </c>
      <c r="N346">
        <v>17435476634</v>
      </c>
      <c r="O346">
        <v>16775855002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20188035567</v>
      </c>
      <c r="G347">
        <v>17958535867</v>
      </c>
      <c r="H347">
        <v>21969688665</v>
      </c>
      <c r="I347">
        <v>19089728384</v>
      </c>
      <c r="J347">
        <v>18200091432</v>
      </c>
      <c r="K347">
        <v>16999591676</v>
      </c>
      <c r="L347">
        <v>15830109606</v>
      </c>
      <c r="M347">
        <v>12338441101</v>
      </c>
      <c r="N347">
        <v>1365446336</v>
      </c>
      <c r="O347">
        <v>1368045082</v>
      </c>
      <c r="P347">
        <v>2676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7414429094</v>
      </c>
      <c r="G348">
        <v>6272486484</v>
      </c>
      <c r="H348">
        <v>5741067980</v>
      </c>
      <c r="I348">
        <v>5847731735</v>
      </c>
      <c r="J348">
        <v>4984304966</v>
      </c>
      <c r="K348">
        <v>4677555208</v>
      </c>
      <c r="L348">
        <v>4557693237</v>
      </c>
      <c r="M348">
        <v>5452588876</v>
      </c>
      <c r="N348">
        <v>5459539336</v>
      </c>
      <c r="O348">
        <v>4911707818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2342849598</v>
      </c>
      <c r="G349">
        <v>2383966763</v>
      </c>
      <c r="H349">
        <v>2539896538</v>
      </c>
      <c r="I349">
        <v>2482528004</v>
      </c>
      <c r="J349">
        <v>2714103886</v>
      </c>
      <c r="K349">
        <v>3041467180</v>
      </c>
      <c r="L349">
        <v>2651092378</v>
      </c>
      <c r="M349">
        <v>2842337877</v>
      </c>
      <c r="N349">
        <v>2394363744</v>
      </c>
      <c r="O349">
        <v>1606923707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I350">
        <v>878320671</v>
      </c>
      <c r="J350">
        <v>3256402598</v>
      </c>
      <c r="K350">
        <v>4519080451</v>
      </c>
      <c r="L350">
        <v>6088965515.6999998</v>
      </c>
      <c r="M350">
        <v>4958407048.04</v>
      </c>
      <c r="N350">
        <v>4758643394.6599998</v>
      </c>
      <c r="O350">
        <v>4965754974.3199997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7910549036</v>
      </c>
      <c r="G351">
        <v>5871144557</v>
      </c>
      <c r="H351">
        <v>5902613243</v>
      </c>
      <c r="I351">
        <v>7861221190</v>
      </c>
      <c r="J351">
        <v>6834341617</v>
      </c>
      <c r="K351">
        <v>5181052960</v>
      </c>
      <c r="L351">
        <v>4624303998</v>
      </c>
      <c r="M351">
        <v>7480841273</v>
      </c>
      <c r="N351">
        <v>11165836308</v>
      </c>
      <c r="O351">
        <v>12799284522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1041933316</v>
      </c>
      <c r="G352">
        <v>1215709743</v>
      </c>
      <c r="H352">
        <v>1244740000</v>
      </c>
      <c r="I352">
        <v>909557120</v>
      </c>
      <c r="J352">
        <v>1221877504</v>
      </c>
      <c r="K352">
        <v>1277857632</v>
      </c>
      <c r="L352">
        <v>1117391901</v>
      </c>
      <c r="M352">
        <v>939326663</v>
      </c>
      <c r="N352">
        <v>793269722</v>
      </c>
      <c r="O352">
        <v>772638086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42411007392</v>
      </c>
      <c r="G353">
        <v>38502411144</v>
      </c>
      <c r="H353">
        <v>32423594529</v>
      </c>
      <c r="I353">
        <v>28540370796</v>
      </c>
      <c r="J353">
        <v>24197908118</v>
      </c>
      <c r="K353">
        <v>11415282982</v>
      </c>
      <c r="L353">
        <v>9678013509</v>
      </c>
      <c r="M353">
        <v>8907001876</v>
      </c>
      <c r="N353">
        <v>9575634914</v>
      </c>
      <c r="O353">
        <v>6027929858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12989937498</v>
      </c>
      <c r="G354">
        <v>8789875725</v>
      </c>
      <c r="H354">
        <v>9563363330</v>
      </c>
      <c r="I354">
        <v>8815570623</v>
      </c>
      <c r="J354">
        <v>6316141423</v>
      </c>
      <c r="K354">
        <v>3384732695</v>
      </c>
      <c r="L354">
        <v>2369539265</v>
      </c>
      <c r="M354">
        <v>3357249308</v>
      </c>
      <c r="N354">
        <v>4483766368</v>
      </c>
      <c r="O354">
        <v>5188691179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23182249207</v>
      </c>
      <c r="G355">
        <v>17780276855</v>
      </c>
      <c r="H355">
        <v>20515134750</v>
      </c>
      <c r="I355">
        <v>20173736663</v>
      </c>
      <c r="J355">
        <v>20195731202</v>
      </c>
      <c r="K355">
        <v>15756799273</v>
      </c>
      <c r="L355">
        <v>13693853136</v>
      </c>
      <c r="M355">
        <v>12695350654</v>
      </c>
      <c r="N355">
        <v>11786862373</v>
      </c>
      <c r="O355">
        <v>10484089854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3799009995</v>
      </c>
      <c r="G356">
        <v>3901169826</v>
      </c>
      <c r="H356">
        <v>4575030442</v>
      </c>
      <c r="I356">
        <v>5224124677</v>
      </c>
      <c r="J356">
        <v>5431194164</v>
      </c>
      <c r="K356">
        <v>4800033043</v>
      </c>
      <c r="L356">
        <v>4792983046</v>
      </c>
      <c r="M356">
        <v>4278544506</v>
      </c>
      <c r="N356">
        <v>4816016514</v>
      </c>
      <c r="O356">
        <v>5236811840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6033842973</v>
      </c>
      <c r="G357">
        <v>3725686100</v>
      </c>
      <c r="H357">
        <v>4042767521</v>
      </c>
      <c r="I357">
        <v>3593748475</v>
      </c>
      <c r="J357">
        <v>10017096585</v>
      </c>
      <c r="K357">
        <v>7038031575</v>
      </c>
      <c r="L357">
        <v>5698189845</v>
      </c>
      <c r="M357">
        <v>3843282175</v>
      </c>
      <c r="N357">
        <v>3654653389</v>
      </c>
      <c r="O357">
        <v>3611827711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4025571291</v>
      </c>
      <c r="G358">
        <v>4696458290</v>
      </c>
      <c r="H358">
        <v>5204770101</v>
      </c>
      <c r="I358">
        <v>6199039073</v>
      </c>
      <c r="J358">
        <v>9705970008</v>
      </c>
      <c r="K358">
        <v>10948528398</v>
      </c>
      <c r="L358">
        <v>9500412440</v>
      </c>
      <c r="M358">
        <v>7749436189</v>
      </c>
      <c r="N358">
        <v>6626462462</v>
      </c>
      <c r="O358">
        <v>5424501268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40213521117</v>
      </c>
      <c r="G359">
        <v>42830768143</v>
      </c>
      <c r="H359">
        <v>47286043656</v>
      </c>
      <c r="I359">
        <v>50091747476</v>
      </c>
      <c r="J359">
        <v>49146190615</v>
      </c>
      <c r="K359">
        <v>52490556761</v>
      </c>
      <c r="L359">
        <v>46385912307</v>
      </c>
      <c r="M359">
        <v>34169408418</v>
      </c>
      <c r="N359">
        <v>33620237899</v>
      </c>
      <c r="O359">
        <v>29116754129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2109258101</v>
      </c>
      <c r="G360">
        <v>1767673596</v>
      </c>
      <c r="H360">
        <v>1626592714</v>
      </c>
      <c r="I360">
        <v>1462026402</v>
      </c>
      <c r="J360">
        <v>1240197241</v>
      </c>
      <c r="K360">
        <v>875175719</v>
      </c>
      <c r="L360">
        <v>588568109</v>
      </c>
      <c r="M360">
        <v>326514908</v>
      </c>
      <c r="N360">
        <v>87481840</v>
      </c>
      <c r="O360">
        <v>160928122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13944948270</v>
      </c>
      <c r="G361">
        <v>12556281596</v>
      </c>
      <c r="H361">
        <v>12199106725</v>
      </c>
      <c r="I361">
        <v>11320781394</v>
      </c>
      <c r="J361">
        <v>8517753726</v>
      </c>
      <c r="K361">
        <v>9125774773</v>
      </c>
      <c r="L361">
        <v>2682244690</v>
      </c>
      <c r="M361">
        <v>2748835669</v>
      </c>
      <c r="N361">
        <v>2349747994</v>
      </c>
      <c r="O361">
        <v>2006892235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130352942</v>
      </c>
      <c r="G362">
        <v>140188499</v>
      </c>
      <c r="H362">
        <v>23267767</v>
      </c>
      <c r="I362">
        <v>1002704</v>
      </c>
      <c r="J362">
        <v>28767309</v>
      </c>
      <c r="K362">
        <v>28177080</v>
      </c>
      <c r="L362">
        <v>27852365</v>
      </c>
      <c r="M362">
        <v>44112972</v>
      </c>
      <c r="N362">
        <v>8368917</v>
      </c>
      <c r="O362">
        <v>8037040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8253532504</v>
      </c>
      <c r="G363">
        <v>7717086936</v>
      </c>
      <c r="H363">
        <v>8119963320</v>
      </c>
      <c r="I363">
        <v>7101977675</v>
      </c>
      <c r="J363">
        <v>5852287433</v>
      </c>
      <c r="K363">
        <v>5100597123</v>
      </c>
      <c r="L363">
        <v>4915685874</v>
      </c>
      <c r="M363">
        <v>4120509150</v>
      </c>
      <c r="N363">
        <v>3584294919</v>
      </c>
      <c r="O363">
        <v>3016021800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127290163</v>
      </c>
      <c r="G364">
        <v>107120776</v>
      </c>
      <c r="H364">
        <v>373959758</v>
      </c>
      <c r="I364">
        <v>2008505977</v>
      </c>
      <c r="J364">
        <v>1830073679</v>
      </c>
      <c r="K364">
        <v>2076405298</v>
      </c>
      <c r="L364">
        <v>2629366229</v>
      </c>
      <c r="M364">
        <v>3100133197</v>
      </c>
      <c r="N364">
        <v>2586693076</v>
      </c>
      <c r="O364">
        <v>2818585227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3911800915</v>
      </c>
      <c r="G365">
        <v>3034645829</v>
      </c>
      <c r="H365">
        <v>3139491074</v>
      </c>
      <c r="I365">
        <v>2413527240</v>
      </c>
      <c r="J365">
        <v>2101120335</v>
      </c>
      <c r="K365">
        <v>1802357428</v>
      </c>
      <c r="L365">
        <v>1754772942</v>
      </c>
      <c r="M365">
        <v>2731376969</v>
      </c>
      <c r="N365">
        <v>2425489031</v>
      </c>
      <c r="O365">
        <v>2300535262</v>
      </c>
      <c r="P365">
        <v>169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26635860727</v>
      </c>
      <c r="G366">
        <v>13114959475</v>
      </c>
      <c r="H366">
        <v>14190478408</v>
      </c>
      <c r="I366">
        <v>14356817455</v>
      </c>
      <c r="J366">
        <v>10408071379</v>
      </c>
      <c r="K366">
        <v>7701060176</v>
      </c>
      <c r="L366">
        <v>8651296130</v>
      </c>
      <c r="M366">
        <v>9710121856</v>
      </c>
      <c r="N366">
        <v>8469413660</v>
      </c>
      <c r="O366">
        <v>7003119192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8753429968</v>
      </c>
      <c r="G367">
        <v>7040313891</v>
      </c>
      <c r="H367">
        <v>8266236026</v>
      </c>
      <c r="I367">
        <v>7576116168</v>
      </c>
      <c r="J367">
        <v>6508692188</v>
      </c>
      <c r="K367">
        <v>5883170357</v>
      </c>
      <c r="L367">
        <v>6840502486</v>
      </c>
      <c r="M367">
        <v>7663322620</v>
      </c>
      <c r="N367">
        <v>7441614405</v>
      </c>
      <c r="O367">
        <v>6304776871</v>
      </c>
      <c r="P367">
        <v>197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7730723573</v>
      </c>
      <c r="G368">
        <v>7353344572</v>
      </c>
      <c r="H368">
        <v>8150710057</v>
      </c>
      <c r="I368">
        <v>7455843970</v>
      </c>
      <c r="J368">
        <v>6121181627</v>
      </c>
      <c r="K368">
        <v>5853875375</v>
      </c>
      <c r="L368">
        <v>4549865271</v>
      </c>
      <c r="M368">
        <v>4534011389</v>
      </c>
      <c r="N368">
        <v>3787731943</v>
      </c>
      <c r="O368">
        <v>3552963551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3130025734</v>
      </c>
      <c r="K369">
        <v>2760347565</v>
      </c>
      <c r="L369">
        <v>3195596664.1799998</v>
      </c>
      <c r="M369">
        <v>3537276773.9499998</v>
      </c>
      <c r="N369">
        <v>2369344647.7399998</v>
      </c>
      <c r="O369">
        <v>2495685248.8699999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7397821532</v>
      </c>
      <c r="G370">
        <v>2439745328</v>
      </c>
      <c r="H370">
        <v>2594768713</v>
      </c>
      <c r="I370">
        <v>2550155231</v>
      </c>
      <c r="J370">
        <v>2059907536</v>
      </c>
      <c r="K370">
        <v>1739950783</v>
      </c>
      <c r="L370">
        <v>1295223342</v>
      </c>
      <c r="M370">
        <v>962632311</v>
      </c>
      <c r="N370">
        <v>945734491</v>
      </c>
      <c r="O370">
        <v>931193943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3992054555</v>
      </c>
      <c r="G371">
        <v>3005940079</v>
      </c>
      <c r="H371">
        <v>2293110040</v>
      </c>
      <c r="I371">
        <v>1999010493</v>
      </c>
      <c r="J371">
        <v>1955572433</v>
      </c>
      <c r="K371">
        <v>2002730978</v>
      </c>
      <c r="L371">
        <v>1849322333</v>
      </c>
      <c r="M371">
        <v>1606267313</v>
      </c>
      <c r="N371">
        <v>1051698551</v>
      </c>
      <c r="O371">
        <v>1043354243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8021550451</v>
      </c>
      <c r="G372">
        <v>6510781957</v>
      </c>
      <c r="H372">
        <v>5722273431</v>
      </c>
      <c r="I372">
        <v>4766156893</v>
      </c>
      <c r="J372">
        <v>3713953976</v>
      </c>
      <c r="K372">
        <v>2308954270</v>
      </c>
      <c r="L372">
        <v>1885674674</v>
      </c>
      <c r="M372">
        <v>1453869772</v>
      </c>
      <c r="N372">
        <v>1395868519</v>
      </c>
      <c r="O372">
        <v>1171153738</v>
      </c>
      <c r="P372">
        <v>64357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63491070520</v>
      </c>
      <c r="G373">
        <v>44200270334</v>
      </c>
      <c r="H373">
        <v>37555118256</v>
      </c>
      <c r="I373">
        <v>27535170274</v>
      </c>
      <c r="J373">
        <v>26089241032</v>
      </c>
      <c r="K373">
        <v>20884048996</v>
      </c>
      <c r="L373">
        <v>14079246514</v>
      </c>
      <c r="M373">
        <v>15408930605</v>
      </c>
      <c r="N373">
        <v>15189859980</v>
      </c>
      <c r="O373">
        <v>13490785292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1565634911</v>
      </c>
      <c r="G374">
        <v>1329586420</v>
      </c>
      <c r="H374">
        <v>1819293410</v>
      </c>
      <c r="I374">
        <v>1881348592</v>
      </c>
      <c r="J374">
        <v>1946650666</v>
      </c>
      <c r="K374">
        <v>1810858986</v>
      </c>
      <c r="L374">
        <v>1945191966</v>
      </c>
      <c r="M374">
        <v>1932259980</v>
      </c>
      <c r="N374">
        <v>2129142077</v>
      </c>
      <c r="O374">
        <v>2245546470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841894556</v>
      </c>
      <c r="G375">
        <v>700768686</v>
      </c>
      <c r="H375">
        <v>678267199</v>
      </c>
      <c r="I375">
        <v>595823441</v>
      </c>
      <c r="J375">
        <v>611829992</v>
      </c>
      <c r="K375">
        <v>669090114</v>
      </c>
      <c r="L375">
        <v>726677296</v>
      </c>
      <c r="M375">
        <v>377420944</v>
      </c>
      <c r="N375">
        <v>421502954</v>
      </c>
      <c r="O375">
        <v>300169635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6645628584</v>
      </c>
      <c r="G376">
        <v>5643216680</v>
      </c>
      <c r="H376">
        <v>4875289990</v>
      </c>
      <c r="I376">
        <v>4890612544</v>
      </c>
      <c r="J376">
        <v>4227745965</v>
      </c>
      <c r="K376">
        <v>3665606591</v>
      </c>
      <c r="L376">
        <v>2614879857</v>
      </c>
      <c r="M376">
        <v>2368042840</v>
      </c>
      <c r="N376">
        <v>2031613438</v>
      </c>
      <c r="O376">
        <v>1883013102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3621269854</v>
      </c>
      <c r="G377">
        <v>3340497717</v>
      </c>
      <c r="H377">
        <v>3082769792</v>
      </c>
      <c r="I377">
        <v>3264002302</v>
      </c>
      <c r="J377">
        <v>2850155070</v>
      </c>
      <c r="K377">
        <v>2361114918</v>
      </c>
      <c r="L377">
        <v>2274830646</v>
      </c>
      <c r="M377">
        <v>2250311139</v>
      </c>
      <c r="N377">
        <v>2221813149</v>
      </c>
      <c r="O377">
        <v>2153767946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5782740814</v>
      </c>
      <c r="G378">
        <v>5109674274</v>
      </c>
      <c r="H378">
        <v>4790467585</v>
      </c>
      <c r="I378">
        <v>4173075725</v>
      </c>
      <c r="J378">
        <v>4355343697</v>
      </c>
      <c r="K378">
        <v>3688900584</v>
      </c>
      <c r="L378">
        <v>3184499513</v>
      </c>
      <c r="M378">
        <v>3892639741</v>
      </c>
      <c r="N378">
        <v>4206873741</v>
      </c>
      <c r="O378">
        <v>3147867865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3145520942</v>
      </c>
      <c r="G379">
        <v>2654394609</v>
      </c>
      <c r="H379">
        <v>2621898127</v>
      </c>
      <c r="I379">
        <v>2447804015</v>
      </c>
      <c r="J379">
        <v>2060332279</v>
      </c>
      <c r="K379">
        <v>1665242119</v>
      </c>
      <c r="L379">
        <v>1249963933</v>
      </c>
      <c r="M379">
        <v>1268629192</v>
      </c>
      <c r="N379">
        <v>1243921680</v>
      </c>
      <c r="O379">
        <v>1116192290</v>
      </c>
      <c r="P379">
        <v>4510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237762417</v>
      </c>
      <c r="G380">
        <v>206326686</v>
      </c>
      <c r="H380">
        <v>183941199</v>
      </c>
      <c r="I380">
        <v>179250584</v>
      </c>
      <c r="J380">
        <v>154159780</v>
      </c>
      <c r="K380">
        <v>161708228</v>
      </c>
      <c r="L380">
        <v>172196432</v>
      </c>
      <c r="M380">
        <v>207771530</v>
      </c>
      <c r="N380">
        <v>260456411</v>
      </c>
      <c r="O380">
        <v>312514420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5246042494</v>
      </c>
      <c r="G381">
        <v>4337699383</v>
      </c>
      <c r="H381">
        <v>4187620211</v>
      </c>
      <c r="I381">
        <v>3410193856</v>
      </c>
      <c r="J381">
        <v>2876391605</v>
      </c>
      <c r="K381">
        <v>2510478104</v>
      </c>
      <c r="L381">
        <v>2142111628</v>
      </c>
      <c r="M381">
        <v>2481227553</v>
      </c>
      <c r="N381">
        <v>2372563130</v>
      </c>
      <c r="O381">
        <v>2336217272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14050619369</v>
      </c>
      <c r="G382">
        <v>15080116346</v>
      </c>
      <c r="H382">
        <v>11245612517</v>
      </c>
      <c r="I382">
        <v>11996046726</v>
      </c>
      <c r="J382">
        <v>11399612587</v>
      </c>
      <c r="K382">
        <v>11641393007</v>
      </c>
      <c r="L382">
        <v>10825107108</v>
      </c>
      <c r="M382">
        <v>6007776917</v>
      </c>
      <c r="N382">
        <v>4164704615</v>
      </c>
      <c r="O382">
        <v>3719406835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36350909186</v>
      </c>
      <c r="G383">
        <v>28926477767</v>
      </c>
      <c r="H383">
        <v>21354996597</v>
      </c>
      <c r="I383">
        <v>17074041273</v>
      </c>
      <c r="J383">
        <v>15441643777</v>
      </c>
      <c r="K383">
        <v>10773692419</v>
      </c>
      <c r="L383">
        <v>7742718091</v>
      </c>
      <c r="M383">
        <v>6880705322</v>
      </c>
      <c r="N383">
        <v>5426581437</v>
      </c>
      <c r="O383">
        <v>4225924815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7194148250</v>
      </c>
      <c r="G384">
        <v>4280561779</v>
      </c>
      <c r="H384">
        <v>3110573828</v>
      </c>
      <c r="I384">
        <v>3025857115</v>
      </c>
      <c r="J384">
        <v>2741791759</v>
      </c>
      <c r="K384">
        <v>2375053757</v>
      </c>
      <c r="L384">
        <v>1926414795</v>
      </c>
      <c r="M384">
        <v>1870029300</v>
      </c>
      <c r="N384">
        <v>1637934274</v>
      </c>
      <c r="O384">
        <v>1349024203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8174353939</v>
      </c>
      <c r="G385">
        <v>6601164526</v>
      </c>
      <c r="H385">
        <v>5380989964</v>
      </c>
      <c r="I385">
        <v>4377751056</v>
      </c>
      <c r="J385">
        <v>3544170588</v>
      </c>
      <c r="K385">
        <v>3091211667</v>
      </c>
      <c r="L385">
        <v>1617674784</v>
      </c>
      <c r="M385">
        <v>1448478223</v>
      </c>
      <c r="N385">
        <v>1187666177</v>
      </c>
      <c r="O385">
        <v>1041501526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268316965</v>
      </c>
      <c r="G386">
        <v>192902615</v>
      </c>
      <c r="H386">
        <v>312795077</v>
      </c>
      <c r="I386">
        <v>2258997114</v>
      </c>
      <c r="J386">
        <v>1570380999</v>
      </c>
      <c r="K386">
        <v>412396482</v>
      </c>
      <c r="L386">
        <v>250607325</v>
      </c>
      <c r="M386">
        <v>289326878</v>
      </c>
      <c r="N386">
        <v>300880460</v>
      </c>
      <c r="O386">
        <v>303460449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1013076408</v>
      </c>
      <c r="G387">
        <v>1117911396</v>
      </c>
      <c r="H387">
        <v>1095013465</v>
      </c>
      <c r="I387">
        <v>1265608185</v>
      </c>
      <c r="J387">
        <v>1605304559</v>
      </c>
      <c r="K387">
        <v>709185232</v>
      </c>
      <c r="L387">
        <v>637732301</v>
      </c>
      <c r="M387">
        <v>758068046</v>
      </c>
      <c r="N387">
        <v>918201500</v>
      </c>
      <c r="O387">
        <v>829835618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20115833462</v>
      </c>
      <c r="G388">
        <v>42957376036</v>
      </c>
      <c r="H388">
        <v>39193679010</v>
      </c>
      <c r="I388">
        <v>30820540857</v>
      </c>
      <c r="J388">
        <v>24553034595</v>
      </c>
      <c r="K388">
        <v>21328812377</v>
      </c>
      <c r="L388">
        <v>17598361218</v>
      </c>
      <c r="M388">
        <v>399112555</v>
      </c>
      <c r="N388">
        <v>376922241</v>
      </c>
      <c r="O388">
        <v>365001057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1253664443</v>
      </c>
      <c r="G389">
        <v>1230137524</v>
      </c>
      <c r="H389">
        <v>1226123063</v>
      </c>
      <c r="I389">
        <v>1149831070</v>
      </c>
      <c r="J389">
        <v>1207911835</v>
      </c>
      <c r="K389">
        <v>1059827102</v>
      </c>
      <c r="L389">
        <v>986967424</v>
      </c>
      <c r="M389">
        <v>881254605</v>
      </c>
      <c r="N389">
        <v>969331768</v>
      </c>
      <c r="O389">
        <v>1028681877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2339713220</v>
      </c>
      <c r="G390">
        <v>2199461379</v>
      </c>
      <c r="H390">
        <v>1569254445</v>
      </c>
      <c r="I390">
        <v>1357038374</v>
      </c>
      <c r="J390">
        <v>1221516447</v>
      </c>
      <c r="K390">
        <v>840421075</v>
      </c>
      <c r="L390">
        <v>868733370</v>
      </c>
      <c r="M390">
        <v>910529434</v>
      </c>
      <c r="N390">
        <v>756233840</v>
      </c>
      <c r="O390">
        <v>698377512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5557572578</v>
      </c>
      <c r="G391">
        <v>5578726790</v>
      </c>
      <c r="H391">
        <v>5914198692</v>
      </c>
      <c r="I391">
        <v>6218639535</v>
      </c>
      <c r="J391">
        <v>7303614224</v>
      </c>
      <c r="K391">
        <v>7325156148</v>
      </c>
      <c r="L391">
        <v>6357851235</v>
      </c>
      <c r="M391">
        <v>8166836833</v>
      </c>
      <c r="N391">
        <v>8538180584</v>
      </c>
      <c r="O391">
        <v>8906220499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5984502357</v>
      </c>
      <c r="G392">
        <v>4823232214</v>
      </c>
      <c r="H392">
        <v>4353688120</v>
      </c>
      <c r="I392">
        <v>4165297626</v>
      </c>
      <c r="J392">
        <v>4765555820</v>
      </c>
      <c r="K392">
        <v>4456955613</v>
      </c>
      <c r="L392">
        <v>5576998195</v>
      </c>
      <c r="M392">
        <v>5271748018</v>
      </c>
      <c r="N392">
        <v>5714948280</v>
      </c>
      <c r="O392">
        <v>5943455418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8376838879</v>
      </c>
      <c r="G393">
        <v>7641615180</v>
      </c>
      <c r="H393">
        <v>7005159899</v>
      </c>
      <c r="I393">
        <v>7453527161</v>
      </c>
      <c r="J393">
        <v>5849390126</v>
      </c>
      <c r="K393">
        <v>3702607448</v>
      </c>
      <c r="L393">
        <v>3398710193</v>
      </c>
      <c r="M393">
        <v>3144344847</v>
      </c>
      <c r="N393">
        <v>3324986296</v>
      </c>
      <c r="O393">
        <v>3381224758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463138441</v>
      </c>
      <c r="G394">
        <v>341609383</v>
      </c>
      <c r="H394">
        <v>294797161</v>
      </c>
      <c r="I394">
        <v>310363837</v>
      </c>
      <c r="J394">
        <v>273157026</v>
      </c>
      <c r="K394">
        <v>277641410</v>
      </c>
      <c r="L394">
        <v>203040431</v>
      </c>
      <c r="M394">
        <v>161386451</v>
      </c>
      <c r="N394">
        <v>233520625</v>
      </c>
      <c r="O394">
        <v>353725946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9577854809</v>
      </c>
      <c r="G395">
        <v>8138757442</v>
      </c>
      <c r="H395">
        <v>6633068517</v>
      </c>
      <c r="I395">
        <v>6184367291</v>
      </c>
      <c r="J395">
        <v>4628165364</v>
      </c>
      <c r="K395">
        <v>4338515967</v>
      </c>
      <c r="L395">
        <v>3786434725</v>
      </c>
      <c r="M395">
        <v>3932908495</v>
      </c>
      <c r="N395">
        <v>3973767350</v>
      </c>
      <c r="O395">
        <v>3042843014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3058572227</v>
      </c>
      <c r="G396">
        <v>2545775967</v>
      </c>
      <c r="H396">
        <v>2079700166</v>
      </c>
      <c r="I396">
        <v>1892632404</v>
      </c>
      <c r="J396">
        <v>1565058882</v>
      </c>
      <c r="K396">
        <v>1700155919</v>
      </c>
      <c r="L396">
        <v>1124789540</v>
      </c>
      <c r="M396">
        <v>854706725</v>
      </c>
      <c r="N396">
        <v>1130711460</v>
      </c>
      <c r="O396">
        <v>1681648045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3663844613</v>
      </c>
      <c r="G397">
        <v>3626966809</v>
      </c>
      <c r="H397">
        <v>3525238122</v>
      </c>
      <c r="I397">
        <v>3328553963</v>
      </c>
      <c r="J397">
        <v>3182743792</v>
      </c>
      <c r="K397">
        <v>2864885512</v>
      </c>
      <c r="L397">
        <v>2446684075</v>
      </c>
      <c r="M397">
        <v>2194240471</v>
      </c>
      <c r="N397">
        <v>1972855085</v>
      </c>
      <c r="O397">
        <v>1583422733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15749991958</v>
      </c>
      <c r="G398">
        <v>13539737586</v>
      </c>
      <c r="H398">
        <v>11779255892</v>
      </c>
      <c r="I398">
        <v>12251828072</v>
      </c>
      <c r="J398">
        <v>11844950858</v>
      </c>
      <c r="K398">
        <v>8897878074</v>
      </c>
      <c r="L398">
        <v>7244785170</v>
      </c>
      <c r="M398">
        <v>6553587811</v>
      </c>
      <c r="N398">
        <v>5632824126</v>
      </c>
      <c r="O398">
        <v>4882657171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3829777748</v>
      </c>
      <c r="G399">
        <v>2071563446</v>
      </c>
      <c r="H399">
        <v>2527340374</v>
      </c>
      <c r="I399">
        <v>2505072192</v>
      </c>
      <c r="J399">
        <v>1718356014</v>
      </c>
      <c r="K399">
        <v>2014362018</v>
      </c>
      <c r="L399">
        <v>3116452967</v>
      </c>
      <c r="M399">
        <v>6807696939</v>
      </c>
      <c r="N399">
        <v>6559221662</v>
      </c>
      <c r="O399">
        <v>5823354936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28208969354</v>
      </c>
      <c r="G400">
        <v>27014189411</v>
      </c>
      <c r="H400">
        <v>29691241620</v>
      </c>
      <c r="I400">
        <v>29661528138</v>
      </c>
      <c r="J400">
        <v>23147102636</v>
      </c>
      <c r="K400">
        <v>20741186231</v>
      </c>
      <c r="L400">
        <v>5750645302</v>
      </c>
      <c r="M400">
        <v>5748022598</v>
      </c>
      <c r="N400">
        <v>5223674881</v>
      </c>
      <c r="O400">
        <v>4727366234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12077377788</v>
      </c>
      <c r="G401">
        <v>9557434792</v>
      </c>
      <c r="H401">
        <v>9945408144</v>
      </c>
      <c r="I401">
        <v>9353920049</v>
      </c>
      <c r="J401">
        <v>6799494509</v>
      </c>
      <c r="K401">
        <v>6361710632</v>
      </c>
      <c r="L401">
        <v>7157566733</v>
      </c>
      <c r="M401">
        <v>5809321748</v>
      </c>
      <c r="N401">
        <v>1179709871</v>
      </c>
      <c r="O401">
        <v>1326663483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202087968</v>
      </c>
      <c r="H402">
        <v>273141249</v>
      </c>
      <c r="I402">
        <v>498962107</v>
      </c>
      <c r="J402">
        <v>646934648</v>
      </c>
      <c r="K402">
        <v>3087968844</v>
      </c>
      <c r="L402">
        <v>3574216470</v>
      </c>
      <c r="M402">
        <v>3156807868</v>
      </c>
      <c r="N402">
        <v>232829416</v>
      </c>
      <c r="O402">
        <v>247818713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11841464404</v>
      </c>
      <c r="G403">
        <v>9831156365</v>
      </c>
      <c r="H403">
        <v>8701471747</v>
      </c>
      <c r="I403">
        <v>5290725786</v>
      </c>
      <c r="J403">
        <v>4438228163</v>
      </c>
      <c r="K403">
        <v>2928966150</v>
      </c>
      <c r="L403">
        <v>3114129700</v>
      </c>
      <c r="M403">
        <v>2820490312</v>
      </c>
      <c r="N403">
        <v>3004580835</v>
      </c>
      <c r="O403">
        <v>2218662691</v>
      </c>
      <c r="P403">
        <v>1251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41271165066</v>
      </c>
      <c r="G404">
        <v>32384143495</v>
      </c>
      <c r="H404">
        <v>31760021429</v>
      </c>
      <c r="I404">
        <v>33865762437</v>
      </c>
      <c r="J404">
        <v>25950269007</v>
      </c>
      <c r="K404">
        <v>19300546445</v>
      </c>
      <c r="L404">
        <v>13563272684</v>
      </c>
      <c r="M404">
        <v>10419549146</v>
      </c>
      <c r="N404">
        <v>8586533224</v>
      </c>
      <c r="O404">
        <v>7804275591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3748664558</v>
      </c>
      <c r="G405">
        <v>3116847823</v>
      </c>
      <c r="H405">
        <v>2915700775</v>
      </c>
      <c r="I405">
        <v>2427864586</v>
      </c>
      <c r="J405">
        <v>1971716525</v>
      </c>
      <c r="K405">
        <v>1206600228</v>
      </c>
      <c r="L405">
        <v>1404719888</v>
      </c>
      <c r="M405">
        <v>1388919009</v>
      </c>
      <c r="N405">
        <v>1480538154</v>
      </c>
      <c r="O405">
        <v>1642531461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56102498949</v>
      </c>
      <c r="G406">
        <v>47995317806</v>
      </c>
      <c r="H406">
        <v>38963448479</v>
      </c>
      <c r="I406">
        <v>34452379534</v>
      </c>
      <c r="J406">
        <v>32928245496</v>
      </c>
      <c r="K406">
        <v>38928034324</v>
      </c>
      <c r="L406">
        <v>37063538451</v>
      </c>
      <c r="M406">
        <v>33551156427</v>
      </c>
      <c r="N406">
        <v>30491124501</v>
      </c>
      <c r="O406">
        <v>36051804515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8587277141</v>
      </c>
      <c r="G407">
        <v>8714332198</v>
      </c>
      <c r="H407">
        <v>14787309899</v>
      </c>
      <c r="I407">
        <v>14138028297</v>
      </c>
      <c r="J407">
        <v>6056409014</v>
      </c>
      <c r="K407">
        <v>2560087944</v>
      </c>
      <c r="L407">
        <v>1788060950</v>
      </c>
      <c r="M407">
        <v>2155634450</v>
      </c>
      <c r="N407">
        <v>2218849131</v>
      </c>
      <c r="O407">
        <v>1461864917</v>
      </c>
      <c r="P407">
        <v>143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19547817429</v>
      </c>
      <c r="G408">
        <v>17786683375</v>
      </c>
      <c r="H408">
        <v>21427094520</v>
      </c>
      <c r="I408">
        <v>20212764672</v>
      </c>
      <c r="J408">
        <v>17873377644</v>
      </c>
      <c r="K408">
        <v>14588483385</v>
      </c>
      <c r="L408">
        <v>16028768139</v>
      </c>
      <c r="M408">
        <v>16230299808</v>
      </c>
      <c r="N408">
        <v>15327968493</v>
      </c>
      <c r="O408">
        <v>13993268530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1301955874</v>
      </c>
      <c r="G409">
        <v>1049746676</v>
      </c>
      <c r="H409">
        <v>1023581622</v>
      </c>
      <c r="I409">
        <v>1004814069</v>
      </c>
      <c r="J409">
        <v>821179833</v>
      </c>
      <c r="K409">
        <v>762144651</v>
      </c>
      <c r="L409">
        <v>719940267</v>
      </c>
      <c r="M409">
        <v>776833163</v>
      </c>
      <c r="N409">
        <v>880087770</v>
      </c>
      <c r="O409">
        <v>846980833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1207250612</v>
      </c>
      <c r="G410">
        <v>1139613647</v>
      </c>
      <c r="H410">
        <v>1437773719</v>
      </c>
      <c r="I410">
        <v>1374535395</v>
      </c>
      <c r="J410">
        <v>1350103486</v>
      </c>
      <c r="K410">
        <v>961329439</v>
      </c>
      <c r="L410">
        <v>2010255611</v>
      </c>
      <c r="M410">
        <v>2502590145</v>
      </c>
      <c r="N410">
        <v>2830022710</v>
      </c>
      <c r="O410">
        <v>2735289204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15141359772</v>
      </c>
      <c r="G411">
        <v>11484018588</v>
      </c>
      <c r="H411">
        <v>10235446133</v>
      </c>
      <c r="I411">
        <v>8630589404</v>
      </c>
      <c r="J411">
        <v>6532775909</v>
      </c>
      <c r="K411">
        <v>6070761811</v>
      </c>
      <c r="L411">
        <v>7205337402</v>
      </c>
      <c r="M411">
        <v>6885779869</v>
      </c>
      <c r="N411">
        <v>7519711953</v>
      </c>
      <c r="O411">
        <v>6131477578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21716509828</v>
      </c>
      <c r="G412">
        <v>19164746829</v>
      </c>
      <c r="H412">
        <v>16403340800</v>
      </c>
      <c r="I412">
        <v>18950719418</v>
      </c>
      <c r="J412">
        <v>18469494476</v>
      </c>
      <c r="K412">
        <v>14104396444</v>
      </c>
      <c r="L412">
        <v>18113571001</v>
      </c>
      <c r="M412">
        <v>18897587047</v>
      </c>
      <c r="N412">
        <v>18077619669</v>
      </c>
      <c r="O412">
        <v>12130389848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26314980323</v>
      </c>
      <c r="G413">
        <v>21074437344</v>
      </c>
      <c r="H413">
        <v>24661976843</v>
      </c>
      <c r="I413">
        <v>24235238781</v>
      </c>
      <c r="J413">
        <v>21056224657</v>
      </c>
      <c r="K413">
        <v>17361078283</v>
      </c>
      <c r="L413">
        <v>13489636854</v>
      </c>
      <c r="M413">
        <v>10721254526</v>
      </c>
      <c r="N413">
        <v>9109449510</v>
      </c>
      <c r="O413">
        <v>8182951828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9796679728</v>
      </c>
      <c r="G414">
        <v>7389731428</v>
      </c>
      <c r="H414">
        <v>6422423250</v>
      </c>
      <c r="I414">
        <v>6070838164</v>
      </c>
      <c r="J414">
        <v>5728513617</v>
      </c>
      <c r="K414">
        <v>4380481706</v>
      </c>
      <c r="L414">
        <v>3593684259</v>
      </c>
      <c r="M414">
        <v>4465875887</v>
      </c>
      <c r="N414">
        <v>3811896393</v>
      </c>
      <c r="O414">
        <v>2660643093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80647778491</v>
      </c>
      <c r="G415">
        <v>54161937598</v>
      </c>
      <c r="H415">
        <v>52846463066</v>
      </c>
      <c r="I415">
        <v>59956573412</v>
      </c>
      <c r="J415">
        <v>62466074604</v>
      </c>
      <c r="K415">
        <v>40656746012</v>
      </c>
      <c r="L415">
        <v>43745691903</v>
      </c>
      <c r="M415">
        <v>38605196674</v>
      </c>
      <c r="N415">
        <v>46810413489</v>
      </c>
      <c r="O415">
        <v>54448162703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4079136539</v>
      </c>
      <c r="G416">
        <v>3700453734</v>
      </c>
      <c r="H416">
        <v>3000140671</v>
      </c>
      <c r="I416">
        <v>2632249324</v>
      </c>
      <c r="J416">
        <v>2636024647</v>
      </c>
      <c r="K416">
        <v>3183409799</v>
      </c>
      <c r="L416">
        <v>3180592773</v>
      </c>
      <c r="M416">
        <v>3625271040</v>
      </c>
      <c r="N416">
        <v>3766239521</v>
      </c>
      <c r="O416">
        <v>4003029133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71339872336</v>
      </c>
      <c r="G417">
        <v>56972444418</v>
      </c>
      <c r="H417">
        <v>47265560036</v>
      </c>
      <c r="I417">
        <v>38827993913</v>
      </c>
      <c r="J417">
        <v>35457095131</v>
      </c>
      <c r="K417">
        <v>11477427227</v>
      </c>
      <c r="L417">
        <v>9150122275</v>
      </c>
      <c r="M417">
        <v>8409431526</v>
      </c>
      <c r="N417">
        <v>6812234363</v>
      </c>
      <c r="O417">
        <v>6490194471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524830765</v>
      </c>
      <c r="G418">
        <v>1079571219</v>
      </c>
      <c r="H418">
        <v>2345680409</v>
      </c>
      <c r="I418">
        <v>386885446</v>
      </c>
      <c r="J418">
        <v>2110016909</v>
      </c>
      <c r="K418">
        <v>955991358</v>
      </c>
      <c r="L418">
        <v>430229230</v>
      </c>
      <c r="M418">
        <v>411962798</v>
      </c>
      <c r="N418">
        <v>721379754</v>
      </c>
      <c r="O418">
        <v>1095363118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1081472930</v>
      </c>
      <c r="G419">
        <v>961911070</v>
      </c>
      <c r="H419">
        <v>948371962</v>
      </c>
      <c r="I419">
        <v>945374941</v>
      </c>
      <c r="J419">
        <v>919734606</v>
      </c>
      <c r="K419">
        <v>900747136</v>
      </c>
      <c r="L419">
        <v>836978144</v>
      </c>
      <c r="M419">
        <v>763134932</v>
      </c>
      <c r="N419">
        <v>652726788</v>
      </c>
      <c r="O419">
        <v>620543968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349536461</v>
      </c>
      <c r="G420">
        <v>118584175</v>
      </c>
      <c r="H420">
        <v>22029368</v>
      </c>
      <c r="I420">
        <v>42555553</v>
      </c>
      <c r="J420">
        <v>65318509</v>
      </c>
      <c r="K420">
        <v>68031962</v>
      </c>
      <c r="L420">
        <v>57865834</v>
      </c>
      <c r="M420">
        <v>111809730</v>
      </c>
      <c r="N420">
        <v>115107898</v>
      </c>
      <c r="O420">
        <v>60753142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21679392579</v>
      </c>
      <c r="G421">
        <v>16601479335</v>
      </c>
      <c r="H421">
        <v>15388999128</v>
      </c>
      <c r="I421">
        <v>17285850984</v>
      </c>
      <c r="J421">
        <v>13944749595</v>
      </c>
      <c r="K421">
        <v>8923779310</v>
      </c>
      <c r="L421">
        <v>8148290650</v>
      </c>
      <c r="M421">
        <v>11509303448</v>
      </c>
      <c r="N421">
        <v>13214657545</v>
      </c>
      <c r="O421">
        <v>13355101591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10155886455</v>
      </c>
      <c r="G422">
        <v>7654121349</v>
      </c>
      <c r="H422">
        <v>7622552187</v>
      </c>
      <c r="I422">
        <v>6849197858</v>
      </c>
      <c r="J422">
        <v>6334067902</v>
      </c>
      <c r="K422">
        <v>5179539966</v>
      </c>
      <c r="L422">
        <v>4960392875</v>
      </c>
      <c r="M422">
        <v>6351646693</v>
      </c>
      <c r="N422">
        <v>8461012971</v>
      </c>
      <c r="O422">
        <v>9722984058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7065058337</v>
      </c>
      <c r="G423">
        <v>4895779133</v>
      </c>
      <c r="H423">
        <v>4894292444</v>
      </c>
      <c r="I423">
        <v>4955884004</v>
      </c>
      <c r="J423">
        <v>4237835375</v>
      </c>
      <c r="K423">
        <v>3636038875</v>
      </c>
      <c r="L423">
        <v>3483969146</v>
      </c>
      <c r="M423">
        <v>3558955368</v>
      </c>
      <c r="N423">
        <v>3107503448</v>
      </c>
      <c r="O423">
        <v>2918350020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9826675068</v>
      </c>
      <c r="G424">
        <v>10211603633</v>
      </c>
      <c r="H424">
        <v>7776961217</v>
      </c>
      <c r="I424">
        <v>6758312188</v>
      </c>
      <c r="J424">
        <v>6289219498</v>
      </c>
      <c r="K424">
        <v>6075377168</v>
      </c>
      <c r="L424">
        <v>4323477656</v>
      </c>
      <c r="M424">
        <v>5274652985</v>
      </c>
      <c r="N424">
        <v>4557056051</v>
      </c>
      <c r="O424">
        <v>3676906504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46468602845</v>
      </c>
      <c r="G425">
        <v>40378608108</v>
      </c>
      <c r="H425">
        <v>44644476404</v>
      </c>
      <c r="I425">
        <v>38739827104</v>
      </c>
      <c r="J425">
        <v>36284746329</v>
      </c>
      <c r="K425">
        <v>13386417453</v>
      </c>
      <c r="L425">
        <v>12078194124</v>
      </c>
      <c r="M425">
        <v>11538342522</v>
      </c>
      <c r="N425">
        <v>10081474206</v>
      </c>
      <c r="O425">
        <v>8591632463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6925157053</v>
      </c>
      <c r="G426">
        <v>5903418678</v>
      </c>
      <c r="H426">
        <v>4367956951</v>
      </c>
      <c r="I426">
        <v>3513251187</v>
      </c>
      <c r="J426">
        <v>3589647118</v>
      </c>
      <c r="K426">
        <v>3068269793</v>
      </c>
      <c r="L426">
        <v>2921064909</v>
      </c>
      <c r="M426">
        <v>2913530800</v>
      </c>
      <c r="N426">
        <v>1851527561</v>
      </c>
      <c r="O426">
        <v>1373303065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1645816399</v>
      </c>
      <c r="G427">
        <v>1386038580</v>
      </c>
      <c r="H427">
        <v>1290332663</v>
      </c>
      <c r="I427">
        <v>1019238732</v>
      </c>
      <c r="J427">
        <v>689099349</v>
      </c>
      <c r="K427">
        <v>604860656</v>
      </c>
      <c r="L427">
        <v>642432918</v>
      </c>
      <c r="M427">
        <v>668688166</v>
      </c>
      <c r="N427">
        <v>623302813</v>
      </c>
      <c r="O427">
        <v>325358992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4524553774</v>
      </c>
      <c r="G428">
        <v>6314792846</v>
      </c>
      <c r="H428">
        <v>11526435740</v>
      </c>
      <c r="I428">
        <v>11656356979</v>
      </c>
      <c r="J428">
        <v>11157077254</v>
      </c>
      <c r="K428">
        <v>9936519933</v>
      </c>
      <c r="L428">
        <v>1321008113</v>
      </c>
      <c r="M428">
        <v>1115622348</v>
      </c>
      <c r="N428">
        <v>1036703311</v>
      </c>
      <c r="O428">
        <v>762900698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4651772746</v>
      </c>
      <c r="G429">
        <v>3539172251</v>
      </c>
      <c r="H429">
        <v>6750905186</v>
      </c>
      <c r="I429">
        <v>11650954413</v>
      </c>
      <c r="J429">
        <v>8350476105</v>
      </c>
      <c r="K429">
        <v>2395291582</v>
      </c>
      <c r="L429">
        <v>2330406291</v>
      </c>
      <c r="M429">
        <v>3449008869</v>
      </c>
      <c r="N429">
        <v>3373449202</v>
      </c>
      <c r="O429">
        <v>3950706190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5712643878</v>
      </c>
      <c r="G430">
        <v>5044251356</v>
      </c>
      <c r="H430">
        <v>5176808061</v>
      </c>
      <c r="I430">
        <v>4929024001</v>
      </c>
      <c r="J430">
        <v>5729789061</v>
      </c>
      <c r="K430">
        <v>6987110276</v>
      </c>
      <c r="L430">
        <v>6221122120</v>
      </c>
      <c r="M430">
        <v>4201373844</v>
      </c>
      <c r="N430">
        <v>3268906437</v>
      </c>
      <c r="O430">
        <v>1545921128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4152521099</v>
      </c>
      <c r="G431">
        <v>5412007962</v>
      </c>
      <c r="H431">
        <v>11445545810</v>
      </c>
      <c r="I431">
        <v>17065079139</v>
      </c>
      <c r="J431">
        <v>17578618640</v>
      </c>
      <c r="K431">
        <v>21642324070</v>
      </c>
      <c r="L431">
        <v>18066827952</v>
      </c>
      <c r="M431">
        <v>15949188769</v>
      </c>
      <c r="N431">
        <v>13358728517</v>
      </c>
      <c r="O431">
        <v>11165154818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106190154844</v>
      </c>
      <c r="G432">
        <v>94915380917</v>
      </c>
      <c r="H432">
        <v>85429573467</v>
      </c>
      <c r="I432">
        <v>73638872388</v>
      </c>
      <c r="J432">
        <v>58217861314</v>
      </c>
      <c r="K432">
        <v>38862189994</v>
      </c>
      <c r="L432">
        <v>32659583725</v>
      </c>
      <c r="M432">
        <v>31573928531</v>
      </c>
      <c r="N432">
        <v>30921801317</v>
      </c>
      <c r="O432">
        <v>26455335153</v>
      </c>
      <c r="P432">
        <v>71973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443940442</v>
      </c>
      <c r="G433">
        <v>332042714</v>
      </c>
      <c r="H433">
        <v>258763584</v>
      </c>
      <c r="I433">
        <v>307625844</v>
      </c>
      <c r="J433">
        <v>313049823</v>
      </c>
      <c r="K433">
        <v>213959248</v>
      </c>
      <c r="L433">
        <v>191636935</v>
      </c>
      <c r="M433">
        <v>301200335</v>
      </c>
      <c r="N433">
        <v>326323280</v>
      </c>
      <c r="O433">
        <v>280893678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6643573143</v>
      </c>
      <c r="G434">
        <v>6485213417</v>
      </c>
      <c r="H434">
        <v>5388094593</v>
      </c>
      <c r="I434">
        <v>5094596222</v>
      </c>
      <c r="J434">
        <v>5002002717</v>
      </c>
      <c r="K434">
        <v>4092852961</v>
      </c>
      <c r="L434">
        <v>3500362098</v>
      </c>
      <c r="M434">
        <v>2584987567</v>
      </c>
      <c r="N434">
        <v>2296407712</v>
      </c>
      <c r="O434">
        <v>2014390968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46163306591</v>
      </c>
      <c r="G435">
        <v>44065727359</v>
      </c>
      <c r="H435">
        <v>38771002449</v>
      </c>
      <c r="I435">
        <v>33923561492</v>
      </c>
      <c r="J435">
        <v>27101395690</v>
      </c>
      <c r="K435">
        <v>21107950272</v>
      </c>
      <c r="L435">
        <v>16522946227</v>
      </c>
      <c r="M435">
        <v>8641340505</v>
      </c>
      <c r="N435">
        <v>6771333620</v>
      </c>
      <c r="O435">
        <v>5812209949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2394314320</v>
      </c>
      <c r="G436">
        <v>2236106611</v>
      </c>
      <c r="H436">
        <v>2207998805</v>
      </c>
      <c r="I436">
        <v>2798498715</v>
      </c>
      <c r="J436">
        <v>3391140354</v>
      </c>
      <c r="K436">
        <v>3361211068</v>
      </c>
      <c r="L436">
        <v>3200754944</v>
      </c>
      <c r="M436">
        <v>3067526578</v>
      </c>
      <c r="N436">
        <v>2720257767</v>
      </c>
      <c r="O436">
        <v>2612533972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6063213806</v>
      </c>
      <c r="G437">
        <v>6187689673</v>
      </c>
      <c r="H437">
        <v>6415001809</v>
      </c>
      <c r="I437">
        <v>7136879228</v>
      </c>
      <c r="J437">
        <v>7130525888</v>
      </c>
      <c r="K437">
        <v>5848963706</v>
      </c>
      <c r="L437">
        <v>4161853092</v>
      </c>
      <c r="M437">
        <v>3348640251</v>
      </c>
      <c r="N437">
        <v>2821511169</v>
      </c>
      <c r="O437">
        <v>2413223470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3384106895</v>
      </c>
      <c r="G438">
        <v>3111281415</v>
      </c>
      <c r="H438">
        <v>3416030256</v>
      </c>
      <c r="I438">
        <v>3520948298</v>
      </c>
      <c r="J438">
        <v>3805117860</v>
      </c>
      <c r="K438">
        <v>3689413795</v>
      </c>
      <c r="L438">
        <v>3384159404</v>
      </c>
      <c r="M438">
        <v>2783375754</v>
      </c>
      <c r="N438">
        <v>1960017528</v>
      </c>
      <c r="O438">
        <v>1676204582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874816901</v>
      </c>
      <c r="G439">
        <v>1144540656</v>
      </c>
      <c r="H439">
        <v>1152751781</v>
      </c>
      <c r="I439">
        <v>1371556563</v>
      </c>
      <c r="J439">
        <v>1429411738</v>
      </c>
      <c r="K439">
        <v>1188193935</v>
      </c>
      <c r="L439">
        <v>1490198059</v>
      </c>
      <c r="M439">
        <v>1643826101</v>
      </c>
      <c r="N439">
        <v>1633745378</v>
      </c>
      <c r="O439">
        <v>1522478832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27157168728</v>
      </c>
      <c r="G440">
        <v>24291810753</v>
      </c>
      <c r="H440">
        <v>20575131654</v>
      </c>
      <c r="I440">
        <v>17897863684</v>
      </c>
      <c r="J440">
        <v>15885586112</v>
      </c>
      <c r="K440">
        <v>51241569202</v>
      </c>
      <c r="L440">
        <v>57787441749</v>
      </c>
      <c r="M440">
        <v>71512638986</v>
      </c>
      <c r="N440">
        <v>79566905693</v>
      </c>
      <c r="O440">
        <v>66611033840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3875304664</v>
      </c>
      <c r="G441">
        <v>3427069473</v>
      </c>
      <c r="H441">
        <v>2992346752</v>
      </c>
      <c r="I441">
        <v>2584627161</v>
      </c>
      <c r="J441">
        <v>2330488352</v>
      </c>
      <c r="K441">
        <v>2057473060</v>
      </c>
      <c r="L441">
        <v>1723207166</v>
      </c>
      <c r="M441">
        <v>1691112456</v>
      </c>
      <c r="N441">
        <v>1544544952</v>
      </c>
      <c r="O441">
        <v>1468092831</v>
      </c>
      <c r="P441">
        <v>1048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362576664</v>
      </c>
      <c r="G442">
        <v>332695488</v>
      </c>
      <c r="H442">
        <v>332602654</v>
      </c>
      <c r="I442">
        <v>249037021</v>
      </c>
      <c r="J442">
        <v>269949173</v>
      </c>
      <c r="K442">
        <v>253266716</v>
      </c>
      <c r="L442">
        <v>251746181</v>
      </c>
      <c r="M442">
        <v>337639193</v>
      </c>
      <c r="N442">
        <v>357032581</v>
      </c>
      <c r="O442">
        <v>375271864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26890672927</v>
      </c>
      <c r="G443">
        <v>20237854902</v>
      </c>
      <c r="H443">
        <v>18404023705</v>
      </c>
      <c r="I443">
        <v>19334190301</v>
      </c>
      <c r="J443">
        <v>17448877298</v>
      </c>
      <c r="K443">
        <v>13565499633</v>
      </c>
      <c r="L443">
        <v>10975218668</v>
      </c>
      <c r="M443">
        <v>8879174824</v>
      </c>
      <c r="N443">
        <v>11291254031</v>
      </c>
      <c r="O443">
        <v>12496834803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G444">
        <v>4283443679</v>
      </c>
      <c r="H444">
        <v>5672719415</v>
      </c>
      <c r="I444">
        <v>2642434408</v>
      </c>
      <c r="J444">
        <v>514103191</v>
      </c>
      <c r="K444">
        <v>254235000</v>
      </c>
      <c r="L444">
        <v>478325403</v>
      </c>
      <c r="M444">
        <v>692745566</v>
      </c>
      <c r="N444">
        <v>686975147</v>
      </c>
      <c r="O444">
        <v>563327169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3187954501</v>
      </c>
      <c r="G445">
        <v>3294698995</v>
      </c>
      <c r="H445">
        <v>2289126075</v>
      </c>
      <c r="I445">
        <v>2330529376</v>
      </c>
      <c r="J445">
        <v>1701872902</v>
      </c>
      <c r="K445">
        <v>2895865810</v>
      </c>
      <c r="L445">
        <v>5736640330</v>
      </c>
      <c r="M445">
        <v>2841178893</v>
      </c>
      <c r="N445">
        <v>2157277405</v>
      </c>
      <c r="O445">
        <v>2649556074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7951956608</v>
      </c>
      <c r="G446">
        <v>13576114532</v>
      </c>
      <c r="H446">
        <v>18998310343</v>
      </c>
      <c r="I446">
        <v>17989536240</v>
      </c>
      <c r="J446">
        <v>16094149976</v>
      </c>
      <c r="K446">
        <v>13945496952</v>
      </c>
      <c r="L446">
        <v>13221666801</v>
      </c>
      <c r="M446">
        <v>12566901919</v>
      </c>
      <c r="N446">
        <v>11097870213</v>
      </c>
      <c r="O446">
        <v>9300215117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10351588213</v>
      </c>
      <c r="G447">
        <v>7408151562</v>
      </c>
      <c r="H447">
        <v>5819592183</v>
      </c>
      <c r="I447">
        <v>4613161360</v>
      </c>
      <c r="J447">
        <v>4942995517</v>
      </c>
      <c r="K447">
        <v>4529778512</v>
      </c>
      <c r="L447">
        <v>3630392093</v>
      </c>
      <c r="M447">
        <v>3232501718</v>
      </c>
      <c r="N447">
        <v>2980642866</v>
      </c>
      <c r="O447">
        <v>2680566935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4083270415</v>
      </c>
      <c r="G448">
        <v>4098010993</v>
      </c>
      <c r="H448">
        <v>3559040093</v>
      </c>
      <c r="I448">
        <v>3550211300</v>
      </c>
      <c r="J448">
        <v>4137613006</v>
      </c>
      <c r="K448">
        <v>5167285159</v>
      </c>
      <c r="L448">
        <v>4918876422</v>
      </c>
      <c r="M448">
        <v>3249278430</v>
      </c>
      <c r="N448">
        <v>2690140878</v>
      </c>
      <c r="O448">
        <v>1963495953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424717058</v>
      </c>
      <c r="G449">
        <v>267699834</v>
      </c>
      <c r="H449">
        <v>251153525</v>
      </c>
      <c r="I449">
        <v>224523783</v>
      </c>
      <c r="J449">
        <v>434487819</v>
      </c>
      <c r="K449">
        <v>455408516</v>
      </c>
      <c r="L449">
        <v>506408018</v>
      </c>
      <c r="M449">
        <v>415412217</v>
      </c>
      <c r="N449">
        <v>452415270</v>
      </c>
      <c r="O449">
        <v>542982705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465650959</v>
      </c>
      <c r="G450">
        <v>207312776</v>
      </c>
      <c r="H450">
        <v>55175580</v>
      </c>
      <c r="I450">
        <v>93059808</v>
      </c>
      <c r="J450">
        <v>77015761</v>
      </c>
      <c r="K450">
        <v>189962532</v>
      </c>
      <c r="L450">
        <v>91650976</v>
      </c>
      <c r="M450">
        <v>20690493</v>
      </c>
      <c r="N450">
        <v>81996630</v>
      </c>
      <c r="O450">
        <v>280131681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1096901880</v>
      </c>
      <c r="G451">
        <v>1119100057</v>
      </c>
      <c r="H451">
        <v>1380228766</v>
      </c>
      <c r="I451">
        <v>1283510820</v>
      </c>
      <c r="J451">
        <v>1102602781</v>
      </c>
      <c r="K451">
        <v>1050263247</v>
      </c>
      <c r="L451">
        <v>1192420711</v>
      </c>
      <c r="M451">
        <v>1103264981</v>
      </c>
      <c r="N451">
        <v>1361014029</v>
      </c>
      <c r="O451">
        <v>2664521365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140401040</v>
      </c>
      <c r="G452">
        <v>133039356</v>
      </c>
      <c r="H452">
        <v>177268384</v>
      </c>
      <c r="I452">
        <v>231083125</v>
      </c>
      <c r="J452">
        <v>225530444</v>
      </c>
      <c r="K452">
        <v>211862249</v>
      </c>
      <c r="L452">
        <v>248647981</v>
      </c>
      <c r="M452">
        <v>325173689</v>
      </c>
      <c r="N452">
        <v>364737079</v>
      </c>
      <c r="O452">
        <v>361275282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5470199000</v>
      </c>
      <c r="G453">
        <v>4849549000</v>
      </c>
      <c r="H453">
        <v>8575309000</v>
      </c>
      <c r="I453">
        <v>9220759000</v>
      </c>
      <c r="J453">
        <v>8713412000</v>
      </c>
      <c r="K453">
        <v>3190679801</v>
      </c>
      <c r="L453">
        <v>4379725997</v>
      </c>
      <c r="M453">
        <v>5665001524</v>
      </c>
      <c r="N453">
        <v>4440958031</v>
      </c>
      <c r="O453">
        <v>2587493978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48053636299</v>
      </c>
      <c r="G454">
        <v>35422064074</v>
      </c>
      <c r="H454">
        <v>37657160814</v>
      </c>
      <c r="I454">
        <v>38142770167</v>
      </c>
      <c r="J454">
        <v>40937016037</v>
      </c>
      <c r="K454">
        <v>49159759541</v>
      </c>
      <c r="L454">
        <v>39594894256</v>
      </c>
      <c r="M454">
        <v>63237670589</v>
      </c>
      <c r="N454">
        <v>81328562626</v>
      </c>
      <c r="O454">
        <v>95407588566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33934960453</v>
      </c>
      <c r="G455">
        <v>63664030122</v>
      </c>
      <c r="H455">
        <v>62630699276</v>
      </c>
      <c r="I455">
        <v>54787877350</v>
      </c>
      <c r="J455">
        <v>51041303383</v>
      </c>
      <c r="K455">
        <v>50198852620</v>
      </c>
      <c r="L455">
        <v>38572907704</v>
      </c>
      <c r="M455">
        <v>45794271726</v>
      </c>
      <c r="N455">
        <v>46167758766</v>
      </c>
      <c r="O455">
        <v>50228443182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10871924009</v>
      </c>
      <c r="G456">
        <v>8026737100</v>
      </c>
      <c r="H456">
        <v>6185825112</v>
      </c>
      <c r="I456">
        <v>5807108032</v>
      </c>
      <c r="J456">
        <v>4836620834</v>
      </c>
      <c r="K456">
        <v>4532209157</v>
      </c>
      <c r="L456">
        <v>3420578335</v>
      </c>
      <c r="M456">
        <v>3620357480</v>
      </c>
      <c r="N456">
        <v>3279281057</v>
      </c>
      <c r="O456">
        <v>3134623093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31852195740</v>
      </c>
      <c r="G457">
        <v>18963748094</v>
      </c>
      <c r="H457">
        <v>17395515760</v>
      </c>
      <c r="I457">
        <v>19556790875</v>
      </c>
      <c r="J457">
        <v>14188321857</v>
      </c>
      <c r="K457">
        <v>8528390663</v>
      </c>
      <c r="L457">
        <v>7754840577</v>
      </c>
      <c r="M457">
        <v>10142731527</v>
      </c>
      <c r="N457">
        <v>9875449907</v>
      </c>
      <c r="O457">
        <v>8836897796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4139509092</v>
      </c>
      <c r="G458">
        <v>4084568683</v>
      </c>
      <c r="H458">
        <v>3517765339</v>
      </c>
      <c r="I458">
        <v>3186847123</v>
      </c>
      <c r="J458">
        <v>4367977206</v>
      </c>
      <c r="K458">
        <v>4068435951</v>
      </c>
      <c r="L458">
        <v>4027432993</v>
      </c>
      <c r="M458">
        <v>3895042664</v>
      </c>
      <c r="N458">
        <v>4358993719</v>
      </c>
      <c r="O458">
        <v>2829670982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7893530508</v>
      </c>
      <c r="G459">
        <v>6451752307</v>
      </c>
      <c r="H459">
        <v>6471221684</v>
      </c>
      <c r="I459">
        <v>6436651112</v>
      </c>
      <c r="J459">
        <v>6606508718</v>
      </c>
      <c r="K459">
        <v>6766605873</v>
      </c>
      <c r="L459">
        <v>6021122849</v>
      </c>
      <c r="M459">
        <v>5363738784</v>
      </c>
      <c r="N459">
        <v>4324070402</v>
      </c>
      <c r="O459">
        <v>3139507285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6324150037</v>
      </c>
      <c r="G460">
        <v>5067687414</v>
      </c>
      <c r="H460">
        <v>4518311135</v>
      </c>
      <c r="I460">
        <v>3048213983</v>
      </c>
      <c r="J460">
        <v>3547048699</v>
      </c>
      <c r="K460">
        <v>3106645159</v>
      </c>
      <c r="L460">
        <v>1129652717</v>
      </c>
      <c r="M460">
        <v>942198411</v>
      </c>
      <c r="N460">
        <v>982627398</v>
      </c>
      <c r="O460">
        <v>970920433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116806800</v>
      </c>
      <c r="G461">
        <v>12505940</v>
      </c>
      <c r="H461">
        <v>15139420</v>
      </c>
      <c r="I461">
        <v>13101179</v>
      </c>
      <c r="J461">
        <v>30829863</v>
      </c>
      <c r="K461">
        <v>36098730</v>
      </c>
      <c r="L461">
        <v>129604515</v>
      </c>
      <c r="M461">
        <v>30899141</v>
      </c>
      <c r="N461">
        <v>67426613</v>
      </c>
      <c r="O461">
        <v>130968231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4511671895</v>
      </c>
      <c r="G462">
        <v>3060400430</v>
      </c>
      <c r="H462">
        <v>1977308255</v>
      </c>
      <c r="I462">
        <v>66862565</v>
      </c>
      <c r="J462">
        <v>65825072</v>
      </c>
      <c r="K462">
        <v>46882093</v>
      </c>
      <c r="L462">
        <v>92909443</v>
      </c>
      <c r="M462">
        <v>47368752</v>
      </c>
      <c r="N462">
        <v>42540126</v>
      </c>
      <c r="O462">
        <v>6465273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3648570084</v>
      </c>
      <c r="G463">
        <v>3031926356</v>
      </c>
      <c r="H463">
        <v>4565798005</v>
      </c>
      <c r="I463">
        <v>3823804735</v>
      </c>
      <c r="J463">
        <v>3274698154</v>
      </c>
      <c r="K463">
        <v>3000277807</v>
      </c>
      <c r="L463">
        <v>2820446284</v>
      </c>
      <c r="M463">
        <v>2562928244</v>
      </c>
      <c r="N463">
        <v>2230302868</v>
      </c>
      <c r="O463">
        <v>1903373702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3444986332</v>
      </c>
      <c r="G464">
        <v>3011530876</v>
      </c>
      <c r="H464">
        <v>2787727912</v>
      </c>
      <c r="I464">
        <v>2574057442</v>
      </c>
      <c r="J464">
        <v>2110258286</v>
      </c>
      <c r="K464">
        <v>1682090870</v>
      </c>
      <c r="L464">
        <v>1691976780</v>
      </c>
      <c r="M464">
        <v>2178483909</v>
      </c>
      <c r="N464">
        <v>2186110712</v>
      </c>
      <c r="O464">
        <v>2319545719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4027152027</v>
      </c>
      <c r="G465">
        <v>3597786950</v>
      </c>
      <c r="H465">
        <v>4030248448</v>
      </c>
      <c r="I465">
        <v>3583020209</v>
      </c>
      <c r="J465">
        <v>2534965148</v>
      </c>
      <c r="K465">
        <v>2438332547</v>
      </c>
      <c r="L465">
        <v>2335805290</v>
      </c>
      <c r="M465">
        <v>2109156606</v>
      </c>
      <c r="N465">
        <v>1802703973</v>
      </c>
      <c r="O465">
        <v>1666270391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706788997</v>
      </c>
      <c r="G466">
        <v>695880459</v>
      </c>
      <c r="H466">
        <v>660103032</v>
      </c>
      <c r="I466">
        <v>559937145</v>
      </c>
      <c r="J466">
        <v>538138332</v>
      </c>
      <c r="K466">
        <v>465085990</v>
      </c>
      <c r="L466">
        <v>536232251</v>
      </c>
      <c r="M466">
        <v>571966888</v>
      </c>
      <c r="N466">
        <v>1030122354</v>
      </c>
      <c r="O466">
        <v>1275383232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1817295265</v>
      </c>
      <c r="G467">
        <v>1832934477</v>
      </c>
      <c r="H467">
        <v>2412565251</v>
      </c>
      <c r="I467">
        <v>2630735094</v>
      </c>
      <c r="J467">
        <v>2832356345</v>
      </c>
      <c r="K467">
        <v>2615677446</v>
      </c>
      <c r="L467">
        <v>2456347288</v>
      </c>
      <c r="M467">
        <v>2568498297</v>
      </c>
      <c r="N467">
        <v>2453867566</v>
      </c>
      <c r="O467">
        <v>2166710161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3432159755</v>
      </c>
      <c r="G468">
        <v>3605532835</v>
      </c>
      <c r="H468">
        <v>1160318576</v>
      </c>
      <c r="I468">
        <v>1043296694</v>
      </c>
      <c r="J468">
        <v>1154448171</v>
      </c>
      <c r="K468">
        <v>1258106717</v>
      </c>
      <c r="L468">
        <v>1091879654</v>
      </c>
      <c r="M468">
        <v>961969074</v>
      </c>
      <c r="N468">
        <v>904071179</v>
      </c>
      <c r="O468">
        <v>273200813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2810556214</v>
      </c>
      <c r="G469">
        <v>1890574261</v>
      </c>
      <c r="H469">
        <v>1680321948</v>
      </c>
      <c r="I469">
        <v>1721422020</v>
      </c>
      <c r="J469">
        <v>1697634259</v>
      </c>
      <c r="K469">
        <v>1521163634</v>
      </c>
      <c r="L469">
        <v>1393398242</v>
      </c>
      <c r="M469">
        <v>1416210363</v>
      </c>
      <c r="N469">
        <v>1326761400</v>
      </c>
      <c r="O469">
        <v>1231936076</v>
      </c>
      <c r="P469">
        <v>21652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20463211064</v>
      </c>
      <c r="G470">
        <v>21270775309</v>
      </c>
      <c r="H470">
        <v>19697305491</v>
      </c>
      <c r="I470">
        <v>13245601855</v>
      </c>
      <c r="J470">
        <v>9537987620</v>
      </c>
      <c r="K470">
        <v>14269296191</v>
      </c>
      <c r="L470">
        <v>7731239974</v>
      </c>
      <c r="M470">
        <v>7245834995</v>
      </c>
      <c r="N470">
        <v>3049843309</v>
      </c>
      <c r="O470">
        <v>3081009155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7630510000</v>
      </c>
      <c r="G471">
        <v>6164974168</v>
      </c>
      <c r="H471">
        <v>6939993812</v>
      </c>
      <c r="I471">
        <v>7208205789</v>
      </c>
      <c r="J471">
        <v>5642009139</v>
      </c>
      <c r="K471">
        <v>4677891561</v>
      </c>
      <c r="L471">
        <v>3767836374</v>
      </c>
      <c r="M471">
        <v>2986412155</v>
      </c>
      <c r="N471">
        <v>2447577612</v>
      </c>
      <c r="O471">
        <v>160020672</v>
      </c>
      <c r="P471">
        <v>13796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33032809011</v>
      </c>
      <c r="G472">
        <v>24969150701</v>
      </c>
      <c r="H472">
        <v>23240947723</v>
      </c>
      <c r="I472">
        <v>24366535970</v>
      </c>
      <c r="J472">
        <v>17469682594</v>
      </c>
      <c r="K472">
        <v>12134810814</v>
      </c>
      <c r="L472">
        <v>9786995574</v>
      </c>
      <c r="M472">
        <v>7735387987</v>
      </c>
      <c r="N472">
        <v>6578060453</v>
      </c>
      <c r="O472">
        <v>4143447022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581059366</v>
      </c>
      <c r="G473">
        <v>727473785</v>
      </c>
      <c r="H473">
        <v>696172449</v>
      </c>
      <c r="I473">
        <v>572861388</v>
      </c>
      <c r="J473">
        <v>981023763</v>
      </c>
      <c r="K473">
        <v>1098977643</v>
      </c>
      <c r="L473">
        <v>921782373</v>
      </c>
      <c r="M473">
        <v>1069987066</v>
      </c>
      <c r="N473">
        <v>790638350</v>
      </c>
      <c r="O473">
        <v>627889304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52026809394</v>
      </c>
      <c r="G474">
        <v>31895876863</v>
      </c>
      <c r="H474">
        <v>29835741352</v>
      </c>
      <c r="I474">
        <v>33176537435</v>
      </c>
      <c r="J474">
        <v>27029207890</v>
      </c>
      <c r="K474">
        <v>22044431512</v>
      </c>
      <c r="L474">
        <v>20363453765</v>
      </c>
      <c r="M474">
        <v>26851759656</v>
      </c>
      <c r="N474">
        <v>26137729974</v>
      </c>
      <c r="O474">
        <v>20950989541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5496578625</v>
      </c>
      <c r="G475">
        <v>4172645157</v>
      </c>
      <c r="H475">
        <v>3871840010</v>
      </c>
      <c r="I475">
        <v>3262879216</v>
      </c>
      <c r="J475">
        <v>2666121404</v>
      </c>
      <c r="K475">
        <v>2170166186</v>
      </c>
      <c r="L475">
        <v>2225532407</v>
      </c>
      <c r="M475">
        <v>1421839135</v>
      </c>
      <c r="N475">
        <v>1210547198</v>
      </c>
      <c r="O475">
        <v>1006091548</v>
      </c>
      <c r="P475">
        <v>2781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1536952235</v>
      </c>
      <c r="G476">
        <v>1266211834</v>
      </c>
      <c r="H476">
        <v>1199737875</v>
      </c>
      <c r="I476">
        <v>1222849945</v>
      </c>
      <c r="J476">
        <v>1322101989</v>
      </c>
      <c r="K476">
        <v>1385272501</v>
      </c>
      <c r="L476">
        <v>1076359509</v>
      </c>
      <c r="M476">
        <v>1100834594</v>
      </c>
      <c r="N476">
        <v>924362416</v>
      </c>
      <c r="O476">
        <v>712363151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6150860583</v>
      </c>
      <c r="G477">
        <v>5909017020</v>
      </c>
      <c r="H477">
        <v>6768292920</v>
      </c>
      <c r="I477">
        <v>6786645293</v>
      </c>
      <c r="J477">
        <v>5293966779</v>
      </c>
      <c r="K477">
        <v>6020371054</v>
      </c>
      <c r="L477">
        <v>5301970142</v>
      </c>
      <c r="M477">
        <v>3581615547</v>
      </c>
      <c r="N477">
        <v>2924158460</v>
      </c>
      <c r="O477">
        <v>2733691197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582037938</v>
      </c>
      <c r="G478">
        <v>614375085</v>
      </c>
      <c r="H478">
        <v>563265364</v>
      </c>
      <c r="I478">
        <v>551593645</v>
      </c>
      <c r="J478">
        <v>569027210</v>
      </c>
      <c r="K478">
        <v>617578980</v>
      </c>
      <c r="L478">
        <v>751548181</v>
      </c>
      <c r="M478">
        <v>829008363</v>
      </c>
      <c r="N478">
        <v>796306505</v>
      </c>
      <c r="O478">
        <v>690594464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22776754019</v>
      </c>
      <c r="G479">
        <v>12921063045</v>
      </c>
      <c r="H479">
        <v>11491515948</v>
      </c>
      <c r="I479">
        <v>11087945637</v>
      </c>
      <c r="J479">
        <v>9555983953</v>
      </c>
      <c r="K479">
        <v>6753966006</v>
      </c>
      <c r="L479">
        <v>3658935286</v>
      </c>
      <c r="M479">
        <v>21540785293</v>
      </c>
      <c r="N479">
        <v>34145149647</v>
      </c>
      <c r="O479">
        <v>32390706825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246622006</v>
      </c>
      <c r="G480">
        <v>232227278</v>
      </c>
      <c r="H480">
        <v>422318299</v>
      </c>
      <c r="I480">
        <v>720586377</v>
      </c>
      <c r="J480">
        <v>791711759</v>
      </c>
      <c r="K480">
        <v>716917816</v>
      </c>
      <c r="L480">
        <v>361647306</v>
      </c>
      <c r="M480">
        <v>11933302</v>
      </c>
      <c r="N480">
        <v>80037573</v>
      </c>
      <c r="O480">
        <v>20602233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18329777052</v>
      </c>
      <c r="G481">
        <v>12446903327</v>
      </c>
      <c r="H481">
        <v>11997432322</v>
      </c>
      <c r="I481">
        <v>11897796104</v>
      </c>
      <c r="J481">
        <v>11344201470</v>
      </c>
      <c r="K481">
        <v>8139067471</v>
      </c>
      <c r="L481">
        <v>7740900662</v>
      </c>
      <c r="M481">
        <v>9268097757</v>
      </c>
      <c r="N481">
        <v>9549579116</v>
      </c>
      <c r="O481">
        <v>8248435693</v>
      </c>
      <c r="P481">
        <v>246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22236992401</v>
      </c>
      <c r="G482">
        <v>20097478839</v>
      </c>
      <c r="H482">
        <v>18438355025</v>
      </c>
      <c r="I482">
        <v>12695169014</v>
      </c>
      <c r="J482">
        <v>12220678706</v>
      </c>
      <c r="K482">
        <v>11113340676</v>
      </c>
      <c r="L482">
        <v>10873217749</v>
      </c>
      <c r="M482">
        <v>12963858075</v>
      </c>
      <c r="N482">
        <v>10070841135</v>
      </c>
      <c r="O482">
        <v>10081582857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9854901989</v>
      </c>
      <c r="G483">
        <v>9816392580</v>
      </c>
      <c r="H483">
        <v>10576101343</v>
      </c>
      <c r="I483">
        <v>11304094016</v>
      </c>
      <c r="J483">
        <v>446333580</v>
      </c>
      <c r="K483">
        <v>482309900</v>
      </c>
      <c r="L483">
        <v>690349197</v>
      </c>
      <c r="M483">
        <v>823862151</v>
      </c>
      <c r="N483">
        <v>1245902452</v>
      </c>
      <c r="O483">
        <v>436779399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13999158601</v>
      </c>
      <c r="G484">
        <v>12565044633</v>
      </c>
      <c r="H484">
        <v>12416106097</v>
      </c>
      <c r="I484">
        <v>11076032791</v>
      </c>
      <c r="J484">
        <v>10086036671</v>
      </c>
      <c r="K484">
        <v>8913936672</v>
      </c>
      <c r="L484">
        <v>9473632174</v>
      </c>
      <c r="M484">
        <v>6892562215</v>
      </c>
      <c r="N484">
        <v>5727650459</v>
      </c>
      <c r="O484">
        <v>2507204577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30879274018</v>
      </c>
      <c r="G485">
        <v>21723191630</v>
      </c>
      <c r="H485">
        <v>20612490685</v>
      </c>
      <c r="I485">
        <v>20105346230</v>
      </c>
      <c r="J485">
        <v>16756853625</v>
      </c>
      <c r="K485">
        <v>9889835074</v>
      </c>
      <c r="L485">
        <v>10555449940</v>
      </c>
      <c r="M485">
        <v>20636340515</v>
      </c>
      <c r="N485">
        <v>23195895499</v>
      </c>
      <c r="O485">
        <v>26586243665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23570714033</v>
      </c>
      <c r="G486">
        <v>20552402513</v>
      </c>
      <c r="H486">
        <v>19383573224</v>
      </c>
      <c r="I486">
        <v>17939465712</v>
      </c>
      <c r="J486">
        <v>15378645863</v>
      </c>
      <c r="K486">
        <v>12936846376</v>
      </c>
      <c r="L486">
        <v>14347273535</v>
      </c>
      <c r="M486">
        <v>16578632362</v>
      </c>
      <c r="N486">
        <v>12674149646</v>
      </c>
      <c r="O486">
        <v>14534871337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19795481200</v>
      </c>
      <c r="G487">
        <v>17862576311</v>
      </c>
      <c r="H487">
        <v>14710394330</v>
      </c>
      <c r="I487">
        <v>11052121178</v>
      </c>
      <c r="J487">
        <v>10252537178</v>
      </c>
      <c r="K487">
        <v>11991683253</v>
      </c>
      <c r="L487">
        <v>16201506739</v>
      </c>
      <c r="M487">
        <v>22031375176</v>
      </c>
      <c r="N487">
        <v>20339217873</v>
      </c>
      <c r="O487">
        <v>12383035586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30502417852</v>
      </c>
      <c r="G488">
        <v>26463994513</v>
      </c>
      <c r="H488">
        <v>23526279785</v>
      </c>
      <c r="I488">
        <v>23856487367</v>
      </c>
      <c r="J488">
        <v>23855512380</v>
      </c>
      <c r="K488">
        <v>19154527743</v>
      </c>
      <c r="L488">
        <v>10807023799</v>
      </c>
      <c r="M488">
        <v>6428273280</v>
      </c>
      <c r="N488">
        <v>5102060115</v>
      </c>
      <c r="O488">
        <v>4436159748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167952663813</v>
      </c>
      <c r="G489">
        <v>176242682223</v>
      </c>
      <c r="H489">
        <v>157030328135</v>
      </c>
      <c r="I489">
        <v>128402625696</v>
      </c>
      <c r="J489">
        <v>75310819763</v>
      </c>
      <c r="K489">
        <v>55931900959</v>
      </c>
      <c r="L489">
        <v>50976036006</v>
      </c>
      <c r="M489">
        <v>60758500923</v>
      </c>
      <c r="N489">
        <v>55261676595</v>
      </c>
      <c r="O489">
        <v>45766203362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6921505639</v>
      </c>
      <c r="G490">
        <v>4884040650</v>
      </c>
      <c r="H490">
        <v>5264207069</v>
      </c>
      <c r="I490">
        <v>5124603297</v>
      </c>
      <c r="J490">
        <v>4353827869</v>
      </c>
      <c r="K490">
        <v>3357176507</v>
      </c>
      <c r="L490">
        <v>3324688834</v>
      </c>
      <c r="M490">
        <v>3581051677</v>
      </c>
      <c r="N490">
        <v>3464443382</v>
      </c>
      <c r="O490">
        <v>2986983265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9482198752</v>
      </c>
      <c r="G491">
        <v>9150960411</v>
      </c>
      <c r="H491">
        <v>8766761076</v>
      </c>
      <c r="I491">
        <v>10283639028</v>
      </c>
      <c r="J491">
        <v>9983246172</v>
      </c>
      <c r="K491">
        <v>8364495531</v>
      </c>
      <c r="L491">
        <v>7554444251</v>
      </c>
      <c r="M491">
        <v>6283466669</v>
      </c>
      <c r="N491">
        <v>4193764317</v>
      </c>
      <c r="O491">
        <v>3035561226</v>
      </c>
      <c r="P491">
        <v>535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8931797941</v>
      </c>
      <c r="G492">
        <v>8524588604</v>
      </c>
      <c r="H492">
        <v>8509659748</v>
      </c>
      <c r="I492">
        <v>7703495046</v>
      </c>
      <c r="J492">
        <v>6343658549</v>
      </c>
      <c r="K492">
        <v>5113348861</v>
      </c>
      <c r="L492">
        <v>4451272019</v>
      </c>
      <c r="M492">
        <v>4374241957</v>
      </c>
      <c r="N492">
        <v>4362690774</v>
      </c>
      <c r="O492">
        <v>4235210610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779979507</v>
      </c>
      <c r="G493">
        <v>1065537219</v>
      </c>
      <c r="H493">
        <v>1449445468</v>
      </c>
      <c r="I493">
        <v>1700106368</v>
      </c>
      <c r="J493">
        <v>1643373662</v>
      </c>
      <c r="K493">
        <v>1437271456</v>
      </c>
      <c r="L493">
        <v>993939119</v>
      </c>
      <c r="M493">
        <v>1189795410</v>
      </c>
      <c r="N493">
        <v>1186172974</v>
      </c>
      <c r="O493">
        <v>1203072416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6062627671</v>
      </c>
      <c r="G494">
        <v>6044589372</v>
      </c>
      <c r="H494">
        <v>5304460044</v>
      </c>
      <c r="I494">
        <v>6127385118</v>
      </c>
      <c r="J494">
        <v>5100618165</v>
      </c>
      <c r="K494">
        <v>3901935660</v>
      </c>
      <c r="L494">
        <v>3488096411</v>
      </c>
      <c r="M494">
        <v>2920709571</v>
      </c>
      <c r="N494">
        <v>2501488518</v>
      </c>
      <c r="O494">
        <v>2478077313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1435167065</v>
      </c>
      <c r="G495">
        <v>1158705322</v>
      </c>
      <c r="H495">
        <v>946028497</v>
      </c>
      <c r="I495">
        <v>1025817869</v>
      </c>
      <c r="J495">
        <v>890472068</v>
      </c>
      <c r="K495">
        <v>612120962</v>
      </c>
      <c r="L495">
        <v>600160911</v>
      </c>
      <c r="M495">
        <v>730456161</v>
      </c>
      <c r="N495">
        <v>705105888</v>
      </c>
      <c r="O495">
        <v>726411498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204593681</v>
      </c>
      <c r="G496">
        <v>114219413</v>
      </c>
      <c r="H496">
        <v>318726590</v>
      </c>
      <c r="I496">
        <v>347656171</v>
      </c>
      <c r="J496">
        <v>344761791</v>
      </c>
      <c r="K496">
        <v>317116320</v>
      </c>
      <c r="L496">
        <v>305280235</v>
      </c>
      <c r="M496">
        <v>290123610</v>
      </c>
      <c r="N496">
        <v>252444072</v>
      </c>
      <c r="O496">
        <v>209139162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3346704606</v>
      </c>
      <c r="G497">
        <v>3413192886</v>
      </c>
      <c r="H497">
        <v>3361025745</v>
      </c>
      <c r="I497">
        <v>3882863179</v>
      </c>
      <c r="J497">
        <v>3807661759</v>
      </c>
      <c r="K497">
        <v>3686822776</v>
      </c>
      <c r="L497">
        <v>3302519184</v>
      </c>
      <c r="M497">
        <v>3157075076</v>
      </c>
      <c r="N497">
        <v>2784900020</v>
      </c>
      <c r="O497">
        <v>2252575487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15283365032</v>
      </c>
      <c r="G498">
        <v>8180407197</v>
      </c>
      <c r="H498">
        <v>5519071797</v>
      </c>
      <c r="I498">
        <v>11750627005</v>
      </c>
      <c r="J498">
        <v>11522004315</v>
      </c>
      <c r="K498">
        <v>13915540333</v>
      </c>
      <c r="L498">
        <v>9711599150</v>
      </c>
      <c r="M498">
        <v>9672849915</v>
      </c>
      <c r="N498">
        <v>10668323053</v>
      </c>
      <c r="O498">
        <v>11042238856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18976663581</v>
      </c>
      <c r="G499">
        <v>12516412556</v>
      </c>
      <c r="H499">
        <v>10957253462</v>
      </c>
      <c r="I499">
        <v>11000952070</v>
      </c>
      <c r="J499">
        <v>7276473810</v>
      </c>
      <c r="K499">
        <v>6802491161</v>
      </c>
      <c r="L499">
        <v>7346915175</v>
      </c>
      <c r="M499">
        <v>7715831724</v>
      </c>
      <c r="N499">
        <v>6765325336</v>
      </c>
      <c r="O499">
        <v>6111006735</v>
      </c>
      <c r="P499">
        <v>483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29205992515</v>
      </c>
      <c r="G500">
        <v>25222715966</v>
      </c>
      <c r="H500">
        <v>22563236819</v>
      </c>
      <c r="I500">
        <v>20985560398</v>
      </c>
      <c r="J500">
        <v>21672185188</v>
      </c>
      <c r="K500">
        <v>20206750930</v>
      </c>
      <c r="L500">
        <v>19373193032</v>
      </c>
      <c r="M500">
        <v>20385061873</v>
      </c>
      <c r="N500">
        <v>16290910116</v>
      </c>
      <c r="O500">
        <v>13775072506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3629374113</v>
      </c>
      <c r="G501">
        <v>3240890963</v>
      </c>
      <c r="H501">
        <v>3111306140</v>
      </c>
      <c r="I501">
        <v>3264778781</v>
      </c>
      <c r="J501">
        <v>2992414562</v>
      </c>
      <c r="K501">
        <v>3094778574</v>
      </c>
      <c r="L501">
        <v>3653774697</v>
      </c>
      <c r="M501">
        <v>5109087464</v>
      </c>
      <c r="N501">
        <v>9388556006</v>
      </c>
      <c r="O501">
        <v>13575561749</v>
      </c>
      <c r="P501">
        <v>1084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289225386</v>
      </c>
      <c r="G502">
        <v>175185778</v>
      </c>
      <c r="H502">
        <v>135872200</v>
      </c>
      <c r="I502">
        <v>283220822</v>
      </c>
      <c r="J502">
        <v>342995589</v>
      </c>
      <c r="K502">
        <v>334205135</v>
      </c>
      <c r="L502">
        <v>296193729</v>
      </c>
      <c r="M502">
        <v>186634086</v>
      </c>
      <c r="N502">
        <v>162160597</v>
      </c>
      <c r="O502">
        <v>254832842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30166805377</v>
      </c>
      <c r="G503">
        <v>27759710926</v>
      </c>
      <c r="H503">
        <v>27983760363</v>
      </c>
      <c r="I503">
        <v>26575255205</v>
      </c>
      <c r="J503">
        <v>26277051684</v>
      </c>
      <c r="K503">
        <v>26106343738</v>
      </c>
      <c r="L503">
        <v>27634686040</v>
      </c>
      <c r="M503">
        <v>29049321166</v>
      </c>
      <c r="N503">
        <v>28290978428</v>
      </c>
      <c r="O503">
        <v>25781543977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5431613647</v>
      </c>
      <c r="G504">
        <v>5972546391</v>
      </c>
      <c r="H504">
        <v>5829658546</v>
      </c>
      <c r="I504">
        <v>5701051766</v>
      </c>
      <c r="J504">
        <v>5098802144</v>
      </c>
      <c r="K504">
        <v>6613713692</v>
      </c>
      <c r="L504">
        <v>6515669221</v>
      </c>
      <c r="M504">
        <v>6862486669</v>
      </c>
      <c r="N504">
        <v>5233792977</v>
      </c>
      <c r="O504">
        <v>5555033560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4992976624</v>
      </c>
      <c r="G505">
        <v>4589218682</v>
      </c>
      <c r="H505">
        <v>4889124110</v>
      </c>
      <c r="I505">
        <v>4465559975</v>
      </c>
      <c r="J505">
        <v>4209918397</v>
      </c>
      <c r="K505">
        <v>4093837224</v>
      </c>
      <c r="L505">
        <v>2997386015</v>
      </c>
      <c r="M505">
        <v>1256315180</v>
      </c>
      <c r="N505">
        <v>1138382054</v>
      </c>
      <c r="O505">
        <v>1205727450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3317352545</v>
      </c>
      <c r="G506">
        <v>4393481241</v>
      </c>
      <c r="H506">
        <v>2869496572</v>
      </c>
      <c r="I506">
        <v>2080834325</v>
      </c>
      <c r="J506">
        <v>1100658652</v>
      </c>
      <c r="K506">
        <v>630712894</v>
      </c>
      <c r="L506">
        <v>37679057</v>
      </c>
      <c r="M506">
        <v>48804567</v>
      </c>
      <c r="N506">
        <v>46558890</v>
      </c>
      <c r="O506">
        <v>3480734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1114107381</v>
      </c>
      <c r="G507">
        <v>1202345645</v>
      </c>
      <c r="H507">
        <v>1090382410</v>
      </c>
      <c r="I507">
        <v>507856217</v>
      </c>
      <c r="J507">
        <v>2191395320</v>
      </c>
      <c r="K507">
        <v>1180138585</v>
      </c>
      <c r="L507">
        <v>991195991</v>
      </c>
      <c r="M507">
        <v>123242094</v>
      </c>
      <c r="N507">
        <v>426218179</v>
      </c>
      <c r="O507">
        <v>306194851</v>
      </c>
      <c r="P507">
        <v>137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112873790</v>
      </c>
      <c r="G508">
        <v>92585678</v>
      </c>
      <c r="H508">
        <v>120284871</v>
      </c>
      <c r="I508">
        <v>2009732395</v>
      </c>
      <c r="J508">
        <v>2473493740</v>
      </c>
      <c r="K508">
        <v>2149486399</v>
      </c>
      <c r="L508">
        <v>1842245606</v>
      </c>
      <c r="M508">
        <v>2123053816</v>
      </c>
      <c r="N508">
        <v>2194916411</v>
      </c>
      <c r="O508">
        <v>1886658909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544286361989</v>
      </c>
      <c r="G509">
        <v>455753123320</v>
      </c>
      <c r="H509">
        <v>427822706144</v>
      </c>
      <c r="I509">
        <v>348426457459</v>
      </c>
      <c r="J509">
        <v>290174152036</v>
      </c>
      <c r="K509">
        <v>247160217139</v>
      </c>
      <c r="L509">
        <v>207256594799</v>
      </c>
      <c r="M509">
        <v>110279726</v>
      </c>
      <c r="N509">
        <v>892419247</v>
      </c>
      <c r="O509">
        <v>440257059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322489392</v>
      </c>
      <c r="G510">
        <v>890608207</v>
      </c>
      <c r="H510">
        <v>1190078002</v>
      </c>
      <c r="I510">
        <v>1003914908</v>
      </c>
      <c r="J510">
        <v>470086311</v>
      </c>
      <c r="K510">
        <v>262956578</v>
      </c>
      <c r="L510">
        <v>190171632</v>
      </c>
      <c r="M510">
        <v>597004021</v>
      </c>
      <c r="N510">
        <v>222414962</v>
      </c>
      <c r="O510">
        <v>217860243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5190752269</v>
      </c>
      <c r="G511">
        <v>5457019687</v>
      </c>
      <c r="H511">
        <v>5600087503</v>
      </c>
      <c r="I511">
        <v>6145690797</v>
      </c>
      <c r="J511">
        <v>5770545976</v>
      </c>
      <c r="K511">
        <v>4801502285</v>
      </c>
      <c r="L511">
        <v>4638124331</v>
      </c>
      <c r="M511">
        <v>5146547235</v>
      </c>
      <c r="N511">
        <v>5690120526</v>
      </c>
      <c r="O511">
        <v>5048786703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1394020288</v>
      </c>
      <c r="G512">
        <v>1078940750</v>
      </c>
      <c r="H512">
        <v>199390005</v>
      </c>
      <c r="J512">
        <v>30521415</v>
      </c>
      <c r="K512">
        <v>608445275</v>
      </c>
      <c r="L512">
        <v>67167387</v>
      </c>
      <c r="M512">
        <v>69715952</v>
      </c>
      <c r="N512">
        <v>84860401</v>
      </c>
      <c r="O512">
        <v>83657157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2151309599</v>
      </c>
      <c r="G513">
        <v>2472013085</v>
      </c>
      <c r="H513">
        <v>3636517851</v>
      </c>
      <c r="I513">
        <v>3404961071</v>
      </c>
      <c r="J513">
        <v>2394296441</v>
      </c>
      <c r="K513">
        <v>3060070754</v>
      </c>
      <c r="L513">
        <v>2220277158</v>
      </c>
      <c r="M513">
        <v>2719030453</v>
      </c>
      <c r="N513">
        <v>2998407324</v>
      </c>
      <c r="O513">
        <v>2912974950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58690773414</v>
      </c>
      <c r="G514">
        <v>51721504159</v>
      </c>
      <c r="H514">
        <v>49628658013</v>
      </c>
      <c r="I514">
        <v>43784473456</v>
      </c>
      <c r="J514">
        <v>39810354440</v>
      </c>
      <c r="K514">
        <v>34963775085</v>
      </c>
      <c r="L514">
        <v>35712372882</v>
      </c>
      <c r="M514">
        <v>32835018059</v>
      </c>
      <c r="N514">
        <v>32984655674</v>
      </c>
      <c r="O514">
        <v>25553399024</v>
      </c>
      <c r="P514">
        <v>45896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2303032719</v>
      </c>
      <c r="G515">
        <v>1819006691</v>
      </c>
      <c r="H515">
        <v>1927593214</v>
      </c>
      <c r="I515">
        <v>1852905952</v>
      </c>
      <c r="J515">
        <v>1735715955</v>
      </c>
      <c r="K515">
        <v>1597867922</v>
      </c>
      <c r="L515">
        <v>1592912489</v>
      </c>
      <c r="M515">
        <v>1293713331</v>
      </c>
      <c r="N515">
        <v>929184150</v>
      </c>
      <c r="O515">
        <v>153999261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80652653</v>
      </c>
      <c r="H516">
        <v>1642897881</v>
      </c>
      <c r="I516">
        <v>2147271409</v>
      </c>
      <c r="J516">
        <v>2003671766</v>
      </c>
      <c r="K516">
        <v>2326799646</v>
      </c>
      <c r="L516">
        <v>1716567052</v>
      </c>
      <c r="M516">
        <v>1270003770</v>
      </c>
      <c r="N516">
        <v>1285430308</v>
      </c>
      <c r="O516">
        <v>1062928618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158471358</v>
      </c>
      <c r="G517">
        <v>59936149</v>
      </c>
      <c r="H517">
        <v>66184877</v>
      </c>
      <c r="I517">
        <v>83306296</v>
      </c>
      <c r="J517">
        <v>94506127</v>
      </c>
      <c r="K517">
        <v>105305624</v>
      </c>
      <c r="L517">
        <v>81839958</v>
      </c>
      <c r="M517">
        <v>70543182</v>
      </c>
      <c r="N517">
        <v>76590860</v>
      </c>
      <c r="O517">
        <v>23383766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649379399</v>
      </c>
      <c r="G518">
        <v>607888025</v>
      </c>
      <c r="H518">
        <v>944076873</v>
      </c>
      <c r="I518">
        <v>898471821</v>
      </c>
      <c r="J518">
        <v>986933448</v>
      </c>
      <c r="K518">
        <v>1075404794</v>
      </c>
      <c r="L518">
        <v>1067215021</v>
      </c>
      <c r="M518">
        <v>941548526</v>
      </c>
      <c r="N518">
        <v>1025854991</v>
      </c>
      <c r="O518">
        <v>951180161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12607623861</v>
      </c>
      <c r="G519">
        <v>10353839742</v>
      </c>
      <c r="H519">
        <v>10901262773</v>
      </c>
      <c r="I519">
        <v>11139069642</v>
      </c>
      <c r="J519">
        <v>9651162060</v>
      </c>
      <c r="K519">
        <v>6980184215</v>
      </c>
      <c r="L519">
        <v>6764411646</v>
      </c>
      <c r="M519">
        <v>5502860839</v>
      </c>
      <c r="N519">
        <v>4393409221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6664189491</v>
      </c>
      <c r="G520">
        <v>4888662507</v>
      </c>
      <c r="H520">
        <v>6463773437</v>
      </c>
      <c r="I520">
        <v>7170638042</v>
      </c>
      <c r="J520">
        <v>7226746075</v>
      </c>
      <c r="K520">
        <v>6754397062</v>
      </c>
      <c r="L520">
        <v>6170874224</v>
      </c>
      <c r="M520">
        <v>7015409268</v>
      </c>
      <c r="N520">
        <v>6974211655</v>
      </c>
      <c r="O520">
        <v>6340883650</v>
      </c>
      <c r="P520">
        <v>252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15768789533</v>
      </c>
      <c r="G521">
        <v>11072523483</v>
      </c>
      <c r="H521">
        <v>12140214214</v>
      </c>
      <c r="I521">
        <v>11708311339</v>
      </c>
      <c r="J521">
        <v>10446775442</v>
      </c>
      <c r="K521">
        <v>7383730556</v>
      </c>
      <c r="L521">
        <v>5896255780</v>
      </c>
      <c r="M521">
        <v>6808447171</v>
      </c>
      <c r="N521">
        <v>6621619554</v>
      </c>
      <c r="O521">
        <v>6772965870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41817567</v>
      </c>
      <c r="G522">
        <v>36885944</v>
      </c>
      <c r="H522">
        <v>49452622</v>
      </c>
      <c r="I522">
        <v>48815792</v>
      </c>
      <c r="J522">
        <v>51207881</v>
      </c>
      <c r="K522">
        <v>48398372</v>
      </c>
      <c r="L522">
        <v>44637286</v>
      </c>
      <c r="M522">
        <v>36814048</v>
      </c>
      <c r="N522">
        <v>36262892</v>
      </c>
      <c r="O522">
        <v>53318998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130326641</v>
      </c>
      <c r="G523">
        <v>153740210</v>
      </c>
      <c r="H523">
        <v>146867529</v>
      </c>
      <c r="I523">
        <v>114678645</v>
      </c>
      <c r="J523">
        <v>2225647735</v>
      </c>
      <c r="K523">
        <v>609343268</v>
      </c>
      <c r="L523">
        <v>365338046</v>
      </c>
      <c r="M523">
        <v>597387036</v>
      </c>
      <c r="N523">
        <v>1116827781</v>
      </c>
      <c r="O523">
        <v>945337698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4094561570</v>
      </c>
      <c r="G524">
        <v>3937361887</v>
      </c>
      <c r="H524">
        <v>4820587378</v>
      </c>
      <c r="I524">
        <v>4757689007</v>
      </c>
      <c r="J524">
        <v>3083306575</v>
      </c>
      <c r="K524">
        <v>2363561341</v>
      </c>
      <c r="L524">
        <v>2095542399</v>
      </c>
      <c r="M524">
        <v>1637371484</v>
      </c>
      <c r="N524">
        <v>1899485253</v>
      </c>
      <c r="O524">
        <v>2116823349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39691837447</v>
      </c>
      <c r="G525">
        <v>28126764595</v>
      </c>
      <c r="H525">
        <v>37526046316</v>
      </c>
      <c r="I525">
        <v>44239691128</v>
      </c>
      <c r="J525">
        <v>43553292863</v>
      </c>
      <c r="K525">
        <v>40915348868</v>
      </c>
      <c r="L525">
        <v>40616311305</v>
      </c>
      <c r="M525">
        <v>14730564912</v>
      </c>
      <c r="N525">
        <v>14332182275</v>
      </c>
      <c r="O525">
        <v>12101579585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1041335675</v>
      </c>
      <c r="G526">
        <v>940327547</v>
      </c>
      <c r="H526">
        <v>1399901826</v>
      </c>
      <c r="I526">
        <v>1008222677</v>
      </c>
      <c r="J526">
        <v>735729241</v>
      </c>
      <c r="K526">
        <v>671241850</v>
      </c>
      <c r="L526">
        <v>717652850</v>
      </c>
      <c r="M526">
        <v>1007897796</v>
      </c>
      <c r="N526">
        <v>951654621</v>
      </c>
      <c r="O526">
        <v>867237413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83764337.340000004</v>
      </c>
      <c r="L527">
        <v>49120717.700000003</v>
      </c>
      <c r="M527">
        <v>39492086.869999997</v>
      </c>
      <c r="N527">
        <v>16305670.289999999</v>
      </c>
      <c r="O527">
        <v>14198934.800000001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10550411186</v>
      </c>
      <c r="G528">
        <v>10823971875</v>
      </c>
      <c r="H528">
        <v>14696910392</v>
      </c>
      <c r="I528">
        <v>16331011948</v>
      </c>
      <c r="J528">
        <v>11125998826</v>
      </c>
      <c r="K528">
        <v>8675120930</v>
      </c>
      <c r="L528">
        <v>7706249375</v>
      </c>
      <c r="M528">
        <v>7018071121</v>
      </c>
      <c r="N528">
        <v>6951127793</v>
      </c>
      <c r="O528">
        <v>6817471229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1165547344</v>
      </c>
      <c r="G529">
        <v>1046225263</v>
      </c>
      <c r="H529">
        <v>1653194104</v>
      </c>
      <c r="I529">
        <v>2776127960</v>
      </c>
      <c r="J529">
        <v>3022490639</v>
      </c>
      <c r="K529">
        <v>3018447073</v>
      </c>
      <c r="L529">
        <v>3114149957</v>
      </c>
      <c r="M529">
        <v>3332628320</v>
      </c>
      <c r="N529">
        <v>3450319696</v>
      </c>
      <c r="O529">
        <v>3547821336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9054782998</v>
      </c>
      <c r="G530">
        <v>8613733533</v>
      </c>
      <c r="H530">
        <v>7170891183</v>
      </c>
      <c r="I530">
        <v>5958919917</v>
      </c>
      <c r="J530">
        <v>5289745003</v>
      </c>
      <c r="K530">
        <v>4550810980</v>
      </c>
      <c r="L530">
        <v>4267801856</v>
      </c>
      <c r="M530">
        <v>484979558</v>
      </c>
      <c r="N530">
        <v>380846592</v>
      </c>
      <c r="O530">
        <v>524760357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2949499275</v>
      </c>
      <c r="G531">
        <v>3254042817</v>
      </c>
      <c r="H531">
        <v>4094571610</v>
      </c>
      <c r="I531">
        <v>4362266119</v>
      </c>
      <c r="J531">
        <v>4421910430</v>
      </c>
      <c r="K531">
        <v>4249983113</v>
      </c>
      <c r="L531">
        <v>4263316383</v>
      </c>
      <c r="M531">
        <v>4127261772</v>
      </c>
      <c r="N531">
        <v>4189144332</v>
      </c>
      <c r="O531">
        <v>4723844886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51925976560.879997</v>
      </c>
      <c r="O532">
        <v>49262865666.589996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3063942902</v>
      </c>
      <c r="G533">
        <v>3538782258</v>
      </c>
      <c r="H533">
        <v>2827311232</v>
      </c>
      <c r="I533">
        <v>1909916700</v>
      </c>
      <c r="J533">
        <v>1626620618</v>
      </c>
      <c r="K533">
        <v>3549931790</v>
      </c>
      <c r="L533">
        <v>3457549775</v>
      </c>
      <c r="M533">
        <v>3065947293</v>
      </c>
      <c r="N533">
        <v>2355749206</v>
      </c>
      <c r="O533">
        <v>1437957164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239101717</v>
      </c>
      <c r="H534">
        <v>960299716</v>
      </c>
      <c r="I534">
        <v>822793101</v>
      </c>
      <c r="J534">
        <v>805565930</v>
      </c>
      <c r="K534">
        <v>2341476528</v>
      </c>
      <c r="L534">
        <v>1841061558</v>
      </c>
      <c r="M534">
        <v>2823268612</v>
      </c>
      <c r="N534">
        <v>3552481661</v>
      </c>
      <c r="O534">
        <v>33660442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5417593980</v>
      </c>
      <c r="G535">
        <v>4783236756</v>
      </c>
      <c r="H535">
        <v>5459799899</v>
      </c>
      <c r="I535">
        <v>4941709870</v>
      </c>
      <c r="J535">
        <v>4602108249</v>
      </c>
      <c r="K535">
        <v>4443469618</v>
      </c>
      <c r="L535">
        <v>4520835520</v>
      </c>
      <c r="M535">
        <v>4131042597</v>
      </c>
      <c r="N535">
        <v>3874092863</v>
      </c>
      <c r="O535">
        <v>3666048738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444449331</v>
      </c>
      <c r="G536">
        <v>699393006</v>
      </c>
      <c r="H536">
        <v>1248220506</v>
      </c>
      <c r="I536">
        <v>1663578476</v>
      </c>
      <c r="J536">
        <v>5243370096</v>
      </c>
      <c r="K536">
        <v>4737092181</v>
      </c>
      <c r="L536">
        <v>3571190564</v>
      </c>
      <c r="M536">
        <v>3939933114</v>
      </c>
      <c r="N536">
        <v>3286678585</v>
      </c>
      <c r="O536">
        <v>3288333802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9069176153</v>
      </c>
      <c r="G537">
        <v>10033351988</v>
      </c>
      <c r="H537">
        <v>12344599979</v>
      </c>
      <c r="I537">
        <v>13633677575</v>
      </c>
      <c r="J537">
        <v>16261159464</v>
      </c>
      <c r="K537">
        <v>19445486379</v>
      </c>
      <c r="L537">
        <v>18529714923</v>
      </c>
      <c r="M537">
        <v>2977815723</v>
      </c>
      <c r="N537">
        <v>2637350919</v>
      </c>
      <c r="O537">
        <v>2027748375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3586081119</v>
      </c>
      <c r="G538">
        <v>1194129801</v>
      </c>
      <c r="H538">
        <v>1276105232</v>
      </c>
      <c r="I538">
        <v>1066328392</v>
      </c>
      <c r="J538">
        <v>1777590446</v>
      </c>
      <c r="K538">
        <v>1134139264</v>
      </c>
      <c r="L538">
        <v>1194441298</v>
      </c>
      <c r="M538">
        <v>1011787799</v>
      </c>
      <c r="N538">
        <v>828801849</v>
      </c>
      <c r="O538">
        <v>1033856388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4617151586</v>
      </c>
      <c r="G539">
        <v>3593224863</v>
      </c>
      <c r="H539">
        <v>3352382771</v>
      </c>
      <c r="I539">
        <v>2761458410</v>
      </c>
      <c r="J539">
        <v>1673825792</v>
      </c>
      <c r="K539">
        <v>1469317317</v>
      </c>
      <c r="L539">
        <v>1499644056</v>
      </c>
      <c r="M539">
        <v>1914250968</v>
      </c>
      <c r="N539">
        <v>1428656543</v>
      </c>
      <c r="O539">
        <v>1122232060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4610932482</v>
      </c>
      <c r="G540">
        <v>4449226016</v>
      </c>
      <c r="H540">
        <v>4178346153</v>
      </c>
      <c r="I540">
        <v>4546695902</v>
      </c>
      <c r="J540">
        <v>5565621971</v>
      </c>
      <c r="K540">
        <v>2558897733</v>
      </c>
      <c r="L540">
        <v>3380989056</v>
      </c>
      <c r="M540">
        <v>2381274199</v>
      </c>
      <c r="N540">
        <v>1865819060</v>
      </c>
      <c r="O540">
        <v>1939291054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879907257</v>
      </c>
      <c r="G541">
        <v>931490072</v>
      </c>
      <c r="H541">
        <v>1868828741</v>
      </c>
      <c r="I541">
        <v>2679293696</v>
      </c>
      <c r="J541">
        <v>2096261941</v>
      </c>
      <c r="K541">
        <v>3188399434</v>
      </c>
      <c r="L541">
        <v>2437645224</v>
      </c>
      <c r="M541">
        <v>1825900473</v>
      </c>
      <c r="N541">
        <v>1827592861</v>
      </c>
      <c r="O541">
        <v>1202738375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25312773857</v>
      </c>
      <c r="G542">
        <v>19708858717</v>
      </c>
      <c r="H542">
        <v>38841303799</v>
      </c>
      <c r="I542">
        <v>36221254583</v>
      </c>
      <c r="J542">
        <v>32404021552</v>
      </c>
      <c r="K542">
        <v>27758852241</v>
      </c>
      <c r="L542">
        <v>28648928420</v>
      </c>
      <c r="M542">
        <v>25407407815</v>
      </c>
      <c r="N542">
        <v>25745396760</v>
      </c>
      <c r="O542">
        <v>24117987423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1912862373</v>
      </c>
      <c r="G543">
        <v>1778164028</v>
      </c>
      <c r="H543">
        <v>1698484604</v>
      </c>
      <c r="I543">
        <v>948433246</v>
      </c>
      <c r="J543">
        <v>670697957</v>
      </c>
      <c r="K543">
        <v>531711753</v>
      </c>
      <c r="L543">
        <v>360242168</v>
      </c>
      <c r="M543">
        <v>351914102</v>
      </c>
      <c r="N543">
        <v>178238165</v>
      </c>
      <c r="O543">
        <v>239340922</v>
      </c>
      <c r="P543">
        <v>343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2571148042</v>
      </c>
      <c r="G544">
        <v>2291204881</v>
      </c>
      <c r="H544">
        <v>2223199937</v>
      </c>
      <c r="I544">
        <v>2170337886</v>
      </c>
      <c r="J544">
        <v>2058912586</v>
      </c>
      <c r="K544">
        <v>1905600653</v>
      </c>
      <c r="L544">
        <v>1654917370</v>
      </c>
      <c r="M544">
        <v>1539810297</v>
      </c>
      <c r="N544">
        <v>1462704163</v>
      </c>
      <c r="O544">
        <v>1450153847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1535328654</v>
      </c>
      <c r="G545">
        <v>1318893856</v>
      </c>
      <c r="H545">
        <v>1386778848</v>
      </c>
      <c r="I545">
        <v>1320517677</v>
      </c>
      <c r="J545">
        <v>870913498</v>
      </c>
      <c r="K545">
        <v>837900550</v>
      </c>
      <c r="L545">
        <v>708994856</v>
      </c>
      <c r="M545">
        <v>476864594</v>
      </c>
      <c r="N545">
        <v>361309763</v>
      </c>
      <c r="O545">
        <v>300342740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L546">
        <v>495145.63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97252902</v>
      </c>
      <c r="G547">
        <v>239192452</v>
      </c>
      <c r="H547">
        <v>15932952</v>
      </c>
      <c r="I547">
        <v>20396702</v>
      </c>
      <c r="J547">
        <v>23686747</v>
      </c>
      <c r="K547">
        <v>75600127</v>
      </c>
      <c r="L547">
        <v>99897743</v>
      </c>
      <c r="M547">
        <v>128168157</v>
      </c>
      <c r="N547">
        <v>252915804</v>
      </c>
      <c r="O547">
        <v>250765718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8743501779</v>
      </c>
      <c r="G548">
        <v>10150712183</v>
      </c>
      <c r="H548">
        <v>8940850712</v>
      </c>
      <c r="I548">
        <v>7710830473</v>
      </c>
      <c r="J548">
        <v>8953567421</v>
      </c>
      <c r="K548">
        <v>8657113972</v>
      </c>
      <c r="L548">
        <v>7894846029</v>
      </c>
      <c r="M548">
        <v>7761134250</v>
      </c>
      <c r="N548">
        <v>7060623308</v>
      </c>
      <c r="O548">
        <v>7304337453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9193004447</v>
      </c>
      <c r="G549">
        <v>6564925813</v>
      </c>
      <c r="H549">
        <v>3643588699</v>
      </c>
      <c r="I549">
        <v>6902607282</v>
      </c>
      <c r="J549">
        <v>3215164135</v>
      </c>
      <c r="K549">
        <v>9476525737</v>
      </c>
      <c r="L549">
        <v>7976945369</v>
      </c>
      <c r="M549">
        <v>4930737787</v>
      </c>
      <c r="N549">
        <v>3516597896</v>
      </c>
      <c r="O549">
        <v>5038762206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2714658661</v>
      </c>
      <c r="G550">
        <v>2661982188</v>
      </c>
      <c r="H550">
        <v>2541805662</v>
      </c>
      <c r="I550">
        <v>2435409241</v>
      </c>
      <c r="J550">
        <v>2368745860</v>
      </c>
      <c r="K550">
        <v>2356275248</v>
      </c>
      <c r="L550">
        <v>2192111458</v>
      </c>
      <c r="M550">
        <v>2182159927</v>
      </c>
      <c r="N550">
        <v>2088591803</v>
      </c>
      <c r="O550">
        <v>2025515174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4571482653</v>
      </c>
      <c r="G551">
        <v>4433482130</v>
      </c>
      <c r="H551">
        <v>2927532126</v>
      </c>
      <c r="I551">
        <v>3302144019</v>
      </c>
      <c r="J551">
        <v>5444845625</v>
      </c>
      <c r="K551">
        <v>7177952084</v>
      </c>
      <c r="L551">
        <v>5071811169</v>
      </c>
      <c r="M551">
        <v>2134146877</v>
      </c>
      <c r="N551">
        <v>2142418351</v>
      </c>
      <c r="O551">
        <v>2014042616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15827348</v>
      </c>
      <c r="G552">
        <v>12341623</v>
      </c>
      <c r="H552">
        <v>166821754</v>
      </c>
      <c r="I552">
        <v>84639705</v>
      </c>
      <c r="J552">
        <v>176554239</v>
      </c>
      <c r="K552">
        <v>308092969</v>
      </c>
      <c r="L552">
        <v>1420477028</v>
      </c>
      <c r="M552">
        <v>1675238157</v>
      </c>
      <c r="N552">
        <v>1857810141</v>
      </c>
      <c r="O552">
        <v>2129602810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7097882961</v>
      </c>
      <c r="G553">
        <v>6898070442</v>
      </c>
      <c r="H553">
        <v>7358844181</v>
      </c>
      <c r="I553">
        <v>7146148923</v>
      </c>
      <c r="J553">
        <v>5802474689</v>
      </c>
      <c r="K553">
        <v>8743919204</v>
      </c>
      <c r="L553">
        <v>7152350269</v>
      </c>
      <c r="M553">
        <v>6299646708</v>
      </c>
      <c r="N553">
        <v>9205828133</v>
      </c>
      <c r="O553">
        <v>13154688288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2519991125</v>
      </c>
      <c r="G554">
        <v>3014328624</v>
      </c>
      <c r="H554">
        <v>2893998292</v>
      </c>
      <c r="I554">
        <v>3626490673</v>
      </c>
      <c r="J554">
        <v>2969164708</v>
      </c>
      <c r="K554">
        <v>3484994653</v>
      </c>
      <c r="L554">
        <v>1976164283</v>
      </c>
      <c r="M554">
        <v>1155598595</v>
      </c>
      <c r="N554">
        <v>2103789679</v>
      </c>
      <c r="O554">
        <v>2019670054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51063108950</v>
      </c>
      <c r="G555">
        <v>44050759629</v>
      </c>
      <c r="H555">
        <v>42912228078</v>
      </c>
      <c r="I555">
        <v>33777196692</v>
      </c>
      <c r="J555">
        <v>17111246827</v>
      </c>
      <c r="K555">
        <v>15643053237</v>
      </c>
      <c r="L555">
        <v>17551480428</v>
      </c>
      <c r="M555">
        <v>19152893460</v>
      </c>
      <c r="N555">
        <v>22522773896</v>
      </c>
      <c r="O555">
        <v>20297704083</v>
      </c>
      <c r="P555">
        <v>411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M556">
        <v>48662589.159999996</v>
      </c>
      <c r="N556">
        <v>253509950.05000001</v>
      </c>
      <c r="O556">
        <v>191224852.28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22105282753</v>
      </c>
      <c r="G557">
        <v>25863802944</v>
      </c>
      <c r="H557">
        <v>19478393075</v>
      </c>
      <c r="I557">
        <v>18754066657</v>
      </c>
      <c r="J557">
        <v>15216048901</v>
      </c>
      <c r="K557">
        <v>11570681956</v>
      </c>
      <c r="L557">
        <v>8135592909</v>
      </c>
      <c r="M557">
        <v>4850493792</v>
      </c>
      <c r="N557">
        <v>4479506485</v>
      </c>
      <c r="O557">
        <v>4007250369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1964529766</v>
      </c>
      <c r="G558">
        <v>3770452733</v>
      </c>
      <c r="H558">
        <v>1824873689</v>
      </c>
      <c r="I558">
        <v>2234443752</v>
      </c>
      <c r="J558">
        <v>2133974600</v>
      </c>
      <c r="K558">
        <v>1515539038</v>
      </c>
      <c r="L558">
        <v>1740500133</v>
      </c>
      <c r="M558">
        <v>1381632113</v>
      </c>
      <c r="N558">
        <v>1469977504</v>
      </c>
      <c r="O558">
        <v>1398668117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23603063361</v>
      </c>
      <c r="G559">
        <v>19906593468</v>
      </c>
      <c r="H559">
        <v>21103877523</v>
      </c>
      <c r="I559">
        <v>20224985720</v>
      </c>
      <c r="J559">
        <v>18715608755</v>
      </c>
      <c r="K559">
        <v>16621336273</v>
      </c>
      <c r="L559">
        <v>13573495055</v>
      </c>
      <c r="M559">
        <v>12928181657</v>
      </c>
      <c r="N559">
        <v>11501209769</v>
      </c>
      <c r="O559">
        <v>10247391495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1587456925</v>
      </c>
      <c r="G560">
        <v>1808927140</v>
      </c>
      <c r="H560">
        <v>2391323311</v>
      </c>
      <c r="I560">
        <v>2095460895</v>
      </c>
      <c r="J560">
        <v>1723561602</v>
      </c>
      <c r="K560">
        <v>1389755109</v>
      </c>
      <c r="L560">
        <v>1165203305</v>
      </c>
      <c r="M560">
        <v>1165602169</v>
      </c>
      <c r="N560">
        <v>565183900</v>
      </c>
      <c r="O560">
        <v>498988662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11453924631</v>
      </c>
      <c r="G561">
        <v>2701061162</v>
      </c>
      <c r="H561">
        <v>3836303756</v>
      </c>
      <c r="I561">
        <v>4093788370</v>
      </c>
      <c r="J561">
        <v>4077559849</v>
      </c>
      <c r="K561">
        <v>5004540975</v>
      </c>
      <c r="L561">
        <v>4723286942</v>
      </c>
      <c r="M561">
        <v>4555682269</v>
      </c>
      <c r="N561">
        <v>4055261557</v>
      </c>
      <c r="O561">
        <v>3813947197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13872042792</v>
      </c>
      <c r="G562">
        <v>14474727210</v>
      </c>
      <c r="H562">
        <v>14772938776</v>
      </c>
      <c r="I562">
        <v>12638769562</v>
      </c>
      <c r="J562">
        <v>9324593808</v>
      </c>
      <c r="K562">
        <v>12807148076</v>
      </c>
      <c r="L562">
        <v>5631357903</v>
      </c>
      <c r="M562">
        <v>5116898755</v>
      </c>
      <c r="N562">
        <v>4509699163</v>
      </c>
      <c r="O562">
        <v>3492086592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12802015553</v>
      </c>
      <c r="G563">
        <v>10788456549</v>
      </c>
      <c r="H563">
        <v>11824561675</v>
      </c>
      <c r="I563">
        <v>10813613595</v>
      </c>
      <c r="J563">
        <v>12017531251</v>
      </c>
      <c r="K563">
        <v>14126885955</v>
      </c>
      <c r="L563">
        <v>15856207779</v>
      </c>
      <c r="M563">
        <v>16508912526</v>
      </c>
      <c r="N563">
        <v>18091934502</v>
      </c>
      <c r="O563">
        <v>17662946864</v>
      </c>
      <c r="P563">
        <v>498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6941947174</v>
      </c>
      <c r="G564">
        <v>5303654894</v>
      </c>
      <c r="H564">
        <v>5591345603</v>
      </c>
      <c r="I564">
        <v>5267051915</v>
      </c>
      <c r="J564">
        <v>3954709078</v>
      </c>
      <c r="K564">
        <v>3725077292</v>
      </c>
      <c r="L564">
        <v>2974534932</v>
      </c>
      <c r="M564">
        <v>3217465603</v>
      </c>
      <c r="N564">
        <v>2692864549</v>
      </c>
      <c r="O564">
        <v>2267482428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699693403</v>
      </c>
      <c r="G565">
        <v>519555616</v>
      </c>
      <c r="H565">
        <v>729804452</v>
      </c>
      <c r="I565">
        <v>1119658542</v>
      </c>
      <c r="J565">
        <v>1183798377</v>
      </c>
      <c r="K565">
        <v>1314466043</v>
      </c>
      <c r="L565">
        <v>1150836949</v>
      </c>
      <c r="M565">
        <v>1401720586</v>
      </c>
      <c r="N565">
        <v>1326950813</v>
      </c>
      <c r="O565">
        <v>1205098865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24289081475</v>
      </c>
      <c r="G566">
        <v>17846280756</v>
      </c>
      <c r="H566">
        <v>16917427444</v>
      </c>
      <c r="I566">
        <v>15651965830</v>
      </c>
      <c r="J566">
        <v>12033819449</v>
      </c>
      <c r="K566">
        <v>9616175275</v>
      </c>
      <c r="L566">
        <v>4395640377</v>
      </c>
      <c r="M566">
        <v>4202884988</v>
      </c>
      <c r="N566">
        <v>3973316963</v>
      </c>
      <c r="O566">
        <v>4156965998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3805038118</v>
      </c>
      <c r="G567">
        <v>3247472717</v>
      </c>
      <c r="H567">
        <v>3547537609</v>
      </c>
      <c r="I567">
        <v>3362215307</v>
      </c>
      <c r="J567">
        <v>2826567157</v>
      </c>
      <c r="K567">
        <v>2379125889</v>
      </c>
      <c r="L567">
        <v>2258534486</v>
      </c>
      <c r="M567">
        <v>2256999844</v>
      </c>
      <c r="N567">
        <v>2151398559</v>
      </c>
      <c r="O567">
        <v>1649095454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L568">
        <v>75000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53706892.789999999</v>
      </c>
      <c r="L569">
        <v>14728205.140000001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147069186</v>
      </c>
      <c r="G570">
        <v>206627323</v>
      </c>
      <c r="H570">
        <v>297072375</v>
      </c>
      <c r="I570">
        <v>358470847</v>
      </c>
      <c r="J570">
        <v>176382788</v>
      </c>
      <c r="K570">
        <v>123725458</v>
      </c>
      <c r="L570">
        <v>94765833</v>
      </c>
      <c r="M570">
        <v>148727339</v>
      </c>
      <c r="N570">
        <v>281468861</v>
      </c>
      <c r="O570">
        <v>229078895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392097081.81999999</v>
      </c>
      <c r="L571">
        <v>255517816.91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12797806210</v>
      </c>
      <c r="G572">
        <v>10370617537</v>
      </c>
      <c r="H572">
        <v>14767210575</v>
      </c>
      <c r="I572">
        <v>11680243726</v>
      </c>
      <c r="J572">
        <v>7411903533</v>
      </c>
      <c r="K572">
        <v>5102256828</v>
      </c>
      <c r="L572">
        <v>4686040422</v>
      </c>
      <c r="M572">
        <v>5112354105</v>
      </c>
      <c r="N572">
        <v>4854543506</v>
      </c>
      <c r="O572">
        <v>4415010665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1263333301</v>
      </c>
      <c r="G573">
        <v>1031120303</v>
      </c>
      <c r="H573">
        <v>838331604</v>
      </c>
      <c r="I573">
        <v>863551853</v>
      </c>
      <c r="J573">
        <v>799598976</v>
      </c>
      <c r="K573">
        <v>1001295095</v>
      </c>
      <c r="L573">
        <v>1116591871</v>
      </c>
      <c r="M573">
        <v>1102774517</v>
      </c>
      <c r="N573">
        <v>1148091864</v>
      </c>
      <c r="O573">
        <v>1137124628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9596898644</v>
      </c>
      <c r="G574">
        <v>11552089318</v>
      </c>
      <c r="H574">
        <v>13281729839</v>
      </c>
      <c r="I574">
        <v>19285847784</v>
      </c>
      <c r="J574">
        <v>7658970285</v>
      </c>
      <c r="K574">
        <v>14196754201</v>
      </c>
      <c r="L574">
        <v>4654468865</v>
      </c>
      <c r="M574">
        <v>4415231581</v>
      </c>
      <c r="N574">
        <v>6757943092</v>
      </c>
      <c r="O574">
        <v>3583397504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7509882036</v>
      </c>
      <c r="G575">
        <v>7770320857</v>
      </c>
      <c r="H575">
        <v>8696352001</v>
      </c>
      <c r="I575">
        <v>9669446641</v>
      </c>
      <c r="J575">
        <v>9315052546</v>
      </c>
      <c r="K575">
        <v>8464823383</v>
      </c>
      <c r="L575">
        <v>8210929560</v>
      </c>
      <c r="M575">
        <v>8935485265</v>
      </c>
      <c r="N575">
        <v>8381284626</v>
      </c>
      <c r="O575">
        <v>7859173146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H576">
        <v>4064446292</v>
      </c>
      <c r="I576">
        <v>9695639268</v>
      </c>
      <c r="J576">
        <v>7825526267</v>
      </c>
      <c r="K576">
        <v>8413974839</v>
      </c>
      <c r="L576">
        <v>6025389393</v>
      </c>
      <c r="M576">
        <v>7048598102</v>
      </c>
      <c r="N576">
        <v>8655676863</v>
      </c>
      <c r="O576">
        <v>9170465909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373009529</v>
      </c>
      <c r="G577">
        <v>259590285</v>
      </c>
      <c r="H577">
        <v>295122306</v>
      </c>
      <c r="I577">
        <v>424025302</v>
      </c>
      <c r="J577">
        <v>184964515</v>
      </c>
      <c r="K577">
        <v>88876689</v>
      </c>
      <c r="L577">
        <v>52724174</v>
      </c>
      <c r="M577">
        <v>54244826</v>
      </c>
      <c r="N577">
        <v>32485008</v>
      </c>
      <c r="O577">
        <v>12135840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2057906333</v>
      </c>
      <c r="G578">
        <v>1375720348</v>
      </c>
      <c r="H578">
        <v>974891149</v>
      </c>
      <c r="I578">
        <v>761521416</v>
      </c>
      <c r="J578">
        <v>1428081359</v>
      </c>
      <c r="K578">
        <v>630134223</v>
      </c>
      <c r="L578">
        <v>460749422</v>
      </c>
      <c r="M578">
        <v>609412374</v>
      </c>
      <c r="N578">
        <v>708571913</v>
      </c>
      <c r="O578">
        <v>799457719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207422009</v>
      </c>
      <c r="I579">
        <v>258316581</v>
      </c>
      <c r="J579">
        <v>640309393</v>
      </c>
      <c r="K579">
        <v>699286724</v>
      </c>
      <c r="L579">
        <v>1255462981.8299999</v>
      </c>
      <c r="M579">
        <v>1786920772.8699999</v>
      </c>
      <c r="N579">
        <v>1725504795.6300001</v>
      </c>
      <c r="O579">
        <v>1265917008.1800001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4624583854</v>
      </c>
      <c r="G580">
        <v>4295772505</v>
      </c>
      <c r="H580">
        <v>4881558893</v>
      </c>
      <c r="I580">
        <v>4752571156</v>
      </c>
      <c r="J580">
        <v>2972300083</v>
      </c>
      <c r="K580">
        <v>1719884685</v>
      </c>
      <c r="L580">
        <v>17726441</v>
      </c>
      <c r="M580">
        <v>59879191</v>
      </c>
      <c r="N580">
        <v>78247095</v>
      </c>
      <c r="O580">
        <v>86113544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6176747461</v>
      </c>
      <c r="G581">
        <v>5656903987</v>
      </c>
      <c r="H581">
        <v>9501849859</v>
      </c>
      <c r="I581">
        <v>14541230534</v>
      </c>
      <c r="J581">
        <v>17960355449</v>
      </c>
      <c r="K581">
        <v>16275691528</v>
      </c>
      <c r="L581">
        <v>15852945244</v>
      </c>
      <c r="M581">
        <v>7825228126</v>
      </c>
      <c r="N581">
        <v>3353360190</v>
      </c>
      <c r="O581">
        <v>2850131335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6765910303</v>
      </c>
      <c r="G582">
        <v>8864424166</v>
      </c>
      <c r="H582">
        <v>4327692678</v>
      </c>
      <c r="I582">
        <v>7974908474</v>
      </c>
      <c r="J582">
        <v>6217396049</v>
      </c>
      <c r="K582">
        <v>5921862182</v>
      </c>
      <c r="L582">
        <v>8436076254</v>
      </c>
      <c r="M582">
        <v>3486173374</v>
      </c>
      <c r="N582">
        <v>996274666</v>
      </c>
      <c r="O582">
        <v>1122229886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3607314013</v>
      </c>
      <c r="G583">
        <v>2475053555</v>
      </c>
      <c r="H583">
        <v>2947846259</v>
      </c>
      <c r="I583">
        <v>3404521940</v>
      </c>
      <c r="J583">
        <v>4239854137</v>
      </c>
      <c r="K583">
        <v>4101031345</v>
      </c>
      <c r="L583">
        <v>3329131392</v>
      </c>
      <c r="M583">
        <v>2130350282</v>
      </c>
      <c r="N583">
        <v>2337059069</v>
      </c>
      <c r="O583">
        <v>1797185026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11671593523</v>
      </c>
      <c r="G584">
        <v>11608460727</v>
      </c>
      <c r="H584">
        <v>21829002964</v>
      </c>
      <c r="I584">
        <v>19213596394</v>
      </c>
      <c r="J584">
        <v>22313381938</v>
      </c>
      <c r="K584">
        <v>23349604898</v>
      </c>
      <c r="L584">
        <v>25519239791</v>
      </c>
      <c r="M584">
        <v>9530740882</v>
      </c>
      <c r="N584">
        <v>4166071986</v>
      </c>
      <c r="O584">
        <v>6424083364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15418415895</v>
      </c>
      <c r="G585">
        <v>13957873917</v>
      </c>
      <c r="H585">
        <v>17890590953</v>
      </c>
      <c r="I585">
        <v>18290515128</v>
      </c>
      <c r="J585">
        <v>17736084000</v>
      </c>
      <c r="K585">
        <v>21827961682</v>
      </c>
      <c r="L585">
        <v>26834901328</v>
      </c>
      <c r="M585">
        <v>21431027531</v>
      </c>
      <c r="N585">
        <v>20812306833</v>
      </c>
      <c r="O585">
        <v>19165350186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H586">
        <v>1166104087</v>
      </c>
      <c r="I586">
        <v>11038462006</v>
      </c>
      <c r="J586">
        <v>8217525993</v>
      </c>
      <c r="K586">
        <v>10663873986</v>
      </c>
      <c r="L586">
        <v>8845208939</v>
      </c>
      <c r="M586">
        <v>4741797374</v>
      </c>
      <c r="N586">
        <v>1407996173</v>
      </c>
      <c r="O586">
        <v>1473797135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89280415000</v>
      </c>
      <c r="G587">
        <v>74705183000</v>
      </c>
      <c r="H587">
        <v>100346048000</v>
      </c>
      <c r="I587">
        <v>107764908000</v>
      </c>
      <c r="J587">
        <v>92013569000</v>
      </c>
      <c r="K587">
        <v>77894285000</v>
      </c>
      <c r="L587">
        <v>80803422000</v>
      </c>
      <c r="M587">
        <v>102182861000</v>
      </c>
      <c r="N587">
        <v>115539829000</v>
      </c>
      <c r="O587">
        <v>93072254000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875049816</v>
      </c>
      <c r="G588">
        <v>945417542</v>
      </c>
      <c r="H588">
        <v>1369543328</v>
      </c>
      <c r="I588">
        <v>1378099486</v>
      </c>
      <c r="J588">
        <v>1277461194</v>
      </c>
      <c r="K588">
        <v>1151221577</v>
      </c>
      <c r="L588">
        <v>1128476975</v>
      </c>
      <c r="M588">
        <v>1284936743</v>
      </c>
      <c r="N588">
        <v>1657210234</v>
      </c>
      <c r="O588">
        <v>2623465610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227556143618</v>
      </c>
      <c r="G589">
        <v>209725821099</v>
      </c>
      <c r="H589">
        <v>200761983257</v>
      </c>
      <c r="I589">
        <v>183316560236</v>
      </c>
      <c r="J589">
        <v>159254466909</v>
      </c>
      <c r="K589">
        <v>119065825202</v>
      </c>
      <c r="L589">
        <v>89748320411</v>
      </c>
      <c r="M589">
        <v>88775444479</v>
      </c>
      <c r="N589">
        <v>86487723561</v>
      </c>
      <c r="O589">
        <v>79856597811</v>
      </c>
      <c r="P589">
        <v>41079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18737367519</v>
      </c>
      <c r="G590">
        <v>17950217098</v>
      </c>
      <c r="H590">
        <v>17929405911</v>
      </c>
      <c r="I590">
        <v>21774615188</v>
      </c>
      <c r="J590">
        <v>20261692935</v>
      </c>
      <c r="K590">
        <v>16591923655</v>
      </c>
      <c r="L590">
        <v>17758836353</v>
      </c>
      <c r="M590">
        <v>19929074870</v>
      </c>
      <c r="N590">
        <v>25090646518</v>
      </c>
      <c r="O590">
        <v>21690571430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1506058019</v>
      </c>
      <c r="G591">
        <v>1002509078</v>
      </c>
      <c r="H591">
        <v>860018769</v>
      </c>
      <c r="I591">
        <v>733938895</v>
      </c>
      <c r="J591">
        <v>1213836032</v>
      </c>
      <c r="K591">
        <v>924770234</v>
      </c>
      <c r="L591">
        <v>522859508</v>
      </c>
      <c r="M591">
        <v>472985116</v>
      </c>
      <c r="N591">
        <v>464197137</v>
      </c>
      <c r="O591">
        <v>614272566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1894616020</v>
      </c>
      <c r="G592">
        <v>1824041979</v>
      </c>
      <c r="H592">
        <v>4100058390</v>
      </c>
      <c r="I592">
        <v>2996951202</v>
      </c>
      <c r="J592">
        <v>3855695681</v>
      </c>
      <c r="K592">
        <v>3009898942</v>
      </c>
      <c r="L592">
        <v>1626196785</v>
      </c>
      <c r="M592">
        <v>1746335463</v>
      </c>
      <c r="N592">
        <v>2036736478</v>
      </c>
      <c r="O592">
        <v>2068528405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7931535255</v>
      </c>
      <c r="G593">
        <v>8116945812</v>
      </c>
      <c r="H593">
        <v>21887874447</v>
      </c>
      <c r="I593">
        <v>23867262859</v>
      </c>
      <c r="J593">
        <v>26743513680</v>
      </c>
      <c r="K593">
        <v>28087519980</v>
      </c>
      <c r="L593">
        <v>30832061062</v>
      </c>
      <c r="M593">
        <v>32205864614</v>
      </c>
      <c r="N593">
        <v>33746885960</v>
      </c>
      <c r="O593">
        <v>31859099549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97749325</v>
      </c>
      <c r="G594">
        <v>25631135</v>
      </c>
      <c r="H594">
        <v>41432671</v>
      </c>
      <c r="I594">
        <v>47988331</v>
      </c>
      <c r="J594">
        <v>50068058</v>
      </c>
      <c r="K594">
        <v>50223495</v>
      </c>
      <c r="L594">
        <v>242169156</v>
      </c>
      <c r="M594">
        <v>270555992</v>
      </c>
      <c r="N594">
        <v>291968359</v>
      </c>
      <c r="O594">
        <v>333107483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603308422</v>
      </c>
      <c r="G595">
        <v>79717680</v>
      </c>
      <c r="H595">
        <v>109278520</v>
      </c>
      <c r="I595">
        <v>1100745163</v>
      </c>
      <c r="J595">
        <v>175089264</v>
      </c>
      <c r="K595">
        <v>50458580</v>
      </c>
      <c r="L595">
        <v>21045810</v>
      </c>
      <c r="M595">
        <v>10048308</v>
      </c>
      <c r="N595">
        <v>109844532</v>
      </c>
      <c r="O595">
        <v>264862321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8351999980</v>
      </c>
      <c r="G596">
        <v>8001626826</v>
      </c>
      <c r="H596">
        <v>16727313884</v>
      </c>
      <c r="I596">
        <v>15599919718</v>
      </c>
      <c r="J596">
        <v>13981423952</v>
      </c>
      <c r="K596">
        <v>13023604486</v>
      </c>
      <c r="L596">
        <v>12904990131</v>
      </c>
      <c r="M596">
        <v>11542120188</v>
      </c>
      <c r="N596">
        <v>10315184982</v>
      </c>
      <c r="O596">
        <v>8590742942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568536420</v>
      </c>
      <c r="G597">
        <v>642078353</v>
      </c>
      <c r="H597">
        <v>503302811</v>
      </c>
      <c r="I597">
        <v>469173891</v>
      </c>
      <c r="J597">
        <v>582614166</v>
      </c>
      <c r="K597">
        <v>561761123</v>
      </c>
      <c r="L597">
        <v>444875034</v>
      </c>
      <c r="M597">
        <v>577950511</v>
      </c>
      <c r="N597">
        <v>641323473</v>
      </c>
      <c r="O597">
        <v>918110911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45670032383</v>
      </c>
      <c r="G598">
        <v>47889837616</v>
      </c>
      <c r="H598">
        <v>61698903008</v>
      </c>
      <c r="I598">
        <v>56180929951</v>
      </c>
      <c r="J598">
        <v>26605600273</v>
      </c>
      <c r="K598">
        <v>18552409200</v>
      </c>
      <c r="L598">
        <v>8082534215</v>
      </c>
      <c r="M598">
        <v>7077091078</v>
      </c>
      <c r="N598">
        <v>6103826483</v>
      </c>
      <c r="O598">
        <v>5358458578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3583966.9</v>
      </c>
      <c r="L599">
        <v>3906740</v>
      </c>
      <c r="M599">
        <v>3506324</v>
      </c>
      <c r="N599">
        <v>3832640</v>
      </c>
      <c r="O599">
        <v>3567691.3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282825212</v>
      </c>
      <c r="H600">
        <v>783041248</v>
      </c>
      <c r="I600">
        <v>332099426</v>
      </c>
      <c r="J600">
        <v>3349845874</v>
      </c>
      <c r="K600">
        <v>1651111129</v>
      </c>
      <c r="L600">
        <v>839793870</v>
      </c>
      <c r="M600">
        <v>797759962</v>
      </c>
      <c r="N600">
        <v>835795432</v>
      </c>
      <c r="O600">
        <v>888758527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4969266456</v>
      </c>
      <c r="G601">
        <v>2703669822</v>
      </c>
      <c r="H601">
        <v>2650122824</v>
      </c>
      <c r="I601">
        <v>2212299857</v>
      </c>
      <c r="J601">
        <v>1638440108</v>
      </c>
      <c r="K601">
        <v>1461582563</v>
      </c>
      <c r="L601">
        <v>1156135059</v>
      </c>
      <c r="M601">
        <v>1444983262</v>
      </c>
      <c r="N601">
        <v>1418591744</v>
      </c>
      <c r="O601">
        <v>1959461529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12572100927</v>
      </c>
      <c r="G602">
        <v>8453882765</v>
      </c>
      <c r="H602">
        <v>7460013879</v>
      </c>
      <c r="I602">
        <v>8364374226</v>
      </c>
      <c r="J602">
        <v>8393725784</v>
      </c>
      <c r="K602">
        <v>6272602658</v>
      </c>
      <c r="L602">
        <v>4858253802</v>
      </c>
      <c r="M602">
        <v>4579665072</v>
      </c>
      <c r="N602">
        <v>3732067368</v>
      </c>
      <c r="O602">
        <v>3363158184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561991725757</v>
      </c>
      <c r="G603">
        <v>403569952760</v>
      </c>
      <c r="H603">
        <v>358506017300</v>
      </c>
      <c r="I603">
        <v>300125130457</v>
      </c>
      <c r="J603">
        <v>276217480411</v>
      </c>
      <c r="K603">
        <v>206898872357</v>
      </c>
      <c r="L603">
        <v>182360076705</v>
      </c>
      <c r="M603">
        <v>37926720628</v>
      </c>
      <c r="N603">
        <v>40234648405</v>
      </c>
      <c r="O603">
        <v>39490976831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10559065953</v>
      </c>
      <c r="G604">
        <v>10328207095</v>
      </c>
      <c r="H604">
        <v>10440600536</v>
      </c>
      <c r="I604">
        <v>7448683747</v>
      </c>
      <c r="J604">
        <v>5707025888</v>
      </c>
      <c r="K604">
        <v>4199843093</v>
      </c>
      <c r="L604">
        <v>3277802160</v>
      </c>
      <c r="M604">
        <v>2831877655</v>
      </c>
      <c r="N604">
        <v>1878491561</v>
      </c>
      <c r="O604">
        <v>1538673644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1365356308</v>
      </c>
      <c r="G605">
        <v>1076794039</v>
      </c>
      <c r="H605">
        <v>1305186980</v>
      </c>
      <c r="I605">
        <v>1344846452</v>
      </c>
      <c r="J605">
        <v>1132206742</v>
      </c>
      <c r="K605">
        <v>1048395243</v>
      </c>
      <c r="L605">
        <v>989365476</v>
      </c>
      <c r="M605">
        <v>1082227597</v>
      </c>
      <c r="N605">
        <v>1297658671</v>
      </c>
      <c r="O605">
        <v>1140003723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15173629619</v>
      </c>
      <c r="G606">
        <v>10447976418</v>
      </c>
      <c r="H606">
        <v>5860061365</v>
      </c>
      <c r="I606">
        <v>1929256246</v>
      </c>
      <c r="J606">
        <v>452809310</v>
      </c>
      <c r="K606">
        <v>337173545</v>
      </c>
      <c r="L606">
        <v>234899472</v>
      </c>
      <c r="M606">
        <v>159557602</v>
      </c>
      <c r="N606">
        <v>239598985</v>
      </c>
      <c r="O606">
        <v>248692338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25879734544</v>
      </c>
      <c r="G607">
        <v>14984750775</v>
      </c>
      <c r="H607">
        <v>13610735655</v>
      </c>
      <c r="I607">
        <v>20493770099</v>
      </c>
      <c r="J607">
        <v>20811263325</v>
      </c>
      <c r="K607">
        <v>20781846223</v>
      </c>
      <c r="L607">
        <v>12387285125</v>
      </c>
      <c r="M607">
        <v>4526396846</v>
      </c>
      <c r="N607">
        <v>2534471583</v>
      </c>
      <c r="O607">
        <v>2109855269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23613381.420000002</v>
      </c>
      <c r="L608">
        <v>40070696.200000003</v>
      </c>
      <c r="M608">
        <v>43837080.780000001</v>
      </c>
      <c r="N608">
        <v>30117441.57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168681995567</v>
      </c>
      <c r="G609">
        <v>98589905146</v>
      </c>
      <c r="H609">
        <v>84365254640</v>
      </c>
      <c r="I609">
        <v>81958875121</v>
      </c>
      <c r="J609">
        <v>74085713073</v>
      </c>
      <c r="K609">
        <v>50172732852</v>
      </c>
      <c r="L609">
        <v>883964497</v>
      </c>
      <c r="M609">
        <v>1164932284</v>
      </c>
      <c r="N609">
        <v>1150032294</v>
      </c>
      <c r="O609">
        <v>1367986192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45236733111</v>
      </c>
      <c r="G610">
        <v>39236191435</v>
      </c>
      <c r="H610">
        <v>35902958481</v>
      </c>
      <c r="I610">
        <v>32665472128</v>
      </c>
      <c r="J610">
        <v>20667645051</v>
      </c>
      <c r="K610">
        <v>12710021495</v>
      </c>
      <c r="L610">
        <v>6661997723</v>
      </c>
      <c r="M610">
        <v>3347957789</v>
      </c>
      <c r="N610">
        <v>2037571371</v>
      </c>
      <c r="O610">
        <v>1369415329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807876760</v>
      </c>
      <c r="G611">
        <v>779402862</v>
      </c>
      <c r="H611">
        <v>1857804074</v>
      </c>
      <c r="I611">
        <v>2129457581</v>
      </c>
      <c r="J611">
        <v>2321009143</v>
      </c>
      <c r="K611">
        <v>2207155179</v>
      </c>
      <c r="L611">
        <v>2366555589</v>
      </c>
      <c r="M611">
        <v>2497480916</v>
      </c>
      <c r="N611">
        <v>2895113857</v>
      </c>
      <c r="O611">
        <v>2641499332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45123195144</v>
      </c>
      <c r="G612">
        <v>39817363611</v>
      </c>
      <c r="H612">
        <v>37155742319</v>
      </c>
      <c r="I612">
        <v>31303046293</v>
      </c>
      <c r="J612">
        <v>27473449174</v>
      </c>
      <c r="K612">
        <v>26720500728</v>
      </c>
      <c r="L612">
        <v>24813087318</v>
      </c>
      <c r="M612">
        <v>22075780808</v>
      </c>
      <c r="N612">
        <v>18737790381</v>
      </c>
      <c r="O612">
        <v>18024220368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361353944</v>
      </c>
      <c r="G613">
        <v>163014838</v>
      </c>
      <c r="H613">
        <v>166701987</v>
      </c>
      <c r="I613">
        <v>157160945</v>
      </c>
      <c r="J613">
        <v>91082871</v>
      </c>
      <c r="K613">
        <v>133381499</v>
      </c>
      <c r="L613">
        <v>327821542</v>
      </c>
      <c r="M613">
        <v>427014307</v>
      </c>
      <c r="N613">
        <v>569942257</v>
      </c>
      <c r="O613">
        <v>512741283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776093582</v>
      </c>
      <c r="G614">
        <v>527986746</v>
      </c>
      <c r="H614">
        <v>2224147231</v>
      </c>
      <c r="I614">
        <v>2086146973</v>
      </c>
      <c r="J614">
        <v>2277279289</v>
      </c>
      <c r="K614">
        <v>2251934494</v>
      </c>
      <c r="L614">
        <v>766854326</v>
      </c>
      <c r="M614">
        <v>10616185</v>
      </c>
      <c r="N614">
        <v>53475412</v>
      </c>
      <c r="O614">
        <v>120424327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441032200</v>
      </c>
      <c r="G615">
        <v>894108012</v>
      </c>
      <c r="H615">
        <v>1301698174</v>
      </c>
      <c r="I615">
        <v>1046968367</v>
      </c>
      <c r="J615">
        <v>1343112301</v>
      </c>
      <c r="K615">
        <v>1818479449</v>
      </c>
      <c r="L615">
        <v>1064476214</v>
      </c>
      <c r="M615">
        <v>1829380093</v>
      </c>
      <c r="N615">
        <v>1616151968</v>
      </c>
      <c r="O615">
        <v>1744749078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14468286866</v>
      </c>
      <c r="G616">
        <v>13425042987</v>
      </c>
      <c r="H616">
        <v>12884667432</v>
      </c>
      <c r="I616">
        <v>13060241155</v>
      </c>
      <c r="J616">
        <v>14234410632</v>
      </c>
      <c r="K616">
        <v>13046687039</v>
      </c>
      <c r="L616">
        <v>15402416823</v>
      </c>
      <c r="M616">
        <v>25528298818</v>
      </c>
      <c r="N616">
        <v>16626052188</v>
      </c>
      <c r="O616">
        <v>13493346183</v>
      </c>
      <c r="P616">
        <v>264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8734802910</v>
      </c>
      <c r="G617">
        <v>7621987666</v>
      </c>
      <c r="H617">
        <v>8365778069</v>
      </c>
      <c r="I617">
        <v>7170520140</v>
      </c>
      <c r="J617">
        <v>7131134732</v>
      </c>
      <c r="K617">
        <v>7734848084</v>
      </c>
      <c r="L617">
        <v>7751691683</v>
      </c>
      <c r="M617">
        <v>7796331282</v>
      </c>
      <c r="N617">
        <v>7452753233</v>
      </c>
      <c r="O617">
        <v>6960195011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659678648</v>
      </c>
      <c r="G618">
        <v>674242612</v>
      </c>
      <c r="H618">
        <v>766922472</v>
      </c>
      <c r="I618">
        <v>730810808</v>
      </c>
      <c r="J618">
        <v>782018705</v>
      </c>
      <c r="K618">
        <v>707391860</v>
      </c>
      <c r="L618">
        <v>684373986</v>
      </c>
      <c r="M618">
        <v>694425232</v>
      </c>
      <c r="N618">
        <v>674500241</v>
      </c>
      <c r="O618">
        <v>670373797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7672537568</v>
      </c>
      <c r="G619">
        <v>7811714727</v>
      </c>
      <c r="H619">
        <v>6931326474</v>
      </c>
      <c r="I619">
        <v>5774755193</v>
      </c>
      <c r="J619">
        <v>5968969317</v>
      </c>
      <c r="K619">
        <v>5114474154</v>
      </c>
      <c r="L619">
        <v>4842541581</v>
      </c>
      <c r="M619">
        <v>6146974408</v>
      </c>
      <c r="N619">
        <v>5813025595</v>
      </c>
      <c r="O619">
        <v>4248224768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281353040</v>
      </c>
      <c r="G620">
        <v>84530414</v>
      </c>
      <c r="H620">
        <v>262017718</v>
      </c>
      <c r="I620">
        <v>419189443</v>
      </c>
      <c r="J620">
        <v>419502543</v>
      </c>
      <c r="K620">
        <v>744574205</v>
      </c>
      <c r="L620">
        <v>808805222</v>
      </c>
      <c r="M620">
        <v>1108870132</v>
      </c>
      <c r="N620">
        <v>1181709696</v>
      </c>
      <c r="O620">
        <v>1118869820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567634701</v>
      </c>
      <c r="G621">
        <v>404035305</v>
      </c>
      <c r="H621">
        <v>787219834</v>
      </c>
      <c r="I621">
        <v>956198689</v>
      </c>
      <c r="J621">
        <v>779307603</v>
      </c>
      <c r="K621">
        <v>673684117</v>
      </c>
      <c r="L621">
        <v>600026066</v>
      </c>
      <c r="M621">
        <v>1407825412</v>
      </c>
      <c r="N621">
        <v>1935405256</v>
      </c>
      <c r="O621">
        <v>1480674314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3142651055</v>
      </c>
      <c r="H622">
        <v>9944022278</v>
      </c>
      <c r="I622">
        <v>10071366955</v>
      </c>
      <c r="J622">
        <v>10209245010</v>
      </c>
      <c r="K622">
        <v>10077403236</v>
      </c>
      <c r="L622">
        <v>10935864226</v>
      </c>
      <c r="M622">
        <v>11814665878</v>
      </c>
      <c r="N622">
        <v>12067081698</v>
      </c>
      <c r="O622">
        <v>12225433117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2340238896</v>
      </c>
      <c r="G623">
        <v>2340298385</v>
      </c>
      <c r="H623">
        <v>3144597378</v>
      </c>
      <c r="I623">
        <v>5163259364</v>
      </c>
      <c r="J623">
        <v>4157209646</v>
      </c>
      <c r="K623">
        <v>5558897090</v>
      </c>
      <c r="L623">
        <v>2746493377</v>
      </c>
      <c r="M623">
        <v>5286919051</v>
      </c>
      <c r="N623">
        <v>5085001757</v>
      </c>
      <c r="O623">
        <v>5186565280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1697053110</v>
      </c>
      <c r="G624">
        <v>1375346995</v>
      </c>
      <c r="H624">
        <v>1337916290</v>
      </c>
      <c r="I624">
        <v>1007360099</v>
      </c>
      <c r="J624">
        <v>489346140</v>
      </c>
      <c r="K624">
        <v>1871158576</v>
      </c>
      <c r="L624">
        <v>2790908055</v>
      </c>
      <c r="M624">
        <v>6623463617</v>
      </c>
      <c r="N624">
        <v>8474009692</v>
      </c>
      <c r="O624">
        <v>7139184513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9801774969</v>
      </c>
      <c r="G625">
        <v>10670753412</v>
      </c>
      <c r="H625">
        <v>10828009983</v>
      </c>
      <c r="I625">
        <v>9806529514</v>
      </c>
      <c r="J625">
        <v>9081910890</v>
      </c>
      <c r="K625">
        <v>8633017069</v>
      </c>
      <c r="L625">
        <v>9200729691</v>
      </c>
      <c r="M625">
        <v>9829383542</v>
      </c>
      <c r="N625">
        <v>10237921991</v>
      </c>
      <c r="O625">
        <v>10737835270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4530554282</v>
      </c>
      <c r="G626">
        <v>2931018228</v>
      </c>
      <c r="H626">
        <v>1290579507</v>
      </c>
      <c r="I626">
        <v>657953771</v>
      </c>
      <c r="J626">
        <v>607754450</v>
      </c>
      <c r="K626">
        <v>513460289</v>
      </c>
      <c r="L626">
        <v>570701326</v>
      </c>
      <c r="M626">
        <v>529147631</v>
      </c>
      <c r="N626">
        <v>495647101</v>
      </c>
      <c r="O626">
        <v>845017379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6223755175</v>
      </c>
      <c r="G627">
        <v>4286485470</v>
      </c>
      <c r="H627">
        <v>5011851006</v>
      </c>
      <c r="I627">
        <v>4680147196</v>
      </c>
      <c r="J627">
        <v>4311956371</v>
      </c>
      <c r="K627">
        <v>2848194879</v>
      </c>
      <c r="L627">
        <v>2667166426</v>
      </c>
      <c r="M627">
        <v>2264804441</v>
      </c>
      <c r="N627">
        <v>2115416454</v>
      </c>
      <c r="O627">
        <v>723612627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21123921355</v>
      </c>
      <c r="G628">
        <v>21077417555</v>
      </c>
      <c r="H628">
        <v>34535605620</v>
      </c>
      <c r="I628">
        <v>34083884682</v>
      </c>
      <c r="J628">
        <v>32915365090</v>
      </c>
      <c r="K628">
        <v>33846772642</v>
      </c>
      <c r="L628">
        <v>30079377071</v>
      </c>
      <c r="M628">
        <v>30140059759</v>
      </c>
      <c r="N628">
        <v>30189995832</v>
      </c>
      <c r="O628">
        <v>28116697618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104235147</v>
      </c>
      <c r="G629">
        <v>102997164</v>
      </c>
      <c r="H629">
        <v>99167567</v>
      </c>
      <c r="I629">
        <v>107721031</v>
      </c>
      <c r="J629">
        <v>289431250</v>
      </c>
      <c r="K629">
        <v>57927905</v>
      </c>
      <c r="L629">
        <v>1312102573</v>
      </c>
      <c r="M629">
        <v>1108033475</v>
      </c>
      <c r="N629">
        <v>792030183</v>
      </c>
      <c r="O629">
        <v>403924301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2702324119</v>
      </c>
      <c r="G630">
        <v>2026278101</v>
      </c>
      <c r="H630">
        <v>2148691837</v>
      </c>
      <c r="I630">
        <v>1627790761</v>
      </c>
      <c r="J630">
        <v>1217860953</v>
      </c>
      <c r="K630">
        <v>1130820957</v>
      </c>
      <c r="L630">
        <v>1057158671</v>
      </c>
      <c r="M630">
        <v>1136397579</v>
      </c>
      <c r="N630">
        <v>1103696557</v>
      </c>
      <c r="O630">
        <v>1189064107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15470502691</v>
      </c>
      <c r="G631">
        <v>9663743813</v>
      </c>
      <c r="H631">
        <v>6069237198</v>
      </c>
      <c r="I631">
        <v>156717600</v>
      </c>
      <c r="J631">
        <v>45925283</v>
      </c>
      <c r="K631">
        <v>200230972</v>
      </c>
      <c r="L631">
        <v>110275795</v>
      </c>
      <c r="M631">
        <v>163473203</v>
      </c>
      <c r="N631">
        <v>18276342</v>
      </c>
      <c r="O631">
        <v>81904552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8696826071</v>
      </c>
      <c r="G632">
        <v>5272466221</v>
      </c>
      <c r="H632">
        <v>23588709598</v>
      </c>
      <c r="I632">
        <v>16437960415</v>
      </c>
      <c r="J632">
        <v>38224604</v>
      </c>
      <c r="K632">
        <v>5367611</v>
      </c>
      <c r="L632">
        <v>10649738</v>
      </c>
      <c r="M632">
        <v>29813478</v>
      </c>
      <c r="N632">
        <v>177672585</v>
      </c>
      <c r="O632">
        <v>218227095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921819897</v>
      </c>
      <c r="G633">
        <v>1151473160</v>
      </c>
      <c r="H633">
        <v>1556985106</v>
      </c>
      <c r="I633">
        <v>6759565820</v>
      </c>
      <c r="J633">
        <v>6474445474</v>
      </c>
      <c r="K633">
        <v>4232988544</v>
      </c>
      <c r="L633">
        <v>310337980</v>
      </c>
      <c r="M633">
        <v>195034745</v>
      </c>
      <c r="N633">
        <v>110825758</v>
      </c>
      <c r="O633">
        <v>135446703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1574327619</v>
      </c>
      <c r="G634">
        <v>1242698690</v>
      </c>
      <c r="H634">
        <v>1415538898</v>
      </c>
      <c r="I634">
        <v>1364839131</v>
      </c>
      <c r="J634">
        <v>1356282525</v>
      </c>
      <c r="K634">
        <v>1304275297</v>
      </c>
      <c r="L634">
        <v>1311862571</v>
      </c>
      <c r="M634">
        <v>1342383920</v>
      </c>
      <c r="N634">
        <v>1339800748</v>
      </c>
      <c r="O634">
        <v>1651505055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11895140956</v>
      </c>
      <c r="G635">
        <v>10040974432</v>
      </c>
      <c r="H635">
        <v>9137754087</v>
      </c>
      <c r="I635">
        <v>7281503653</v>
      </c>
      <c r="J635">
        <v>6242486938</v>
      </c>
      <c r="K635">
        <v>5583376566</v>
      </c>
      <c r="L635">
        <v>3250719956</v>
      </c>
      <c r="M635">
        <v>3574585599</v>
      </c>
      <c r="N635">
        <v>3393243613</v>
      </c>
      <c r="O635">
        <v>2771128376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25160471219</v>
      </c>
      <c r="G636">
        <v>21129159291</v>
      </c>
      <c r="H636">
        <v>18424834764</v>
      </c>
      <c r="I636">
        <v>17514899050</v>
      </c>
      <c r="J636">
        <v>19157209815</v>
      </c>
      <c r="K636">
        <v>13557145518</v>
      </c>
      <c r="L636">
        <v>11667552095</v>
      </c>
      <c r="M636">
        <v>8939385762</v>
      </c>
      <c r="N636">
        <v>11264622953</v>
      </c>
      <c r="O636">
        <v>3808899765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642666672</v>
      </c>
      <c r="G637">
        <v>599328578</v>
      </c>
      <c r="H637">
        <v>1882506937</v>
      </c>
      <c r="I637">
        <v>1382513164</v>
      </c>
      <c r="J637">
        <v>1366363613</v>
      </c>
      <c r="K637">
        <v>1026535859</v>
      </c>
      <c r="L637">
        <v>1120665181</v>
      </c>
      <c r="M637">
        <v>1214852556</v>
      </c>
      <c r="N637">
        <v>1428005508</v>
      </c>
      <c r="O637">
        <v>1320057529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18372549565</v>
      </c>
      <c r="G638">
        <v>16944777576</v>
      </c>
      <c r="H638">
        <v>17745555524</v>
      </c>
      <c r="I638">
        <v>19275155055</v>
      </c>
      <c r="J638">
        <v>13998827377</v>
      </c>
      <c r="K638">
        <v>8749708140</v>
      </c>
      <c r="L638">
        <v>9139997460</v>
      </c>
      <c r="M638">
        <v>9238557842</v>
      </c>
      <c r="N638">
        <v>10333854548</v>
      </c>
      <c r="O638">
        <v>10293877085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11226552292</v>
      </c>
      <c r="G639">
        <v>7100829071</v>
      </c>
      <c r="H639">
        <v>6641782259</v>
      </c>
      <c r="I639">
        <v>7228974381</v>
      </c>
      <c r="J639">
        <v>5994992317</v>
      </c>
      <c r="K639">
        <v>4038150179</v>
      </c>
      <c r="L639">
        <v>3365841040</v>
      </c>
      <c r="M639">
        <v>4965151233</v>
      </c>
      <c r="N639">
        <v>5874481647</v>
      </c>
      <c r="O639">
        <v>5721920334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139944139630</v>
      </c>
      <c r="G640">
        <v>133577639722</v>
      </c>
      <c r="H640">
        <v>144023626071</v>
      </c>
      <c r="I640">
        <v>157170235005</v>
      </c>
      <c r="J640">
        <v>140487250484</v>
      </c>
      <c r="K640">
        <v>124295812981</v>
      </c>
      <c r="L640">
        <v>91120204531</v>
      </c>
      <c r="M640">
        <v>73972592347</v>
      </c>
      <c r="N640">
        <v>69329470963</v>
      </c>
      <c r="O640">
        <v>57889223058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20537405929</v>
      </c>
      <c r="G641">
        <v>19519979732</v>
      </c>
      <c r="H641">
        <v>17770580403</v>
      </c>
      <c r="I641">
        <v>13607583198</v>
      </c>
      <c r="J641">
        <v>12732777213</v>
      </c>
      <c r="K641">
        <v>11992482217</v>
      </c>
      <c r="L641">
        <v>9863621611</v>
      </c>
      <c r="M641">
        <v>11273375890</v>
      </c>
      <c r="N641">
        <v>9472486434</v>
      </c>
      <c r="O641">
        <v>7676355284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13693323722</v>
      </c>
      <c r="G642">
        <v>7730701744</v>
      </c>
      <c r="H642">
        <v>7421750259</v>
      </c>
      <c r="I642">
        <v>6831355768</v>
      </c>
      <c r="J642">
        <v>9903786949</v>
      </c>
      <c r="K642">
        <v>7608409878</v>
      </c>
      <c r="L642">
        <v>7449002420</v>
      </c>
      <c r="M642">
        <v>6759836400</v>
      </c>
      <c r="N642">
        <v>4729393340</v>
      </c>
      <c r="O642">
        <v>3079539998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9603312018</v>
      </c>
      <c r="G643">
        <v>8255680919</v>
      </c>
      <c r="H643">
        <v>8993163089</v>
      </c>
      <c r="I643">
        <v>9589500819</v>
      </c>
      <c r="J643">
        <v>7338122565</v>
      </c>
      <c r="K643">
        <v>6405183736</v>
      </c>
      <c r="L643">
        <v>7406353524</v>
      </c>
      <c r="M643">
        <v>6210425196</v>
      </c>
      <c r="N643">
        <v>7455520257</v>
      </c>
      <c r="O643">
        <v>8102646211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52728649531</v>
      </c>
      <c r="G644">
        <v>51706626950</v>
      </c>
      <c r="H644">
        <v>41578163284</v>
      </c>
      <c r="I644">
        <v>17335108186</v>
      </c>
      <c r="J644">
        <v>16916232210</v>
      </c>
      <c r="K644">
        <v>13416913529</v>
      </c>
      <c r="L644">
        <v>716010443</v>
      </c>
      <c r="M644">
        <v>1623050517</v>
      </c>
      <c r="N644">
        <v>2367796090</v>
      </c>
      <c r="O644">
        <v>1353074411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8003583624</v>
      </c>
      <c r="G645">
        <v>3795143835</v>
      </c>
      <c r="H645">
        <v>590528503</v>
      </c>
      <c r="I645">
        <v>474331785</v>
      </c>
      <c r="J645">
        <v>777314394</v>
      </c>
      <c r="K645">
        <v>623471558</v>
      </c>
      <c r="L645">
        <v>579409539</v>
      </c>
      <c r="M645">
        <v>656089575</v>
      </c>
      <c r="N645">
        <v>736231588</v>
      </c>
      <c r="O645">
        <v>739741678</v>
      </c>
      <c r="P645">
        <v>232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346692320</v>
      </c>
      <c r="I646">
        <v>110099945</v>
      </c>
      <c r="J646">
        <v>104047620</v>
      </c>
      <c r="K646">
        <v>1702706739</v>
      </c>
      <c r="L646">
        <v>1902400003</v>
      </c>
      <c r="M646">
        <v>460299990</v>
      </c>
      <c r="N646">
        <v>421754815</v>
      </c>
      <c r="O646">
        <v>262802114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10269130755</v>
      </c>
      <c r="G647">
        <v>8048761865</v>
      </c>
      <c r="H647">
        <v>8865555865</v>
      </c>
      <c r="I647">
        <v>8663752407</v>
      </c>
      <c r="J647">
        <v>7233916852</v>
      </c>
      <c r="K647">
        <v>6488809187</v>
      </c>
      <c r="L647">
        <v>6619175076</v>
      </c>
      <c r="M647">
        <v>3803102103</v>
      </c>
      <c r="N647">
        <v>3904620094</v>
      </c>
      <c r="O647">
        <v>3666669615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173733814</v>
      </c>
      <c r="G648">
        <v>125925460</v>
      </c>
      <c r="H648">
        <v>187918351</v>
      </c>
      <c r="I648">
        <v>178599167</v>
      </c>
      <c r="J648">
        <v>141632185</v>
      </c>
      <c r="K648">
        <v>126248518</v>
      </c>
      <c r="L648">
        <v>152048469</v>
      </c>
      <c r="M648">
        <v>160017644</v>
      </c>
      <c r="N648">
        <v>178446914</v>
      </c>
      <c r="O648">
        <v>162620227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2873974462</v>
      </c>
      <c r="G649">
        <v>2441451789</v>
      </c>
      <c r="H649">
        <v>2449404443</v>
      </c>
      <c r="I649">
        <v>1755229022</v>
      </c>
      <c r="J649">
        <v>1746642529</v>
      </c>
      <c r="K649">
        <v>1561863081</v>
      </c>
      <c r="L649">
        <v>2597351434</v>
      </c>
      <c r="M649">
        <v>2834124339</v>
      </c>
      <c r="N649">
        <v>2777861343</v>
      </c>
      <c r="O649">
        <v>3191844694</v>
      </c>
      <c r="P649">
        <v>819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171661718000</v>
      </c>
      <c r="G650">
        <v>336693938000</v>
      </c>
      <c r="H650">
        <v>327153202000</v>
      </c>
      <c r="I650">
        <v>336472004000</v>
      </c>
      <c r="J650">
        <v>315460006000</v>
      </c>
      <c r="K650">
        <v>37561208000</v>
      </c>
      <c r="L650">
        <v>720187699</v>
      </c>
      <c r="M650">
        <v>423622957</v>
      </c>
      <c r="N650">
        <v>335378879</v>
      </c>
      <c r="O650">
        <v>126770195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1612323346</v>
      </c>
      <c r="G652">
        <v>2672975793</v>
      </c>
      <c r="H652">
        <v>2039782446</v>
      </c>
      <c r="I652">
        <v>1930315060</v>
      </c>
      <c r="J652">
        <v>346233448</v>
      </c>
      <c r="K652">
        <v>30066055</v>
      </c>
      <c r="L652">
        <v>13128475</v>
      </c>
      <c r="M652">
        <v>12124127</v>
      </c>
      <c r="N652">
        <v>10783426</v>
      </c>
      <c r="O652">
        <v>14106323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11339134411</v>
      </c>
      <c r="G653">
        <v>9897556264</v>
      </c>
      <c r="H653">
        <v>15099024460</v>
      </c>
      <c r="I653">
        <v>14697420034</v>
      </c>
      <c r="J653">
        <v>13582583603</v>
      </c>
      <c r="K653">
        <v>10635544287</v>
      </c>
      <c r="L653">
        <v>5562703071</v>
      </c>
      <c r="M653">
        <v>2913104839</v>
      </c>
      <c r="N653">
        <v>2684410918</v>
      </c>
      <c r="O653">
        <v>2335992198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464755642091</v>
      </c>
      <c r="G654">
        <v>351088945885</v>
      </c>
      <c r="H654">
        <v>218046936339</v>
      </c>
      <c r="I654">
        <v>206597879458</v>
      </c>
      <c r="J654">
        <v>164650777915</v>
      </c>
      <c r="K654">
        <v>98076566840</v>
      </c>
      <c r="L654">
        <v>64219880465</v>
      </c>
      <c r="M654">
        <v>55287894887</v>
      </c>
      <c r="N654">
        <v>49068478716</v>
      </c>
      <c r="O654">
        <v>41835135286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1830187737</v>
      </c>
      <c r="G655">
        <v>1328897568</v>
      </c>
      <c r="H655">
        <v>1455590300</v>
      </c>
      <c r="I655">
        <v>1212528448</v>
      </c>
      <c r="J655">
        <v>1302152532</v>
      </c>
      <c r="K655">
        <v>1368406317</v>
      </c>
      <c r="L655">
        <v>1229926632</v>
      </c>
      <c r="M655">
        <v>1085423372</v>
      </c>
      <c r="N655">
        <v>876078784</v>
      </c>
      <c r="O655">
        <v>716491205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6023079153</v>
      </c>
      <c r="G656">
        <v>6675054216</v>
      </c>
      <c r="H656">
        <v>7671264812</v>
      </c>
      <c r="I656">
        <v>10362680477</v>
      </c>
      <c r="J656">
        <v>11231863422</v>
      </c>
      <c r="K656">
        <v>13789400375</v>
      </c>
      <c r="L656">
        <v>11887768831</v>
      </c>
      <c r="M656">
        <v>4686820559</v>
      </c>
      <c r="N656">
        <v>4208068451</v>
      </c>
      <c r="O656">
        <v>3485692096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5914532150</v>
      </c>
      <c r="G657">
        <v>5054687828</v>
      </c>
      <c r="H657">
        <v>6689580533</v>
      </c>
      <c r="I657">
        <v>7311133546</v>
      </c>
      <c r="J657">
        <v>7691211830</v>
      </c>
      <c r="K657">
        <v>7160711499</v>
      </c>
      <c r="L657">
        <v>5921994668</v>
      </c>
      <c r="M657">
        <v>260838064</v>
      </c>
      <c r="N657">
        <v>265203484</v>
      </c>
      <c r="O657">
        <v>240804749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2453215434</v>
      </c>
      <c r="G658">
        <v>1622278319</v>
      </c>
      <c r="H658">
        <v>2783632565</v>
      </c>
      <c r="I658">
        <v>3326314212</v>
      </c>
      <c r="J658">
        <v>2851110839</v>
      </c>
      <c r="K658">
        <v>1205976533</v>
      </c>
      <c r="L658">
        <v>1260655178</v>
      </c>
      <c r="M658">
        <v>1387245865</v>
      </c>
      <c r="N658">
        <v>1643358913</v>
      </c>
      <c r="O658">
        <v>1691572613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34088358708</v>
      </c>
      <c r="G659">
        <v>27315905004</v>
      </c>
      <c r="H659">
        <v>23760860873</v>
      </c>
      <c r="I659">
        <v>20150864639</v>
      </c>
      <c r="J659">
        <v>19459278100</v>
      </c>
      <c r="K659">
        <v>1154439177</v>
      </c>
      <c r="L659">
        <v>1696748059</v>
      </c>
      <c r="M659">
        <v>2523290341</v>
      </c>
      <c r="N659">
        <v>3187270102</v>
      </c>
      <c r="O659">
        <v>3002896651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15416656262</v>
      </c>
      <c r="G660">
        <v>12796635329</v>
      </c>
      <c r="H660">
        <v>10130234609</v>
      </c>
      <c r="I660">
        <v>9667479303</v>
      </c>
      <c r="J660">
        <v>8390522768</v>
      </c>
      <c r="K660">
        <v>6200619038</v>
      </c>
      <c r="L660">
        <v>5685681708</v>
      </c>
      <c r="M660">
        <v>6700950444</v>
      </c>
      <c r="N660">
        <v>6553350804</v>
      </c>
      <c r="O660">
        <v>5975719054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2780725416</v>
      </c>
      <c r="G661">
        <v>2087864862</v>
      </c>
      <c r="H661">
        <v>1894218317</v>
      </c>
      <c r="I661">
        <v>1546043486</v>
      </c>
      <c r="J661">
        <v>1179727843</v>
      </c>
      <c r="K661">
        <v>878763714</v>
      </c>
      <c r="L661">
        <v>762355694</v>
      </c>
      <c r="M661">
        <v>583790311</v>
      </c>
      <c r="N661">
        <v>463015228</v>
      </c>
      <c r="O661">
        <v>378939778</v>
      </c>
      <c r="P661">
        <v>38179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4874095538</v>
      </c>
      <c r="G662">
        <v>4669646918</v>
      </c>
      <c r="H662">
        <v>4073965077</v>
      </c>
      <c r="I662">
        <v>350558650</v>
      </c>
      <c r="J662">
        <v>362750411</v>
      </c>
      <c r="K662">
        <v>273519357</v>
      </c>
      <c r="L662">
        <v>409163405</v>
      </c>
      <c r="M662">
        <v>718950384</v>
      </c>
      <c r="N662">
        <v>808015376</v>
      </c>
      <c r="O662">
        <v>1331929019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8789901986</v>
      </c>
      <c r="G663">
        <v>6698164989</v>
      </c>
      <c r="H663">
        <v>5984908826</v>
      </c>
      <c r="I663">
        <v>5444030711</v>
      </c>
      <c r="J663">
        <v>5662565428</v>
      </c>
      <c r="K663">
        <v>5368560054</v>
      </c>
      <c r="L663">
        <v>5877304249</v>
      </c>
      <c r="M663">
        <v>5822553518</v>
      </c>
      <c r="N663">
        <v>6385857016</v>
      </c>
      <c r="O663">
        <v>5372023774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225031370</v>
      </c>
      <c r="G664">
        <v>26227837</v>
      </c>
      <c r="H664">
        <v>26816580</v>
      </c>
      <c r="I664">
        <v>12079033</v>
      </c>
      <c r="J664">
        <v>11103762</v>
      </c>
      <c r="K664">
        <v>10861669</v>
      </c>
      <c r="L664">
        <v>16897965</v>
      </c>
      <c r="M664">
        <v>46980656</v>
      </c>
      <c r="N664">
        <v>12146412</v>
      </c>
      <c r="O664">
        <v>102246250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51867367</v>
      </c>
      <c r="G665">
        <v>48673764</v>
      </c>
      <c r="H665">
        <v>132499432</v>
      </c>
      <c r="I665">
        <v>207322284</v>
      </c>
      <c r="J665">
        <v>113390629</v>
      </c>
      <c r="K665">
        <v>94275814</v>
      </c>
      <c r="L665">
        <v>50338034</v>
      </c>
      <c r="M665">
        <v>183364795</v>
      </c>
      <c r="N665">
        <v>264271089</v>
      </c>
      <c r="O665">
        <v>524086286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416967678</v>
      </c>
      <c r="G666">
        <v>494768005</v>
      </c>
      <c r="H666">
        <v>517298113</v>
      </c>
      <c r="I666">
        <v>738392818</v>
      </c>
      <c r="J666">
        <v>804670832</v>
      </c>
      <c r="K666">
        <v>756806016</v>
      </c>
      <c r="L666">
        <v>814661108</v>
      </c>
      <c r="M666">
        <v>842531591</v>
      </c>
      <c r="N666">
        <v>895720526</v>
      </c>
      <c r="O666">
        <v>977467205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52987311</v>
      </c>
      <c r="G667">
        <v>30668649</v>
      </c>
      <c r="H667">
        <v>23174363</v>
      </c>
      <c r="I667">
        <v>37323424</v>
      </c>
      <c r="J667">
        <v>58387445</v>
      </c>
      <c r="K667">
        <v>22340577</v>
      </c>
      <c r="L667">
        <v>20768945</v>
      </c>
      <c r="M667">
        <v>19762670</v>
      </c>
      <c r="N667">
        <v>31996279</v>
      </c>
      <c r="O667">
        <v>272279415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373330700</v>
      </c>
      <c r="G668">
        <v>377239709</v>
      </c>
      <c r="H668">
        <v>458426525</v>
      </c>
      <c r="I668">
        <v>471998949</v>
      </c>
      <c r="J668">
        <v>752622632</v>
      </c>
      <c r="K668">
        <v>920635526</v>
      </c>
      <c r="L668">
        <v>564237036</v>
      </c>
      <c r="M668">
        <v>714583223</v>
      </c>
      <c r="N668">
        <v>371505878</v>
      </c>
      <c r="O668">
        <v>502789555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854223149</v>
      </c>
      <c r="G669">
        <v>1109430047</v>
      </c>
      <c r="H669">
        <v>1217097471</v>
      </c>
      <c r="I669">
        <v>1618764011</v>
      </c>
      <c r="J669">
        <v>1168684814</v>
      </c>
      <c r="K669">
        <v>936993228</v>
      </c>
      <c r="L669">
        <v>428436064</v>
      </c>
      <c r="M669">
        <v>354154540</v>
      </c>
      <c r="N669">
        <v>268111311</v>
      </c>
      <c r="O669">
        <v>260653807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2514457791</v>
      </c>
      <c r="G670">
        <v>1863821495</v>
      </c>
      <c r="H670">
        <v>1343819998</v>
      </c>
      <c r="I670">
        <v>1176955736</v>
      </c>
      <c r="J670">
        <v>964852158</v>
      </c>
      <c r="K670">
        <v>2750865211</v>
      </c>
      <c r="L670">
        <v>761524571</v>
      </c>
      <c r="M670">
        <v>1049190175</v>
      </c>
      <c r="N670">
        <v>676755703</v>
      </c>
      <c r="O670">
        <v>747363388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1475250374</v>
      </c>
      <c r="G671">
        <v>495200411</v>
      </c>
      <c r="H671">
        <v>1157303262</v>
      </c>
      <c r="I671">
        <v>1081680505</v>
      </c>
      <c r="J671">
        <v>1012370527</v>
      </c>
      <c r="K671">
        <v>949197442</v>
      </c>
      <c r="L671">
        <v>984072551</v>
      </c>
      <c r="M671">
        <v>941328963</v>
      </c>
      <c r="N671">
        <v>1002931624</v>
      </c>
      <c r="O671">
        <v>918389551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4531842431</v>
      </c>
      <c r="G672">
        <v>3952265022</v>
      </c>
      <c r="H672">
        <v>4660047002</v>
      </c>
      <c r="I672">
        <v>4500505653</v>
      </c>
      <c r="J672">
        <v>4191928909</v>
      </c>
      <c r="K672">
        <v>3702763357</v>
      </c>
      <c r="L672">
        <v>3613482936</v>
      </c>
      <c r="M672">
        <v>3487641069</v>
      </c>
      <c r="N672">
        <v>2479485128</v>
      </c>
      <c r="O672">
        <v>2430042277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3037373181</v>
      </c>
      <c r="G673">
        <v>2966785763</v>
      </c>
      <c r="H673">
        <v>2683202690</v>
      </c>
      <c r="I673">
        <v>2404822503</v>
      </c>
      <c r="J673">
        <v>2437285615</v>
      </c>
      <c r="K673">
        <v>1980288987</v>
      </c>
      <c r="L673">
        <v>3565925468</v>
      </c>
      <c r="M673">
        <v>3711605146</v>
      </c>
      <c r="N673">
        <v>3437220266</v>
      </c>
      <c r="O673">
        <v>3298291641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4821388420</v>
      </c>
      <c r="G674">
        <v>4143617580</v>
      </c>
      <c r="H674">
        <v>6070018545</v>
      </c>
      <c r="I674">
        <v>4780527760</v>
      </c>
      <c r="J674">
        <v>1522530295</v>
      </c>
      <c r="K674">
        <v>243106221</v>
      </c>
      <c r="L674">
        <v>430241313</v>
      </c>
      <c r="M674">
        <v>936127034</v>
      </c>
      <c r="N674">
        <v>1989752660</v>
      </c>
      <c r="O674">
        <v>417803405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1972755619</v>
      </c>
      <c r="G675">
        <v>1955299994</v>
      </c>
      <c r="H675">
        <v>5238605730</v>
      </c>
      <c r="I675">
        <v>5633311195</v>
      </c>
      <c r="J675">
        <v>5884647881</v>
      </c>
      <c r="K675">
        <v>6111495996</v>
      </c>
      <c r="L675">
        <v>6538699119</v>
      </c>
      <c r="M675">
        <v>8276540557</v>
      </c>
      <c r="N675">
        <v>9601863392</v>
      </c>
      <c r="O675">
        <v>7909721866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4631861645</v>
      </c>
      <c r="G676">
        <v>3005712643</v>
      </c>
      <c r="H676">
        <v>3538694869</v>
      </c>
      <c r="I676">
        <v>2819062581</v>
      </c>
      <c r="J676">
        <v>2048380366</v>
      </c>
      <c r="K676">
        <v>1176374148</v>
      </c>
      <c r="L676">
        <v>854867175</v>
      </c>
      <c r="M676">
        <v>364868508</v>
      </c>
      <c r="N676">
        <v>485746328</v>
      </c>
      <c r="O676">
        <v>1636186148</v>
      </c>
      <c r="P676">
        <v>2793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7830839275</v>
      </c>
      <c r="G677">
        <v>6942296073</v>
      </c>
      <c r="H677">
        <v>6614814602</v>
      </c>
      <c r="I677">
        <v>6027096850</v>
      </c>
      <c r="J677">
        <v>5097018301</v>
      </c>
      <c r="K677">
        <v>4884503201</v>
      </c>
      <c r="L677">
        <v>5672834464</v>
      </c>
      <c r="M677">
        <v>6402884194</v>
      </c>
      <c r="N677">
        <v>6413546755</v>
      </c>
      <c r="O677">
        <v>6058504392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G678">
        <v>2890517585</v>
      </c>
      <c r="H678">
        <v>5171086041</v>
      </c>
      <c r="I678">
        <v>6317313150</v>
      </c>
      <c r="J678">
        <v>5799924018</v>
      </c>
      <c r="K678">
        <v>495631293</v>
      </c>
      <c r="L678">
        <v>462059823</v>
      </c>
      <c r="M678">
        <v>434797159</v>
      </c>
      <c r="N678">
        <v>390375292</v>
      </c>
      <c r="O678">
        <v>347282636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104912839810</v>
      </c>
      <c r="G679">
        <v>72411934740</v>
      </c>
      <c r="H679">
        <v>57903574665</v>
      </c>
      <c r="I679">
        <v>56963302041</v>
      </c>
      <c r="J679">
        <v>49967013591</v>
      </c>
      <c r="K679">
        <v>30461499185</v>
      </c>
      <c r="L679">
        <v>25371013581</v>
      </c>
      <c r="M679">
        <v>32370294029</v>
      </c>
      <c r="N679">
        <v>33710773754</v>
      </c>
      <c r="O679">
        <v>35616627139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135075662</v>
      </c>
      <c r="G680">
        <v>120843046</v>
      </c>
      <c r="H680">
        <v>222474146</v>
      </c>
      <c r="I680">
        <v>206877993</v>
      </c>
      <c r="J680">
        <v>215760969</v>
      </c>
      <c r="K680">
        <v>185673616</v>
      </c>
      <c r="L680">
        <v>190698989</v>
      </c>
      <c r="M680">
        <v>234834679</v>
      </c>
      <c r="N680">
        <v>234645385</v>
      </c>
      <c r="O680">
        <v>260944868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3019925087</v>
      </c>
      <c r="G681">
        <v>2539958745</v>
      </c>
      <c r="H681">
        <v>2262460801</v>
      </c>
      <c r="I681">
        <v>1984202840</v>
      </c>
      <c r="J681">
        <v>1553098028</v>
      </c>
      <c r="K681">
        <v>2991561184</v>
      </c>
      <c r="L681">
        <v>2342324159</v>
      </c>
      <c r="M681">
        <v>3436994919</v>
      </c>
      <c r="N681">
        <v>5823931291</v>
      </c>
      <c r="O681">
        <v>4580291171</v>
      </c>
      <c r="P681">
        <v>74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5705242155</v>
      </c>
      <c r="G682">
        <v>5694137123</v>
      </c>
      <c r="H682">
        <v>7668228197</v>
      </c>
      <c r="I682">
        <v>7625965667</v>
      </c>
      <c r="J682">
        <v>7435610775</v>
      </c>
      <c r="K682">
        <v>7048974352</v>
      </c>
      <c r="L682">
        <v>7403996827</v>
      </c>
      <c r="M682">
        <v>6817544649</v>
      </c>
      <c r="N682">
        <v>6604959300</v>
      </c>
      <c r="O682">
        <v>5999829915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75232639716</v>
      </c>
      <c r="G683">
        <v>48815769230</v>
      </c>
      <c r="H683">
        <v>40357723423</v>
      </c>
      <c r="I683">
        <v>34015115043</v>
      </c>
      <c r="J683">
        <v>23462419021</v>
      </c>
      <c r="K683">
        <v>15280964375</v>
      </c>
      <c r="L683">
        <v>17736765416</v>
      </c>
      <c r="M683">
        <v>21454827127</v>
      </c>
      <c r="N683">
        <v>27839068776</v>
      </c>
      <c r="O683">
        <v>26780976160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"600788"</f>
        <v>600788</v>
      </c>
      <c r="C684" t="s">
        <v>1594</v>
      </c>
      <c r="P684">
        <v>5</v>
      </c>
      <c r="Q684" t="s">
        <v>1595</v>
      </c>
    </row>
    <row r="685" spans="1:17" x14ac:dyDescent="0.3">
      <c r="A685" t="s">
        <v>17</v>
      </c>
      <c r="B685" t="str">
        <f>"600789"</f>
        <v>600789</v>
      </c>
      <c r="C685" t="s">
        <v>1596</v>
      </c>
      <c r="D685" t="s">
        <v>143</v>
      </c>
      <c r="F685">
        <v>4890672608</v>
      </c>
      <c r="G685">
        <v>4205109098</v>
      </c>
      <c r="H685">
        <v>3732718883</v>
      </c>
      <c r="I685">
        <v>3329604787</v>
      </c>
      <c r="J685">
        <v>2599288881</v>
      </c>
      <c r="K685">
        <v>2505591895</v>
      </c>
      <c r="L685">
        <v>2410287716</v>
      </c>
      <c r="M685">
        <v>2312103138</v>
      </c>
      <c r="N685">
        <v>2210685343</v>
      </c>
      <c r="O685">
        <v>2339454261</v>
      </c>
      <c r="P685">
        <v>245</v>
      </c>
      <c r="Q685" t="s">
        <v>1597</v>
      </c>
    </row>
    <row r="686" spans="1:17" x14ac:dyDescent="0.3">
      <c r="A686" t="s">
        <v>17</v>
      </c>
      <c r="B686" t="str">
        <f>"600790"</f>
        <v>600790</v>
      </c>
      <c r="C686" t="s">
        <v>1598</v>
      </c>
      <c r="D686" t="s">
        <v>271</v>
      </c>
      <c r="F686">
        <v>927247958</v>
      </c>
      <c r="G686">
        <v>819658704</v>
      </c>
      <c r="H686">
        <v>981239467</v>
      </c>
      <c r="I686">
        <v>980380786</v>
      </c>
      <c r="J686">
        <v>924675953</v>
      </c>
      <c r="K686">
        <v>812067450</v>
      </c>
      <c r="L686">
        <v>790714022</v>
      </c>
      <c r="M686">
        <v>809760216</v>
      </c>
      <c r="N686">
        <v>679567476</v>
      </c>
      <c r="O686">
        <v>444711648</v>
      </c>
      <c r="P686">
        <v>183</v>
      </c>
      <c r="Q686" t="s">
        <v>1599</v>
      </c>
    </row>
    <row r="687" spans="1:17" x14ac:dyDescent="0.3">
      <c r="A687" t="s">
        <v>17</v>
      </c>
      <c r="B687" t="str">
        <f>"600791"</f>
        <v>600791</v>
      </c>
      <c r="C687" t="s">
        <v>1600</v>
      </c>
      <c r="D687" t="s">
        <v>104</v>
      </c>
      <c r="F687">
        <v>2132805344</v>
      </c>
      <c r="G687">
        <v>312809131</v>
      </c>
      <c r="H687">
        <v>1183465586</v>
      </c>
      <c r="I687">
        <v>1015582098</v>
      </c>
      <c r="J687">
        <v>743146076</v>
      </c>
      <c r="K687">
        <v>762230941</v>
      </c>
      <c r="L687">
        <v>829720902</v>
      </c>
      <c r="M687">
        <v>1892328338</v>
      </c>
      <c r="N687">
        <v>1473119248</v>
      </c>
      <c r="O687">
        <v>1078363437</v>
      </c>
      <c r="P687">
        <v>105</v>
      </c>
      <c r="Q687" t="s">
        <v>1601</v>
      </c>
    </row>
    <row r="688" spans="1:17" x14ac:dyDescent="0.3">
      <c r="A688" t="s">
        <v>17</v>
      </c>
      <c r="B688" t="str">
        <f>"600792"</f>
        <v>600792</v>
      </c>
      <c r="C688" t="s">
        <v>1602</v>
      </c>
      <c r="D688" t="s">
        <v>885</v>
      </c>
      <c r="F688">
        <v>6101186004</v>
      </c>
      <c r="G688">
        <v>4720446671</v>
      </c>
      <c r="H688">
        <v>5725813062</v>
      </c>
      <c r="I688">
        <v>5399279342</v>
      </c>
      <c r="J688">
        <v>4422929775</v>
      </c>
      <c r="K688">
        <v>3375166042</v>
      </c>
      <c r="L688">
        <v>3453814257</v>
      </c>
      <c r="M688">
        <v>4886102450</v>
      </c>
      <c r="N688">
        <v>6473137221</v>
      </c>
      <c r="O688">
        <v>6577154843</v>
      </c>
      <c r="P688">
        <v>97</v>
      </c>
      <c r="Q688" t="s">
        <v>1603</v>
      </c>
    </row>
    <row r="689" spans="1:17" x14ac:dyDescent="0.3">
      <c r="A689" t="s">
        <v>17</v>
      </c>
      <c r="B689" t="str">
        <f>"600793"</f>
        <v>600793</v>
      </c>
      <c r="C689" t="s">
        <v>1604</v>
      </c>
      <c r="D689" t="s">
        <v>244</v>
      </c>
      <c r="F689">
        <v>2116918994</v>
      </c>
      <c r="G689">
        <v>1866535101</v>
      </c>
      <c r="H689">
        <v>1601188963</v>
      </c>
      <c r="I689">
        <v>1292798477</v>
      </c>
      <c r="J689">
        <v>1157964830</v>
      </c>
      <c r="K689">
        <v>444879514</v>
      </c>
      <c r="L689">
        <v>13687663</v>
      </c>
      <c r="M689">
        <v>10625809</v>
      </c>
      <c r="N689">
        <v>10543167</v>
      </c>
      <c r="O689">
        <v>18606804</v>
      </c>
      <c r="P689">
        <v>109</v>
      </c>
      <c r="Q689" t="s">
        <v>1605</v>
      </c>
    </row>
    <row r="690" spans="1:17" x14ac:dyDescent="0.3">
      <c r="A690" t="s">
        <v>17</v>
      </c>
      <c r="B690" t="str">
        <f>"600794"</f>
        <v>600794</v>
      </c>
      <c r="C690" t="s">
        <v>1606</v>
      </c>
      <c r="D690" t="s">
        <v>1592</v>
      </c>
      <c r="F690">
        <v>1871186530</v>
      </c>
      <c r="G690">
        <v>2064349367</v>
      </c>
      <c r="H690">
        <v>1876965973</v>
      </c>
      <c r="I690">
        <v>1364233052</v>
      </c>
      <c r="J690">
        <v>1048540668</v>
      </c>
      <c r="K690">
        <v>841846926</v>
      </c>
      <c r="L690">
        <v>638753811</v>
      </c>
      <c r="M690">
        <v>758284112</v>
      </c>
      <c r="N690">
        <v>392702098</v>
      </c>
      <c r="O690">
        <v>371895265</v>
      </c>
      <c r="P690">
        <v>99</v>
      </c>
      <c r="Q690" t="s">
        <v>1607</v>
      </c>
    </row>
    <row r="691" spans="1:17" x14ac:dyDescent="0.3">
      <c r="A691" t="s">
        <v>17</v>
      </c>
      <c r="B691" t="str">
        <f>"600795"</f>
        <v>600795</v>
      </c>
      <c r="C691" t="s">
        <v>1608</v>
      </c>
      <c r="D691" t="s">
        <v>41</v>
      </c>
      <c r="F691">
        <v>168185484387</v>
      </c>
      <c r="G691">
        <v>116421161443</v>
      </c>
      <c r="H691">
        <v>116599292225</v>
      </c>
      <c r="I691">
        <v>65489652036</v>
      </c>
      <c r="J691">
        <v>59833177754</v>
      </c>
      <c r="K691">
        <v>58416049767</v>
      </c>
      <c r="L691">
        <v>54582558773</v>
      </c>
      <c r="M691">
        <v>61474849060</v>
      </c>
      <c r="N691">
        <v>66306847585</v>
      </c>
      <c r="O691">
        <v>55683577398</v>
      </c>
      <c r="P691">
        <v>548</v>
      </c>
      <c r="Q691" t="s">
        <v>1609</v>
      </c>
    </row>
    <row r="692" spans="1:17" x14ac:dyDescent="0.3">
      <c r="A692" t="s">
        <v>17</v>
      </c>
      <c r="B692" t="str">
        <f>"600796"</f>
        <v>600796</v>
      </c>
      <c r="C692" t="s">
        <v>1610</v>
      </c>
      <c r="D692" t="s">
        <v>853</v>
      </c>
      <c r="F692">
        <v>2030900982</v>
      </c>
      <c r="G692">
        <v>429593878</v>
      </c>
      <c r="H692">
        <v>380287653</v>
      </c>
      <c r="I692">
        <v>442733052</v>
      </c>
      <c r="J692">
        <v>467584528</v>
      </c>
      <c r="K692">
        <v>444081083</v>
      </c>
      <c r="L692">
        <v>474020050</v>
      </c>
      <c r="M692">
        <v>398086531</v>
      </c>
      <c r="N692">
        <v>482120871</v>
      </c>
      <c r="O692">
        <v>445941811</v>
      </c>
      <c r="P692">
        <v>73</v>
      </c>
      <c r="Q692" t="s">
        <v>1611</v>
      </c>
    </row>
    <row r="693" spans="1:17" x14ac:dyDescent="0.3">
      <c r="A693" t="s">
        <v>17</v>
      </c>
      <c r="B693" t="str">
        <f>"600797"</f>
        <v>600797</v>
      </c>
      <c r="C693" t="s">
        <v>1612</v>
      </c>
      <c r="D693" t="s">
        <v>316</v>
      </c>
      <c r="F693">
        <v>4245517147</v>
      </c>
      <c r="G693">
        <v>3804153537</v>
      </c>
      <c r="H693">
        <v>3747527644</v>
      </c>
      <c r="I693">
        <v>3557618181</v>
      </c>
      <c r="J693">
        <v>3253210634</v>
      </c>
      <c r="K693">
        <v>4079562142</v>
      </c>
      <c r="L693">
        <v>5269210756</v>
      </c>
      <c r="M693">
        <v>4704471334</v>
      </c>
      <c r="N693">
        <v>5205236644</v>
      </c>
      <c r="O693">
        <v>4984916338</v>
      </c>
      <c r="P693">
        <v>221</v>
      </c>
      <c r="Q693" t="s">
        <v>1613</v>
      </c>
    </row>
    <row r="694" spans="1:17" x14ac:dyDescent="0.3">
      <c r="A694" t="s">
        <v>17</v>
      </c>
      <c r="B694" t="str">
        <f>"600798"</f>
        <v>600798</v>
      </c>
      <c r="C694" t="s">
        <v>1614</v>
      </c>
      <c r="D694" t="s">
        <v>69</v>
      </c>
      <c r="F694">
        <v>2343658472</v>
      </c>
      <c r="G694">
        <v>2282106617</v>
      </c>
      <c r="H694">
        <v>2324346176</v>
      </c>
      <c r="I694">
        <v>2570846013</v>
      </c>
      <c r="J694">
        <v>1587239982</v>
      </c>
      <c r="K694">
        <v>1131572778</v>
      </c>
      <c r="L694">
        <v>1046949289</v>
      </c>
      <c r="M694">
        <v>1089583904</v>
      </c>
      <c r="N694">
        <v>1061670247</v>
      </c>
      <c r="O694">
        <v>1022345867</v>
      </c>
      <c r="P694">
        <v>142</v>
      </c>
      <c r="Q694" t="s">
        <v>1615</v>
      </c>
    </row>
    <row r="695" spans="1:17" x14ac:dyDescent="0.3">
      <c r="A695" t="s">
        <v>17</v>
      </c>
      <c r="B695" t="str">
        <f>"600800"</f>
        <v>600800</v>
      </c>
      <c r="C695" t="s">
        <v>1616</v>
      </c>
      <c r="D695" t="s">
        <v>1617</v>
      </c>
      <c r="F695">
        <v>4246640911</v>
      </c>
      <c r="G695">
        <v>2734712257</v>
      </c>
      <c r="H695">
        <v>104004658</v>
      </c>
      <c r="I695">
        <v>145291979</v>
      </c>
      <c r="J695">
        <v>141632336</v>
      </c>
      <c r="K695">
        <v>132660684</v>
      </c>
      <c r="L695">
        <v>132288814</v>
      </c>
      <c r="M695">
        <v>153091833</v>
      </c>
      <c r="N695">
        <v>181616225</v>
      </c>
      <c r="O695">
        <v>143478412</v>
      </c>
      <c r="P695">
        <v>147</v>
      </c>
      <c r="Q695" t="s">
        <v>1618</v>
      </c>
    </row>
    <row r="696" spans="1:17" x14ac:dyDescent="0.3">
      <c r="A696" t="s">
        <v>17</v>
      </c>
      <c r="B696" t="str">
        <f>"600801"</f>
        <v>600801</v>
      </c>
      <c r="C696" t="s">
        <v>1619</v>
      </c>
      <c r="D696" t="s">
        <v>731</v>
      </c>
      <c r="F696">
        <v>32464083379</v>
      </c>
      <c r="G696">
        <v>29356515691</v>
      </c>
      <c r="H696">
        <v>31439214600</v>
      </c>
      <c r="I696">
        <v>27466044481</v>
      </c>
      <c r="J696">
        <v>20889291990</v>
      </c>
      <c r="K696">
        <v>13525759490</v>
      </c>
      <c r="L696">
        <v>13271319219</v>
      </c>
      <c r="M696">
        <v>15996149247</v>
      </c>
      <c r="N696">
        <v>15984355256</v>
      </c>
      <c r="O696">
        <v>12520527247</v>
      </c>
      <c r="P696">
        <v>1594</v>
      </c>
      <c r="Q696" t="s">
        <v>1620</v>
      </c>
    </row>
    <row r="697" spans="1:17" x14ac:dyDescent="0.3">
      <c r="A697" t="s">
        <v>17</v>
      </c>
      <c r="B697" t="str">
        <f>"600802"</f>
        <v>600802</v>
      </c>
      <c r="C697" t="s">
        <v>1621</v>
      </c>
      <c r="D697" t="s">
        <v>731</v>
      </c>
      <c r="F697">
        <v>3616507450</v>
      </c>
      <c r="G697">
        <v>2960467154</v>
      </c>
      <c r="H697">
        <v>3043783250</v>
      </c>
      <c r="I697">
        <v>2947371480</v>
      </c>
      <c r="J697">
        <v>1834340566</v>
      </c>
      <c r="K697">
        <v>1323317262</v>
      </c>
      <c r="L697">
        <v>1524466261</v>
      </c>
      <c r="M697">
        <v>2061836155</v>
      </c>
      <c r="N697">
        <v>1819578484</v>
      </c>
      <c r="O697">
        <v>1618811821</v>
      </c>
      <c r="P697">
        <v>248</v>
      </c>
      <c r="Q697" t="s">
        <v>1622</v>
      </c>
    </row>
    <row r="698" spans="1:17" x14ac:dyDescent="0.3">
      <c r="A698" t="s">
        <v>17</v>
      </c>
      <c r="B698" t="str">
        <f>"600803"</f>
        <v>600803</v>
      </c>
      <c r="C698" t="s">
        <v>1623</v>
      </c>
      <c r="D698" t="s">
        <v>749</v>
      </c>
      <c r="F698">
        <v>115919630000</v>
      </c>
      <c r="G698">
        <v>88098770000</v>
      </c>
      <c r="H698">
        <v>13544053455</v>
      </c>
      <c r="I698">
        <v>13632478995</v>
      </c>
      <c r="J698">
        <v>10035632884</v>
      </c>
      <c r="K698">
        <v>6395592888</v>
      </c>
      <c r="L698">
        <v>5659165544</v>
      </c>
      <c r="M698">
        <v>4868705484</v>
      </c>
      <c r="N698">
        <v>4707563660</v>
      </c>
      <c r="O698">
        <v>1804236988</v>
      </c>
      <c r="P698">
        <v>577</v>
      </c>
      <c r="Q698" t="s">
        <v>1624</v>
      </c>
    </row>
    <row r="699" spans="1:17" x14ac:dyDescent="0.3">
      <c r="A699" t="s">
        <v>17</v>
      </c>
      <c r="B699" t="str">
        <f>"600804"</f>
        <v>600804</v>
      </c>
      <c r="C699" t="s">
        <v>1625</v>
      </c>
      <c r="D699" t="s">
        <v>107</v>
      </c>
      <c r="F699">
        <v>3951776990</v>
      </c>
      <c r="G699">
        <v>5240092070</v>
      </c>
      <c r="H699">
        <v>6049857296</v>
      </c>
      <c r="I699">
        <v>6859677742</v>
      </c>
      <c r="J699">
        <v>8169698714</v>
      </c>
      <c r="K699">
        <v>8849712407</v>
      </c>
      <c r="L699">
        <v>7925941304</v>
      </c>
      <c r="M699">
        <v>6962714808</v>
      </c>
      <c r="N699">
        <v>5818345230</v>
      </c>
      <c r="O699">
        <v>2560217120</v>
      </c>
      <c r="P699">
        <v>460</v>
      </c>
      <c r="Q699" t="s">
        <v>1626</v>
      </c>
    </row>
    <row r="700" spans="1:17" x14ac:dyDescent="0.3">
      <c r="A700" t="s">
        <v>17</v>
      </c>
      <c r="B700" t="str">
        <f>"600805"</f>
        <v>600805</v>
      </c>
      <c r="C700" t="s">
        <v>1627</v>
      </c>
      <c r="D700" t="s">
        <v>110</v>
      </c>
      <c r="F700">
        <v>3886938762</v>
      </c>
      <c r="G700">
        <v>3025637691</v>
      </c>
      <c r="H700">
        <v>2581812921</v>
      </c>
      <c r="I700">
        <v>2085400662</v>
      </c>
      <c r="J700">
        <v>1525182254</v>
      </c>
      <c r="K700">
        <v>1548829979</v>
      </c>
      <c r="L700">
        <v>1764166527</v>
      </c>
      <c r="M700">
        <v>2282756684</v>
      </c>
      <c r="N700">
        <v>2110267229</v>
      </c>
      <c r="O700">
        <v>2320393213</v>
      </c>
      <c r="P700">
        <v>106</v>
      </c>
      <c r="Q700" t="s">
        <v>1628</v>
      </c>
    </row>
    <row r="701" spans="1:17" x14ac:dyDescent="0.3">
      <c r="A701" t="s">
        <v>17</v>
      </c>
      <c r="B701" t="str">
        <f>"600806"</f>
        <v>600806</v>
      </c>
      <c r="C701" t="s">
        <v>1629</v>
      </c>
      <c r="J701">
        <v>560399237</v>
      </c>
      <c r="K701">
        <v>617752190</v>
      </c>
      <c r="L701">
        <v>776594761.09000003</v>
      </c>
      <c r="M701">
        <v>867889305.63999999</v>
      </c>
      <c r="N701">
        <v>1062835255.27</v>
      </c>
      <c r="O701">
        <v>1086311095.78</v>
      </c>
      <c r="P701">
        <v>11</v>
      </c>
      <c r="Q701" t="s">
        <v>1630</v>
      </c>
    </row>
    <row r="702" spans="1:17" x14ac:dyDescent="0.3">
      <c r="A702" t="s">
        <v>17</v>
      </c>
      <c r="B702" t="str">
        <f>"600807"</f>
        <v>600807</v>
      </c>
      <c r="C702" t="s">
        <v>1631</v>
      </c>
      <c r="D702" t="s">
        <v>104</v>
      </c>
      <c r="F702">
        <v>1281549835</v>
      </c>
      <c r="G702">
        <v>1089264386</v>
      </c>
      <c r="H702">
        <v>1522303329</v>
      </c>
      <c r="I702">
        <v>1422148984</v>
      </c>
      <c r="J702">
        <v>1910941270</v>
      </c>
      <c r="K702">
        <v>2098251454</v>
      </c>
      <c r="L702">
        <v>1213144190</v>
      </c>
      <c r="M702">
        <v>846431644</v>
      </c>
      <c r="N702">
        <v>757035616</v>
      </c>
      <c r="O702">
        <v>487319582</v>
      </c>
      <c r="P702">
        <v>111</v>
      </c>
      <c r="Q702" t="s">
        <v>1632</v>
      </c>
    </row>
    <row r="703" spans="1:17" x14ac:dyDescent="0.3">
      <c r="A703" t="s">
        <v>17</v>
      </c>
      <c r="B703" t="str">
        <f>"600808"</f>
        <v>600808</v>
      </c>
      <c r="C703" t="s">
        <v>1633</v>
      </c>
      <c r="D703" t="s">
        <v>38</v>
      </c>
      <c r="F703">
        <v>113851189379</v>
      </c>
      <c r="G703">
        <v>81614151183</v>
      </c>
      <c r="H703">
        <v>78262846004</v>
      </c>
      <c r="I703">
        <v>81951813488</v>
      </c>
      <c r="J703">
        <v>73228029624</v>
      </c>
      <c r="K703">
        <v>48275100310</v>
      </c>
      <c r="L703">
        <v>45108926739</v>
      </c>
      <c r="M703">
        <v>59820938286</v>
      </c>
      <c r="N703">
        <v>73848883383</v>
      </c>
      <c r="O703">
        <v>74404364038</v>
      </c>
      <c r="P703">
        <v>636</v>
      </c>
      <c r="Q703" t="s">
        <v>1634</v>
      </c>
    </row>
    <row r="704" spans="1:17" x14ac:dyDescent="0.3">
      <c r="A704" t="s">
        <v>17</v>
      </c>
      <c r="B704" t="str">
        <f>"600809"</f>
        <v>600809</v>
      </c>
      <c r="C704" t="s">
        <v>1635</v>
      </c>
      <c r="D704" t="s">
        <v>458</v>
      </c>
      <c r="F704">
        <v>19970986259</v>
      </c>
      <c r="G704">
        <v>13989804851</v>
      </c>
      <c r="H704">
        <v>11880073342</v>
      </c>
      <c r="I704">
        <v>9381937874</v>
      </c>
      <c r="J704">
        <v>6037481699</v>
      </c>
      <c r="K704">
        <v>4404948312</v>
      </c>
      <c r="L704">
        <v>4128558455</v>
      </c>
      <c r="M704">
        <v>3916067369</v>
      </c>
      <c r="N704">
        <v>6087199948</v>
      </c>
      <c r="O704">
        <v>6478763910</v>
      </c>
      <c r="P704">
        <v>3740</v>
      </c>
      <c r="Q704" t="s">
        <v>1636</v>
      </c>
    </row>
    <row r="705" spans="1:17" x14ac:dyDescent="0.3">
      <c r="A705" t="s">
        <v>17</v>
      </c>
      <c r="B705" t="str">
        <f>"600810"</f>
        <v>600810</v>
      </c>
      <c r="C705" t="s">
        <v>1637</v>
      </c>
      <c r="D705" t="s">
        <v>1638</v>
      </c>
      <c r="F705">
        <v>13415143152</v>
      </c>
      <c r="G705">
        <v>8912000064</v>
      </c>
      <c r="H705">
        <v>13022184279</v>
      </c>
      <c r="I705">
        <v>11153158282</v>
      </c>
      <c r="J705">
        <v>10684740404</v>
      </c>
      <c r="K705">
        <v>10040256145</v>
      </c>
      <c r="L705">
        <v>8088987117</v>
      </c>
      <c r="M705">
        <v>14886143548</v>
      </c>
      <c r="N705">
        <v>14694215975</v>
      </c>
      <c r="O705">
        <v>17098048608</v>
      </c>
      <c r="P705">
        <v>354</v>
      </c>
      <c r="Q705" t="s">
        <v>1639</v>
      </c>
    </row>
    <row r="706" spans="1:17" x14ac:dyDescent="0.3">
      <c r="A706" t="s">
        <v>17</v>
      </c>
      <c r="B706" t="str">
        <f>"600811"</f>
        <v>600811</v>
      </c>
      <c r="C706" t="s">
        <v>1640</v>
      </c>
      <c r="D706" t="s">
        <v>110</v>
      </c>
      <c r="F706">
        <v>15182888906</v>
      </c>
      <c r="G706">
        <v>15461424930</v>
      </c>
      <c r="H706">
        <v>13160421796</v>
      </c>
      <c r="I706">
        <v>14479937673</v>
      </c>
      <c r="J706">
        <v>7952096902</v>
      </c>
      <c r="K706">
        <v>6343195708</v>
      </c>
      <c r="L706">
        <v>6214369312</v>
      </c>
      <c r="M706">
        <v>5755568065</v>
      </c>
      <c r="N706">
        <v>8224434163</v>
      </c>
      <c r="O706">
        <v>6472701807</v>
      </c>
      <c r="P706">
        <v>205</v>
      </c>
      <c r="Q706" t="s">
        <v>1641</v>
      </c>
    </row>
    <row r="707" spans="1:17" x14ac:dyDescent="0.3">
      <c r="A707" t="s">
        <v>17</v>
      </c>
      <c r="B707" t="str">
        <f>"600812"</f>
        <v>600812</v>
      </c>
      <c r="C707" t="s">
        <v>1642</v>
      </c>
      <c r="D707" t="s">
        <v>143</v>
      </c>
      <c r="F707">
        <v>10384575261</v>
      </c>
      <c r="G707">
        <v>11492504163</v>
      </c>
      <c r="H707">
        <v>10880767824</v>
      </c>
      <c r="I707">
        <v>9213775284</v>
      </c>
      <c r="J707">
        <v>7709121877</v>
      </c>
      <c r="K707">
        <v>8082462781</v>
      </c>
      <c r="L707">
        <v>7902502297</v>
      </c>
      <c r="M707">
        <v>9400972695</v>
      </c>
      <c r="N707">
        <v>12438143702</v>
      </c>
      <c r="O707">
        <v>11125706156</v>
      </c>
      <c r="P707">
        <v>226</v>
      </c>
      <c r="Q707" t="s">
        <v>1643</v>
      </c>
    </row>
    <row r="708" spans="1:17" x14ac:dyDescent="0.3">
      <c r="A708" t="s">
        <v>17</v>
      </c>
      <c r="B708" t="str">
        <f>"600813"</f>
        <v>600813</v>
      </c>
      <c r="C708" t="s">
        <v>1644</v>
      </c>
      <c r="K708">
        <v>42592307.32</v>
      </c>
      <c r="L708">
        <v>46190119.579999998</v>
      </c>
      <c r="M708">
        <v>1904454.02</v>
      </c>
      <c r="N708">
        <v>3719335.31</v>
      </c>
      <c r="O708">
        <v>2566239.39</v>
      </c>
      <c r="P708">
        <v>2</v>
      </c>
      <c r="Q708" t="s">
        <v>1645</v>
      </c>
    </row>
    <row r="709" spans="1:17" x14ac:dyDescent="0.3">
      <c r="A709" t="s">
        <v>17</v>
      </c>
      <c r="B709" t="str">
        <f>"600814"</f>
        <v>600814</v>
      </c>
      <c r="C709" t="s">
        <v>1646</v>
      </c>
      <c r="D709" t="s">
        <v>633</v>
      </c>
      <c r="F709">
        <v>2129320617</v>
      </c>
      <c r="G709">
        <v>1789592355</v>
      </c>
      <c r="H709">
        <v>6400020715</v>
      </c>
      <c r="I709">
        <v>5908850696</v>
      </c>
      <c r="J709">
        <v>5780119975</v>
      </c>
      <c r="K709">
        <v>5241450275</v>
      </c>
      <c r="L709">
        <v>5366107669</v>
      </c>
      <c r="M709">
        <v>6054679420</v>
      </c>
      <c r="N709">
        <v>2099550247</v>
      </c>
      <c r="O709">
        <v>2146480250</v>
      </c>
      <c r="P709">
        <v>150</v>
      </c>
      <c r="Q709" t="s">
        <v>1647</v>
      </c>
    </row>
    <row r="710" spans="1:17" x14ac:dyDescent="0.3">
      <c r="A710" t="s">
        <v>17</v>
      </c>
      <c r="B710" t="str">
        <f>"600815"</f>
        <v>600815</v>
      </c>
      <c r="C710" t="s">
        <v>1648</v>
      </c>
      <c r="D710" t="s">
        <v>83</v>
      </c>
      <c r="F710">
        <v>1551270313</v>
      </c>
      <c r="G710">
        <v>1920119498</v>
      </c>
      <c r="H710">
        <v>1871513158</v>
      </c>
      <c r="I710">
        <v>2837897217</v>
      </c>
      <c r="J710">
        <v>4448565472</v>
      </c>
      <c r="K710">
        <v>3241039806</v>
      </c>
      <c r="L710">
        <v>3067939919</v>
      </c>
      <c r="M710">
        <v>4559520398</v>
      </c>
      <c r="N710">
        <v>6497414937</v>
      </c>
      <c r="O710">
        <v>8149834153</v>
      </c>
      <c r="P710">
        <v>67</v>
      </c>
      <c r="Q710" t="s">
        <v>1649</v>
      </c>
    </row>
    <row r="711" spans="1:17" x14ac:dyDescent="0.3">
      <c r="A711" t="s">
        <v>17</v>
      </c>
      <c r="B711" t="str">
        <f>"600816"</f>
        <v>600816</v>
      </c>
      <c r="C711" t="s">
        <v>1650</v>
      </c>
      <c r="D711" t="s">
        <v>1651</v>
      </c>
      <c r="H711">
        <v>478140151</v>
      </c>
      <c r="I711">
        <v>204650071</v>
      </c>
      <c r="J711">
        <v>5592427918</v>
      </c>
      <c r="K711">
        <v>5245959044</v>
      </c>
      <c r="L711">
        <v>2954767340</v>
      </c>
      <c r="M711">
        <v>1809379782</v>
      </c>
      <c r="N711">
        <v>879248478</v>
      </c>
      <c r="O711">
        <v>541765898</v>
      </c>
      <c r="P711">
        <v>6688</v>
      </c>
      <c r="Q711" t="s">
        <v>1652</v>
      </c>
    </row>
    <row r="712" spans="1:17" x14ac:dyDescent="0.3">
      <c r="A712" t="s">
        <v>17</v>
      </c>
      <c r="B712" t="str">
        <f>"600817"</f>
        <v>600817</v>
      </c>
      <c r="C712" t="s">
        <v>1653</v>
      </c>
      <c r="D712" t="s">
        <v>83</v>
      </c>
      <c r="F712">
        <v>3756540016</v>
      </c>
      <c r="G712">
        <v>3484230091</v>
      </c>
      <c r="H712">
        <v>58113309</v>
      </c>
      <c r="I712">
        <v>49818612</v>
      </c>
      <c r="J712">
        <v>11054120</v>
      </c>
      <c r="K712">
        <v>5389404</v>
      </c>
      <c r="L712">
        <v>12042389</v>
      </c>
      <c r="M712">
        <v>31020949</v>
      </c>
      <c r="N712">
        <v>51524556</v>
      </c>
      <c r="O712">
        <v>41581500</v>
      </c>
      <c r="P712">
        <v>104</v>
      </c>
      <c r="Q712" t="s">
        <v>1654</v>
      </c>
    </row>
    <row r="713" spans="1:17" x14ac:dyDescent="0.3">
      <c r="A713" t="s">
        <v>17</v>
      </c>
      <c r="B713" t="str">
        <f>"600818"</f>
        <v>600818</v>
      </c>
      <c r="C713" t="s">
        <v>1655</v>
      </c>
      <c r="D713" t="s">
        <v>1656</v>
      </c>
      <c r="F713">
        <v>722118127</v>
      </c>
      <c r="G713">
        <v>734397436</v>
      </c>
      <c r="H713">
        <v>584723848</v>
      </c>
      <c r="I713">
        <v>528797170</v>
      </c>
      <c r="J713">
        <v>604442010</v>
      </c>
      <c r="K713">
        <v>681114358</v>
      </c>
      <c r="L713">
        <v>656366249</v>
      </c>
      <c r="M713">
        <v>662712152</v>
      </c>
      <c r="N713">
        <v>660151464</v>
      </c>
      <c r="O713">
        <v>535621501</v>
      </c>
      <c r="P713">
        <v>82</v>
      </c>
      <c r="Q713" t="s">
        <v>1657</v>
      </c>
    </row>
    <row r="714" spans="1:17" x14ac:dyDescent="0.3">
      <c r="A714" t="s">
        <v>17</v>
      </c>
      <c r="B714" t="str">
        <f>"600819"</f>
        <v>600819</v>
      </c>
      <c r="C714" t="s">
        <v>1658</v>
      </c>
      <c r="D714" t="s">
        <v>666</v>
      </c>
      <c r="F714">
        <v>4649077260</v>
      </c>
      <c r="G714">
        <v>4084692751</v>
      </c>
      <c r="H714">
        <v>4511016243</v>
      </c>
      <c r="I714">
        <v>3857409864</v>
      </c>
      <c r="J714">
        <v>3273427197</v>
      </c>
      <c r="K714">
        <v>2943011024</v>
      </c>
      <c r="L714">
        <v>2747743272</v>
      </c>
      <c r="M714">
        <v>2864912952</v>
      </c>
      <c r="N714">
        <v>2491103646</v>
      </c>
      <c r="O714">
        <v>2307631891</v>
      </c>
      <c r="P714">
        <v>94</v>
      </c>
      <c r="Q714" t="s">
        <v>1659</v>
      </c>
    </row>
    <row r="715" spans="1:17" x14ac:dyDescent="0.3">
      <c r="A715" t="s">
        <v>17</v>
      </c>
      <c r="B715" t="str">
        <f>"600820"</f>
        <v>600820</v>
      </c>
      <c r="C715" t="s">
        <v>1660</v>
      </c>
      <c r="D715" t="s">
        <v>101</v>
      </c>
      <c r="F715">
        <v>62226139989</v>
      </c>
      <c r="G715">
        <v>54006246910</v>
      </c>
      <c r="H715">
        <v>43623680176</v>
      </c>
      <c r="I715">
        <v>37266241026</v>
      </c>
      <c r="J715">
        <v>31526437708</v>
      </c>
      <c r="K715">
        <v>28828468838</v>
      </c>
      <c r="L715">
        <v>26803174607</v>
      </c>
      <c r="M715">
        <v>25421811447</v>
      </c>
      <c r="N715">
        <v>23501138527</v>
      </c>
      <c r="O715">
        <v>21988973642</v>
      </c>
      <c r="P715">
        <v>685</v>
      </c>
      <c r="Q715" t="s">
        <v>1661</v>
      </c>
    </row>
    <row r="716" spans="1:17" x14ac:dyDescent="0.3">
      <c r="A716" t="s">
        <v>17</v>
      </c>
      <c r="B716" t="str">
        <f>"600821"</f>
        <v>600821</v>
      </c>
      <c r="C716" t="s">
        <v>1662</v>
      </c>
      <c r="D716" t="s">
        <v>633</v>
      </c>
      <c r="F716">
        <v>1907925492</v>
      </c>
      <c r="G716">
        <v>1356861473</v>
      </c>
      <c r="H716">
        <v>69758922</v>
      </c>
      <c r="I716">
        <v>158829045</v>
      </c>
      <c r="J716">
        <v>206182064</v>
      </c>
      <c r="K716">
        <v>272314925</v>
      </c>
      <c r="L716">
        <v>550152011</v>
      </c>
      <c r="M716">
        <v>611775318</v>
      </c>
      <c r="N716">
        <v>862460167</v>
      </c>
      <c r="O716">
        <v>752156684</v>
      </c>
      <c r="P716">
        <v>125</v>
      </c>
      <c r="Q716" t="s">
        <v>1663</v>
      </c>
    </row>
    <row r="717" spans="1:17" x14ac:dyDescent="0.3">
      <c r="A717" t="s">
        <v>17</v>
      </c>
      <c r="B717" t="str">
        <f>"600822"</f>
        <v>600822</v>
      </c>
      <c r="C717" t="s">
        <v>1664</v>
      </c>
      <c r="D717" t="s">
        <v>672</v>
      </c>
      <c r="F717">
        <v>6566846241</v>
      </c>
      <c r="G717">
        <v>7855730895</v>
      </c>
      <c r="H717">
        <v>7297190184</v>
      </c>
      <c r="I717">
        <v>6184863971</v>
      </c>
      <c r="J717">
        <v>6103450844</v>
      </c>
      <c r="K717">
        <v>16422440079</v>
      </c>
      <c r="L717">
        <v>57025945987</v>
      </c>
      <c r="M717">
        <v>69626032992</v>
      </c>
      <c r="N717">
        <v>97501653932</v>
      </c>
      <c r="O717">
        <v>95270214407</v>
      </c>
      <c r="P717">
        <v>75</v>
      </c>
      <c r="Q717" t="s">
        <v>1665</v>
      </c>
    </row>
    <row r="718" spans="1:17" x14ac:dyDescent="0.3">
      <c r="A718" t="s">
        <v>17</v>
      </c>
      <c r="B718" t="str">
        <f>"600823"</f>
        <v>600823</v>
      </c>
      <c r="C718" t="s">
        <v>1666</v>
      </c>
      <c r="D718" t="s">
        <v>104</v>
      </c>
      <c r="F718">
        <v>19391616443</v>
      </c>
      <c r="G718">
        <v>21705342236</v>
      </c>
      <c r="H718">
        <v>21449125613</v>
      </c>
      <c r="I718">
        <v>20674232950</v>
      </c>
      <c r="J718">
        <v>18666770430</v>
      </c>
      <c r="K718">
        <v>13708025121</v>
      </c>
      <c r="L718">
        <v>15032804826</v>
      </c>
      <c r="M718">
        <v>12700954265</v>
      </c>
      <c r="N718">
        <v>10153469910</v>
      </c>
      <c r="O718">
        <v>6785982435</v>
      </c>
      <c r="P718">
        <v>1058</v>
      </c>
      <c r="Q718" t="s">
        <v>1667</v>
      </c>
    </row>
    <row r="719" spans="1:17" x14ac:dyDescent="0.3">
      <c r="A719" t="s">
        <v>17</v>
      </c>
      <c r="B719" t="str">
        <f>"600824"</f>
        <v>600824</v>
      </c>
      <c r="C719" t="s">
        <v>1668</v>
      </c>
      <c r="D719" t="s">
        <v>1404</v>
      </c>
      <c r="F719">
        <v>999088623</v>
      </c>
      <c r="G719">
        <v>1011051653</v>
      </c>
      <c r="H719">
        <v>1475705853</v>
      </c>
      <c r="I719">
        <v>1477918376</v>
      </c>
      <c r="J719">
        <v>1846997339</v>
      </c>
      <c r="K719">
        <v>2842248224</v>
      </c>
      <c r="L719">
        <v>3111941811</v>
      </c>
      <c r="M719">
        <v>3084175966</v>
      </c>
      <c r="N719">
        <v>2979866315</v>
      </c>
      <c r="O719">
        <v>2604652202</v>
      </c>
      <c r="P719">
        <v>80</v>
      </c>
      <c r="Q719" t="s">
        <v>1669</v>
      </c>
    </row>
    <row r="720" spans="1:17" x14ac:dyDescent="0.3">
      <c r="A720" t="s">
        <v>17</v>
      </c>
      <c r="B720" t="str">
        <f>"600825"</f>
        <v>600825</v>
      </c>
      <c r="C720" t="s">
        <v>1670</v>
      </c>
      <c r="D720" t="s">
        <v>525</v>
      </c>
      <c r="F720">
        <v>1284302559</v>
      </c>
      <c r="G720">
        <v>1292840218</v>
      </c>
      <c r="H720">
        <v>1346633734</v>
      </c>
      <c r="I720">
        <v>1391240341</v>
      </c>
      <c r="J720">
        <v>1427161940</v>
      </c>
      <c r="K720">
        <v>1524573366</v>
      </c>
      <c r="L720">
        <v>1572706810</v>
      </c>
      <c r="M720">
        <v>1789013936</v>
      </c>
      <c r="N720">
        <v>1847477711</v>
      </c>
      <c r="O720">
        <v>1795491077</v>
      </c>
      <c r="P720">
        <v>84</v>
      </c>
      <c r="Q720" t="s">
        <v>1671</v>
      </c>
    </row>
    <row r="721" spans="1:17" x14ac:dyDescent="0.3">
      <c r="A721" t="s">
        <v>17</v>
      </c>
      <c r="B721" t="str">
        <f>"600826"</f>
        <v>600826</v>
      </c>
      <c r="C721" t="s">
        <v>1672</v>
      </c>
      <c r="D721" t="s">
        <v>1673</v>
      </c>
      <c r="F721">
        <v>924933195</v>
      </c>
      <c r="G721">
        <v>2982152999</v>
      </c>
      <c r="H721">
        <v>3610889691</v>
      </c>
      <c r="I721">
        <v>3305829174</v>
      </c>
      <c r="J721">
        <v>3335134943</v>
      </c>
      <c r="K721">
        <v>2590927956</v>
      </c>
      <c r="L721">
        <v>2393480182</v>
      </c>
      <c r="M721">
        <v>1386751781</v>
      </c>
      <c r="N721">
        <v>1239092191</v>
      </c>
      <c r="O721">
        <v>1326312946</v>
      </c>
      <c r="P721">
        <v>145</v>
      </c>
      <c r="Q721" t="s">
        <v>1674</v>
      </c>
    </row>
    <row r="722" spans="1:17" x14ac:dyDescent="0.3">
      <c r="A722" t="s">
        <v>17</v>
      </c>
      <c r="B722" t="str">
        <f>"600827"</f>
        <v>600827</v>
      </c>
      <c r="C722" t="s">
        <v>1276</v>
      </c>
      <c r="D722" t="s">
        <v>1404</v>
      </c>
      <c r="F722">
        <v>34650149417</v>
      </c>
      <c r="G722">
        <v>35209406173</v>
      </c>
      <c r="H722">
        <v>50458773218</v>
      </c>
      <c r="I722">
        <v>48426713008</v>
      </c>
      <c r="J722">
        <v>47181121376</v>
      </c>
      <c r="K722">
        <v>47077236629</v>
      </c>
      <c r="L722">
        <v>49218162313</v>
      </c>
      <c r="M722">
        <v>51164199968</v>
      </c>
      <c r="N722">
        <v>51925976561</v>
      </c>
      <c r="O722">
        <v>49262865667</v>
      </c>
      <c r="P722">
        <v>274</v>
      </c>
      <c r="Q722" t="s">
        <v>1675</v>
      </c>
    </row>
    <row r="723" spans="1:17" x14ac:dyDescent="0.3">
      <c r="A723" t="s">
        <v>17</v>
      </c>
      <c r="B723" t="str">
        <f>"600828"</f>
        <v>600828</v>
      </c>
      <c r="C723" t="s">
        <v>1676</v>
      </c>
      <c r="D723" t="s">
        <v>633</v>
      </c>
      <c r="F723">
        <v>4167802068</v>
      </c>
      <c r="G723">
        <v>3699218629</v>
      </c>
      <c r="H723">
        <v>12233770886</v>
      </c>
      <c r="I723">
        <v>13105313829</v>
      </c>
      <c r="J723">
        <v>11760549936</v>
      </c>
      <c r="K723">
        <v>9414253380</v>
      </c>
      <c r="L723">
        <v>1909240336</v>
      </c>
      <c r="M723">
        <v>2066717897</v>
      </c>
      <c r="N723">
        <v>2212110863</v>
      </c>
      <c r="O723">
        <v>2146401819</v>
      </c>
      <c r="P723">
        <v>628</v>
      </c>
      <c r="Q723" t="s">
        <v>1677</v>
      </c>
    </row>
    <row r="724" spans="1:17" x14ac:dyDescent="0.3">
      <c r="A724" t="s">
        <v>17</v>
      </c>
      <c r="B724" t="str">
        <f>"600829"</f>
        <v>600829</v>
      </c>
      <c r="C724" t="s">
        <v>1678</v>
      </c>
      <c r="D724" t="s">
        <v>125</v>
      </c>
      <c r="F724">
        <v>9315235613</v>
      </c>
      <c r="G724">
        <v>8005259689</v>
      </c>
      <c r="H724">
        <v>8353884452</v>
      </c>
      <c r="I724">
        <v>7055220885</v>
      </c>
      <c r="J724">
        <v>8008880953</v>
      </c>
      <c r="K724">
        <v>9005558984</v>
      </c>
      <c r="L724">
        <v>8909315338</v>
      </c>
      <c r="M724">
        <v>1738794725</v>
      </c>
      <c r="N724">
        <v>3177004853</v>
      </c>
      <c r="O724">
        <v>4068385293</v>
      </c>
      <c r="P724">
        <v>1902</v>
      </c>
      <c r="Q724" t="s">
        <v>1679</v>
      </c>
    </row>
    <row r="725" spans="1:17" x14ac:dyDescent="0.3">
      <c r="A725" t="s">
        <v>17</v>
      </c>
      <c r="B725" t="str">
        <f>"600830"</f>
        <v>600830</v>
      </c>
      <c r="C725" t="s">
        <v>1680</v>
      </c>
      <c r="D725" t="s">
        <v>140</v>
      </c>
      <c r="F725">
        <v>161078735</v>
      </c>
      <c r="G725">
        <v>85629642</v>
      </c>
      <c r="H725">
        <v>293213791</v>
      </c>
      <c r="I725">
        <v>701307906</v>
      </c>
      <c r="J725">
        <v>991942254</v>
      </c>
      <c r="K725">
        <v>1990318251</v>
      </c>
      <c r="L725">
        <v>1700936530</v>
      </c>
      <c r="M725">
        <v>1091324247</v>
      </c>
      <c r="N725">
        <v>1074105503</v>
      </c>
      <c r="O725">
        <v>1273534895</v>
      </c>
      <c r="P725">
        <v>73</v>
      </c>
      <c r="Q725" t="s">
        <v>1681</v>
      </c>
    </row>
    <row r="726" spans="1:17" x14ac:dyDescent="0.3">
      <c r="A726" t="s">
        <v>17</v>
      </c>
      <c r="B726" t="str">
        <f>"600831"</f>
        <v>600831</v>
      </c>
      <c r="C726" t="s">
        <v>1682</v>
      </c>
      <c r="D726" t="s">
        <v>95</v>
      </c>
      <c r="F726">
        <v>3005075913</v>
      </c>
      <c r="G726">
        <v>2760077360</v>
      </c>
      <c r="H726">
        <v>2629769583</v>
      </c>
      <c r="I726">
        <v>2713843226</v>
      </c>
      <c r="J726">
        <v>2853312787</v>
      </c>
      <c r="K726">
        <v>2596185052</v>
      </c>
      <c r="L726">
        <v>2386860188</v>
      </c>
      <c r="M726">
        <v>2298132690</v>
      </c>
      <c r="N726">
        <v>2031806270</v>
      </c>
      <c r="O726">
        <v>1724003642</v>
      </c>
      <c r="P726">
        <v>199</v>
      </c>
      <c r="Q726" t="s">
        <v>1683</v>
      </c>
    </row>
    <row r="727" spans="1:17" x14ac:dyDescent="0.3">
      <c r="A727" t="s">
        <v>17</v>
      </c>
      <c r="B727" t="str">
        <f>"600832"</f>
        <v>600832</v>
      </c>
      <c r="C727" t="s">
        <v>1287</v>
      </c>
      <c r="M727">
        <v>4595929940.54</v>
      </c>
      <c r="N727">
        <v>3626429879.0900002</v>
      </c>
      <c r="O727">
        <v>3124742574.3000002</v>
      </c>
      <c r="P727">
        <v>15</v>
      </c>
      <c r="Q727" t="s">
        <v>1684</v>
      </c>
    </row>
    <row r="728" spans="1:17" x14ac:dyDescent="0.3">
      <c r="A728" t="s">
        <v>17</v>
      </c>
      <c r="B728" t="str">
        <f>"600833"</f>
        <v>600833</v>
      </c>
      <c r="C728" t="s">
        <v>1685</v>
      </c>
      <c r="D728" t="s">
        <v>1686</v>
      </c>
      <c r="F728">
        <v>1398284999</v>
      </c>
      <c r="G728">
        <v>1586903725</v>
      </c>
      <c r="H728">
        <v>1243169488</v>
      </c>
      <c r="I728">
        <v>1176665762</v>
      </c>
      <c r="J728">
        <v>1556146206</v>
      </c>
      <c r="K728">
        <v>1519029397</v>
      </c>
      <c r="L728">
        <v>1490959755</v>
      </c>
      <c r="M728">
        <v>1414745420</v>
      </c>
      <c r="N728">
        <v>1348394808</v>
      </c>
      <c r="O728">
        <v>1357670360</v>
      </c>
      <c r="P728">
        <v>108</v>
      </c>
      <c r="Q728" t="s">
        <v>1687</v>
      </c>
    </row>
    <row r="729" spans="1:17" x14ac:dyDescent="0.3">
      <c r="A729" t="s">
        <v>17</v>
      </c>
      <c r="B729" t="str">
        <f>"600834"</f>
        <v>600834</v>
      </c>
      <c r="C729" t="s">
        <v>1688</v>
      </c>
      <c r="D729" t="s">
        <v>1133</v>
      </c>
      <c r="F729">
        <v>348499298</v>
      </c>
      <c r="G729">
        <v>301365210</v>
      </c>
      <c r="H729">
        <v>658916098</v>
      </c>
      <c r="I729">
        <v>751942029</v>
      </c>
      <c r="J729">
        <v>752150236</v>
      </c>
      <c r="K729">
        <v>755890412</v>
      </c>
      <c r="L729">
        <v>774049308</v>
      </c>
      <c r="M729">
        <v>744579676</v>
      </c>
      <c r="N729">
        <v>716858564</v>
      </c>
      <c r="O729">
        <v>719503368</v>
      </c>
      <c r="P729">
        <v>120</v>
      </c>
      <c r="Q729" t="s">
        <v>1689</v>
      </c>
    </row>
    <row r="730" spans="1:17" x14ac:dyDescent="0.3">
      <c r="A730" t="s">
        <v>17</v>
      </c>
      <c r="B730" t="str">
        <f>"600835"</f>
        <v>600835</v>
      </c>
      <c r="C730" t="s">
        <v>1690</v>
      </c>
      <c r="D730" t="s">
        <v>1691</v>
      </c>
      <c r="F730">
        <v>24716738608</v>
      </c>
      <c r="G730">
        <v>23394105805</v>
      </c>
      <c r="H730">
        <v>22116248265</v>
      </c>
      <c r="I730">
        <v>21233742463</v>
      </c>
      <c r="J730">
        <v>19471146411</v>
      </c>
      <c r="K730">
        <v>18938551894</v>
      </c>
      <c r="L730">
        <v>19295534667</v>
      </c>
      <c r="M730">
        <v>20778933221</v>
      </c>
      <c r="N730">
        <v>19907077075</v>
      </c>
      <c r="O730">
        <v>17743250880</v>
      </c>
      <c r="P730">
        <v>661</v>
      </c>
      <c r="Q730" t="s">
        <v>1692</v>
      </c>
    </row>
    <row r="731" spans="1:17" x14ac:dyDescent="0.3">
      <c r="A731" t="s">
        <v>17</v>
      </c>
      <c r="B731" t="str">
        <f>"600836"</f>
        <v>600836</v>
      </c>
      <c r="C731" t="s">
        <v>1693</v>
      </c>
      <c r="D731" t="s">
        <v>1694</v>
      </c>
      <c r="F731">
        <v>833088414</v>
      </c>
      <c r="G731">
        <v>2193293042</v>
      </c>
      <c r="H731">
        <v>1093271301</v>
      </c>
      <c r="I731">
        <v>1361503783</v>
      </c>
      <c r="J731">
        <v>1334133927</v>
      </c>
      <c r="K731">
        <v>1733092234</v>
      </c>
      <c r="L731">
        <v>1542920605</v>
      </c>
      <c r="M731">
        <v>1984741255</v>
      </c>
      <c r="N731">
        <v>1917341932</v>
      </c>
      <c r="O731">
        <v>1489174886</v>
      </c>
      <c r="P731">
        <v>70</v>
      </c>
      <c r="Q731" t="s">
        <v>1695</v>
      </c>
    </row>
    <row r="732" spans="1:17" x14ac:dyDescent="0.3">
      <c r="A732" t="s">
        <v>17</v>
      </c>
      <c r="B732" t="str">
        <f>"600837"</f>
        <v>600837</v>
      </c>
      <c r="C732" t="s">
        <v>1696</v>
      </c>
      <c r="D732" t="s">
        <v>80</v>
      </c>
      <c r="F732">
        <v>43205467449</v>
      </c>
      <c r="G732">
        <v>38219828311</v>
      </c>
      <c r="H732">
        <v>34428641199</v>
      </c>
      <c r="I732">
        <v>23765014627</v>
      </c>
      <c r="J732">
        <v>28221667163</v>
      </c>
      <c r="K732">
        <v>28011665306</v>
      </c>
      <c r="L732">
        <v>38086267720</v>
      </c>
      <c r="M732">
        <v>17978474435</v>
      </c>
      <c r="N732">
        <v>10454954030</v>
      </c>
      <c r="O732">
        <v>9140694021</v>
      </c>
      <c r="P732">
        <v>4978</v>
      </c>
      <c r="Q732" t="s">
        <v>1697</v>
      </c>
    </row>
    <row r="733" spans="1:17" x14ac:dyDescent="0.3">
      <c r="A733" t="s">
        <v>17</v>
      </c>
      <c r="B733" t="str">
        <f>"600838"</f>
        <v>600838</v>
      </c>
      <c r="C733" t="s">
        <v>1698</v>
      </c>
      <c r="D733" t="s">
        <v>1404</v>
      </c>
      <c r="F733">
        <v>98637197</v>
      </c>
      <c r="G733">
        <v>93345753</v>
      </c>
      <c r="H733">
        <v>74232787</v>
      </c>
      <c r="I733">
        <v>70832830</v>
      </c>
      <c r="J733">
        <v>90726312</v>
      </c>
      <c r="K733">
        <v>89978017</v>
      </c>
      <c r="L733">
        <v>90642608</v>
      </c>
      <c r="M733">
        <v>109779471</v>
      </c>
      <c r="N733">
        <v>140637494</v>
      </c>
      <c r="O733">
        <v>166394589</v>
      </c>
      <c r="P733">
        <v>79</v>
      </c>
      <c r="Q733" t="s">
        <v>1699</v>
      </c>
    </row>
    <row r="734" spans="1:17" x14ac:dyDescent="0.3">
      <c r="A734" t="s">
        <v>17</v>
      </c>
      <c r="B734" t="str">
        <f>"600839"</f>
        <v>600839</v>
      </c>
      <c r="C734" t="s">
        <v>1700</v>
      </c>
      <c r="D734" t="s">
        <v>137</v>
      </c>
      <c r="F734">
        <v>99631851815</v>
      </c>
      <c r="G734">
        <v>94448167904</v>
      </c>
      <c r="H734">
        <v>88792895883</v>
      </c>
      <c r="I734">
        <v>83385262869</v>
      </c>
      <c r="J734">
        <v>77632476743</v>
      </c>
      <c r="K734">
        <v>67175343226</v>
      </c>
      <c r="L734">
        <v>64847813147</v>
      </c>
      <c r="M734">
        <v>59503900597</v>
      </c>
      <c r="N734">
        <v>58875274662</v>
      </c>
      <c r="O734">
        <v>52334149134</v>
      </c>
      <c r="P734">
        <v>272</v>
      </c>
      <c r="Q734" t="s">
        <v>1701</v>
      </c>
    </row>
    <row r="735" spans="1:17" x14ac:dyDescent="0.3">
      <c r="A735" t="s">
        <v>17</v>
      </c>
      <c r="B735" t="str">
        <f>"600841"</f>
        <v>600841</v>
      </c>
      <c r="C735" t="s">
        <v>1702</v>
      </c>
      <c r="D735" t="s">
        <v>348</v>
      </c>
      <c r="F735">
        <v>24401513650</v>
      </c>
      <c r="G735">
        <v>6131471489</v>
      </c>
      <c r="H735">
        <v>4033270192</v>
      </c>
      <c r="I735">
        <v>4120702859</v>
      </c>
      <c r="J735">
        <v>3667282713</v>
      </c>
      <c r="K735">
        <v>2545121535</v>
      </c>
      <c r="L735">
        <v>2163184638</v>
      </c>
      <c r="M735">
        <v>2776888017</v>
      </c>
      <c r="N735">
        <v>2980858887</v>
      </c>
      <c r="O735">
        <v>3029962801</v>
      </c>
      <c r="P735">
        <v>88</v>
      </c>
      <c r="Q735" t="s">
        <v>1703</v>
      </c>
    </row>
    <row r="736" spans="1:17" x14ac:dyDescent="0.3">
      <c r="A736" t="s">
        <v>17</v>
      </c>
      <c r="B736" t="str">
        <f>"600843"</f>
        <v>600843</v>
      </c>
      <c r="C736" t="s">
        <v>1704</v>
      </c>
      <c r="D736" t="s">
        <v>534</v>
      </c>
      <c r="F736">
        <v>3124521537</v>
      </c>
      <c r="G736">
        <v>3064612577</v>
      </c>
      <c r="H736">
        <v>3210458581</v>
      </c>
      <c r="I736">
        <v>3200527741</v>
      </c>
      <c r="J736">
        <v>3064971501</v>
      </c>
      <c r="K736">
        <v>2759855137</v>
      </c>
      <c r="L736">
        <v>2314039610</v>
      </c>
      <c r="M736">
        <v>1971244834</v>
      </c>
      <c r="N736">
        <v>1813934688</v>
      </c>
      <c r="O736">
        <v>1506126051</v>
      </c>
      <c r="P736">
        <v>78</v>
      </c>
      <c r="Q736" t="s">
        <v>1705</v>
      </c>
    </row>
    <row r="737" spans="1:17" x14ac:dyDescent="0.3">
      <c r="A737" t="s">
        <v>17</v>
      </c>
      <c r="B737" t="str">
        <f>"600844"</f>
        <v>600844</v>
      </c>
      <c r="C737" t="s">
        <v>1706</v>
      </c>
      <c r="D737" t="s">
        <v>914</v>
      </c>
      <c r="F737">
        <v>1087484456</v>
      </c>
      <c r="G737">
        <v>1075456175</v>
      </c>
      <c r="H737">
        <v>1229602165</v>
      </c>
      <c r="I737">
        <v>1433234825</v>
      </c>
      <c r="J737">
        <v>1331316886</v>
      </c>
      <c r="K737">
        <v>712008152</v>
      </c>
      <c r="L737">
        <v>1045218494</v>
      </c>
      <c r="M737">
        <v>1027002309</v>
      </c>
      <c r="N737">
        <v>743764529</v>
      </c>
      <c r="O737">
        <v>1102160493</v>
      </c>
      <c r="P737">
        <v>106</v>
      </c>
      <c r="Q737" t="s">
        <v>1707</v>
      </c>
    </row>
    <row r="738" spans="1:17" x14ac:dyDescent="0.3">
      <c r="A738" t="s">
        <v>17</v>
      </c>
      <c r="B738" t="str">
        <f>"600845"</f>
        <v>600845</v>
      </c>
      <c r="C738" t="s">
        <v>1708</v>
      </c>
      <c r="D738" t="s">
        <v>316</v>
      </c>
      <c r="F738">
        <v>11759361475</v>
      </c>
      <c r="G738">
        <v>9517762984</v>
      </c>
      <c r="H738">
        <v>6849043377</v>
      </c>
      <c r="I738">
        <v>5471102912</v>
      </c>
      <c r="J738">
        <v>4775779487</v>
      </c>
      <c r="K738">
        <v>3960273298</v>
      </c>
      <c r="L738">
        <v>3937684793</v>
      </c>
      <c r="M738">
        <v>4071898249</v>
      </c>
      <c r="N738">
        <v>3581286565</v>
      </c>
      <c r="O738">
        <v>3638475498</v>
      </c>
      <c r="P738">
        <v>1594</v>
      </c>
      <c r="Q738" t="s">
        <v>1709</v>
      </c>
    </row>
    <row r="739" spans="1:17" x14ac:dyDescent="0.3">
      <c r="A739" t="s">
        <v>17</v>
      </c>
      <c r="B739" t="str">
        <f>"600846"</f>
        <v>600846</v>
      </c>
      <c r="C739" t="s">
        <v>1710</v>
      </c>
      <c r="D739" t="s">
        <v>104</v>
      </c>
      <c r="F739">
        <v>6132354086</v>
      </c>
      <c r="G739">
        <v>6302631318</v>
      </c>
      <c r="H739">
        <v>6351036403</v>
      </c>
      <c r="I739">
        <v>3283799152</v>
      </c>
      <c r="J739">
        <v>3626836284</v>
      </c>
      <c r="K739">
        <v>3157685204</v>
      </c>
      <c r="L739">
        <v>3267293089</v>
      </c>
      <c r="M739">
        <v>4122856277</v>
      </c>
      <c r="N739">
        <v>3706097012</v>
      </c>
      <c r="O739">
        <v>2328094443</v>
      </c>
      <c r="P739">
        <v>355</v>
      </c>
      <c r="Q739" t="s">
        <v>1711</v>
      </c>
    </row>
    <row r="740" spans="1:17" x14ac:dyDescent="0.3">
      <c r="A740" t="s">
        <v>17</v>
      </c>
      <c r="B740" t="str">
        <f>"600847"</f>
        <v>600847</v>
      </c>
      <c r="C740" t="s">
        <v>1712</v>
      </c>
      <c r="D740" t="s">
        <v>555</v>
      </c>
      <c r="F740">
        <v>571178315</v>
      </c>
      <c r="G740">
        <v>587107836</v>
      </c>
      <c r="H740">
        <v>551611555</v>
      </c>
      <c r="I740">
        <v>580909531</v>
      </c>
      <c r="J740">
        <v>452687981</v>
      </c>
      <c r="K740">
        <v>351861319</v>
      </c>
      <c r="L740">
        <v>248876496</v>
      </c>
      <c r="M740">
        <v>236012846</v>
      </c>
      <c r="N740">
        <v>139940815</v>
      </c>
      <c r="O740">
        <v>144448812</v>
      </c>
      <c r="P740">
        <v>54</v>
      </c>
      <c r="Q740" t="s">
        <v>1713</v>
      </c>
    </row>
    <row r="741" spans="1:17" x14ac:dyDescent="0.3">
      <c r="A741" t="s">
        <v>17</v>
      </c>
      <c r="B741" t="str">
        <f>"600848"</f>
        <v>600848</v>
      </c>
      <c r="C741" t="s">
        <v>1714</v>
      </c>
      <c r="D741" t="s">
        <v>194</v>
      </c>
      <c r="F741">
        <v>6271921295</v>
      </c>
      <c r="G741">
        <v>3929556278</v>
      </c>
      <c r="H741">
        <v>3949773009</v>
      </c>
      <c r="I741">
        <v>1929421607</v>
      </c>
      <c r="J741">
        <v>2072315151</v>
      </c>
      <c r="K741">
        <v>1799050673</v>
      </c>
      <c r="L741">
        <v>901078298</v>
      </c>
      <c r="M741">
        <v>1034290276</v>
      </c>
      <c r="N741">
        <v>1079414559</v>
      </c>
      <c r="O741">
        <v>1044158672</v>
      </c>
      <c r="P741">
        <v>271</v>
      </c>
      <c r="Q741" t="s">
        <v>1715</v>
      </c>
    </row>
    <row r="742" spans="1:17" x14ac:dyDescent="0.3">
      <c r="A742" t="s">
        <v>17</v>
      </c>
      <c r="B742" t="str">
        <f>"600849"</f>
        <v>600849</v>
      </c>
      <c r="C742" t="s">
        <v>1716</v>
      </c>
      <c r="K742">
        <v>120764660300</v>
      </c>
      <c r="L742">
        <v>105516587303.25999</v>
      </c>
      <c r="M742">
        <v>92398893626.699997</v>
      </c>
      <c r="N742">
        <v>78222817357.350006</v>
      </c>
      <c r="O742">
        <v>68078117819.190002</v>
      </c>
      <c r="P742">
        <v>3</v>
      </c>
      <c r="Q742" t="s">
        <v>1717</v>
      </c>
    </row>
    <row r="743" spans="1:17" x14ac:dyDescent="0.3">
      <c r="A743" t="s">
        <v>17</v>
      </c>
      <c r="B743" t="str">
        <f>"600850"</f>
        <v>600850</v>
      </c>
      <c r="C743" t="s">
        <v>1718</v>
      </c>
      <c r="D743" t="s">
        <v>316</v>
      </c>
      <c r="F743">
        <v>8961776912</v>
      </c>
      <c r="G743">
        <v>8129616636</v>
      </c>
      <c r="H743">
        <v>7778849374</v>
      </c>
      <c r="I743">
        <v>7303418994</v>
      </c>
      <c r="J743">
        <v>6597812187</v>
      </c>
      <c r="K743">
        <v>6057459845</v>
      </c>
      <c r="L743">
        <v>6061378943</v>
      </c>
      <c r="M743">
        <v>5750455498</v>
      </c>
      <c r="N743">
        <v>5368761768</v>
      </c>
      <c r="O743">
        <v>4963409897</v>
      </c>
      <c r="P743">
        <v>322</v>
      </c>
      <c r="Q743" t="s">
        <v>1719</v>
      </c>
    </row>
    <row r="744" spans="1:17" x14ac:dyDescent="0.3">
      <c r="A744" t="s">
        <v>17</v>
      </c>
      <c r="B744" t="str">
        <f>"600851"</f>
        <v>600851</v>
      </c>
      <c r="C744" t="s">
        <v>1720</v>
      </c>
      <c r="D744" t="s">
        <v>143</v>
      </c>
      <c r="F744">
        <v>1511255285</v>
      </c>
      <c r="G744">
        <v>932727985</v>
      </c>
      <c r="H744">
        <v>1111742408</v>
      </c>
      <c r="I744">
        <v>1098675770</v>
      </c>
      <c r="J744">
        <v>1000436800</v>
      </c>
      <c r="K744">
        <v>1011809611</v>
      </c>
      <c r="L744">
        <v>1051820179</v>
      </c>
      <c r="M744">
        <v>1110193674</v>
      </c>
      <c r="N744">
        <v>1261643888</v>
      </c>
      <c r="O744">
        <v>1311355215</v>
      </c>
      <c r="P744">
        <v>98</v>
      </c>
      <c r="Q744" t="s">
        <v>1721</v>
      </c>
    </row>
    <row r="745" spans="1:17" x14ac:dyDescent="0.3">
      <c r="A745" t="s">
        <v>17</v>
      </c>
      <c r="B745" t="str">
        <f>"600852"</f>
        <v>600852</v>
      </c>
      <c r="C745" t="s">
        <v>1722</v>
      </c>
      <c r="K745">
        <v>22700837.100000001</v>
      </c>
      <c r="L745">
        <v>22206331.329999998</v>
      </c>
      <c r="M745">
        <v>29084958.620000001</v>
      </c>
      <c r="N745">
        <v>28996212.510000002</v>
      </c>
      <c r="O745">
        <v>25791397.109999999</v>
      </c>
      <c r="P745">
        <v>3</v>
      </c>
      <c r="Q745" t="s">
        <v>1723</v>
      </c>
    </row>
    <row r="746" spans="1:17" x14ac:dyDescent="0.3">
      <c r="A746" t="s">
        <v>17</v>
      </c>
      <c r="B746" t="str">
        <f>"600853"</f>
        <v>600853</v>
      </c>
      <c r="C746" t="s">
        <v>1724</v>
      </c>
      <c r="D746" t="s">
        <v>101</v>
      </c>
      <c r="F746">
        <v>15198332042</v>
      </c>
      <c r="G746">
        <v>11837428006</v>
      </c>
      <c r="H746">
        <v>11106371252</v>
      </c>
      <c r="I746">
        <v>10505176763</v>
      </c>
      <c r="J746">
        <v>10063772716</v>
      </c>
      <c r="K746">
        <v>7579906781</v>
      </c>
      <c r="L746">
        <v>6716344655</v>
      </c>
      <c r="M746">
        <v>5569583665</v>
      </c>
      <c r="N746">
        <v>5653736824</v>
      </c>
      <c r="O746">
        <v>6503004034</v>
      </c>
      <c r="P746">
        <v>94</v>
      </c>
      <c r="Q746" t="s">
        <v>1725</v>
      </c>
    </row>
    <row r="747" spans="1:17" x14ac:dyDescent="0.3">
      <c r="A747" t="s">
        <v>17</v>
      </c>
      <c r="B747" t="str">
        <f>"600854"</f>
        <v>600854</v>
      </c>
      <c r="C747" t="s">
        <v>1726</v>
      </c>
      <c r="D747" t="s">
        <v>1727</v>
      </c>
      <c r="F747">
        <v>235858312</v>
      </c>
      <c r="G747">
        <v>255424661</v>
      </c>
      <c r="H747">
        <v>198317287</v>
      </c>
      <c r="I747">
        <v>659772690</v>
      </c>
      <c r="J747">
        <v>818590992</v>
      </c>
      <c r="K747">
        <v>186469286</v>
      </c>
      <c r="L747">
        <v>258771329</v>
      </c>
      <c r="M747">
        <v>474570722</v>
      </c>
      <c r="N747">
        <v>967258357</v>
      </c>
      <c r="O747">
        <v>747923382</v>
      </c>
      <c r="P747">
        <v>146</v>
      </c>
      <c r="Q747" t="s">
        <v>1728</v>
      </c>
    </row>
    <row r="748" spans="1:17" x14ac:dyDescent="0.3">
      <c r="A748" t="s">
        <v>17</v>
      </c>
      <c r="B748" t="str">
        <f>"600855"</f>
        <v>600855</v>
      </c>
      <c r="C748" t="s">
        <v>1729</v>
      </c>
      <c r="D748" t="s">
        <v>236</v>
      </c>
      <c r="F748">
        <v>2785369059</v>
      </c>
      <c r="G748">
        <v>2763054509</v>
      </c>
      <c r="H748">
        <v>2592273689</v>
      </c>
      <c r="I748">
        <v>2110264496</v>
      </c>
      <c r="J748">
        <v>1504042223</v>
      </c>
      <c r="K748">
        <v>1133253406</v>
      </c>
      <c r="L748">
        <v>878934715</v>
      </c>
      <c r="M748">
        <v>688460968</v>
      </c>
      <c r="N748">
        <v>981050686</v>
      </c>
      <c r="O748">
        <v>878990045</v>
      </c>
      <c r="P748">
        <v>139</v>
      </c>
      <c r="Q748" t="s">
        <v>1730</v>
      </c>
    </row>
    <row r="749" spans="1:17" x14ac:dyDescent="0.3">
      <c r="A749" t="s">
        <v>17</v>
      </c>
      <c r="B749" t="str">
        <f>"600856"</f>
        <v>600856</v>
      </c>
      <c r="C749" t="s">
        <v>1731</v>
      </c>
      <c r="D749" t="s">
        <v>1541</v>
      </c>
      <c r="F749">
        <v>847949755</v>
      </c>
      <c r="G749">
        <v>554332264</v>
      </c>
      <c r="H749">
        <v>1084496976</v>
      </c>
      <c r="I749">
        <v>3425810666</v>
      </c>
      <c r="J749">
        <v>6492917443</v>
      </c>
      <c r="K749">
        <v>3635419161</v>
      </c>
      <c r="L749">
        <v>1978953556</v>
      </c>
      <c r="M749">
        <v>368528199</v>
      </c>
      <c r="N749">
        <v>406134120</v>
      </c>
      <c r="O749">
        <v>392003107</v>
      </c>
      <c r="P749">
        <v>129</v>
      </c>
      <c r="Q749" t="s">
        <v>1732</v>
      </c>
    </row>
    <row r="750" spans="1:17" x14ac:dyDescent="0.3">
      <c r="A750" t="s">
        <v>17</v>
      </c>
      <c r="B750" t="str">
        <f>"600857"</f>
        <v>600857</v>
      </c>
      <c r="C750" t="s">
        <v>1733</v>
      </c>
      <c r="D750" t="s">
        <v>633</v>
      </c>
      <c r="F750">
        <v>833992392</v>
      </c>
      <c r="G750">
        <v>736654530</v>
      </c>
      <c r="H750">
        <v>1009595177</v>
      </c>
      <c r="I750">
        <v>998407141</v>
      </c>
      <c r="J750">
        <v>977821341</v>
      </c>
      <c r="K750">
        <v>906030086</v>
      </c>
      <c r="L750">
        <v>1078209486</v>
      </c>
      <c r="M750">
        <v>1180308849</v>
      </c>
      <c r="N750">
        <v>1475753260</v>
      </c>
      <c r="O750">
        <v>1183670303</v>
      </c>
      <c r="P750">
        <v>74</v>
      </c>
      <c r="Q750" t="s">
        <v>1734</v>
      </c>
    </row>
    <row r="751" spans="1:17" x14ac:dyDescent="0.3">
      <c r="A751" t="s">
        <v>17</v>
      </c>
      <c r="B751" t="str">
        <f>"600858"</f>
        <v>600858</v>
      </c>
      <c r="C751" t="s">
        <v>1735</v>
      </c>
      <c r="D751" t="s">
        <v>1404</v>
      </c>
      <c r="F751">
        <v>5671158679</v>
      </c>
      <c r="G751">
        <v>5411635925</v>
      </c>
      <c r="H751">
        <v>12262096164</v>
      </c>
      <c r="I751">
        <v>13240330628</v>
      </c>
      <c r="J751">
        <v>13005502735</v>
      </c>
      <c r="K751">
        <v>12845303493</v>
      </c>
      <c r="L751">
        <v>14591372833</v>
      </c>
      <c r="M751">
        <v>13818033784</v>
      </c>
      <c r="N751">
        <v>14217876171</v>
      </c>
      <c r="O751">
        <v>13536049892</v>
      </c>
      <c r="P751">
        <v>91</v>
      </c>
      <c r="Q751" t="s">
        <v>1736</v>
      </c>
    </row>
    <row r="752" spans="1:17" x14ac:dyDescent="0.3">
      <c r="A752" t="s">
        <v>17</v>
      </c>
      <c r="B752" t="str">
        <f>"600859"</f>
        <v>600859</v>
      </c>
      <c r="C752" t="s">
        <v>1737</v>
      </c>
      <c r="D752" t="s">
        <v>633</v>
      </c>
      <c r="F752">
        <v>12753081425</v>
      </c>
      <c r="G752">
        <v>8223445667</v>
      </c>
      <c r="H752">
        <v>26788840656</v>
      </c>
      <c r="I752">
        <v>26711160486</v>
      </c>
      <c r="J752">
        <v>26085224922</v>
      </c>
      <c r="K752">
        <v>17795119828</v>
      </c>
      <c r="L752">
        <v>17327631298</v>
      </c>
      <c r="M752">
        <v>18277104928</v>
      </c>
      <c r="N752">
        <v>19789850573</v>
      </c>
      <c r="O752">
        <v>18264366744</v>
      </c>
      <c r="P752">
        <v>553</v>
      </c>
      <c r="Q752" t="s">
        <v>1738</v>
      </c>
    </row>
    <row r="753" spans="1:17" x14ac:dyDescent="0.3">
      <c r="A753" t="s">
        <v>17</v>
      </c>
      <c r="B753" t="str">
        <f>"600860"</f>
        <v>600860</v>
      </c>
      <c r="C753" t="s">
        <v>1739</v>
      </c>
      <c r="D753" t="s">
        <v>274</v>
      </c>
      <c r="F753">
        <v>1182664494</v>
      </c>
      <c r="G753">
        <v>1088296502</v>
      </c>
      <c r="H753">
        <v>1195847102</v>
      </c>
      <c r="I753">
        <v>1121564249</v>
      </c>
      <c r="J753">
        <v>1203496955</v>
      </c>
      <c r="K753">
        <v>889525250</v>
      </c>
      <c r="L753">
        <v>1076596259</v>
      </c>
      <c r="M753">
        <v>1806333093</v>
      </c>
      <c r="N753">
        <v>2828194350</v>
      </c>
      <c r="O753">
        <v>748254409</v>
      </c>
      <c r="P753">
        <v>108</v>
      </c>
      <c r="Q753" t="s">
        <v>1740</v>
      </c>
    </row>
    <row r="754" spans="1:17" x14ac:dyDescent="0.3">
      <c r="A754" t="s">
        <v>17</v>
      </c>
      <c r="B754" t="str">
        <f>"600861"</f>
        <v>600861</v>
      </c>
      <c r="C754" t="s">
        <v>1741</v>
      </c>
      <c r="D754" t="s">
        <v>1404</v>
      </c>
      <c r="F754">
        <v>697275075</v>
      </c>
      <c r="G754">
        <v>704015239</v>
      </c>
      <c r="H754">
        <v>2156216693</v>
      </c>
      <c r="I754">
        <v>1919455426</v>
      </c>
      <c r="J754">
        <v>2223186712</v>
      </c>
      <c r="K754">
        <v>2583329800</v>
      </c>
      <c r="L754">
        <v>2714251662</v>
      </c>
      <c r="M754">
        <v>2219170986</v>
      </c>
      <c r="N754">
        <v>2460425287</v>
      </c>
      <c r="O754">
        <v>2249645804</v>
      </c>
      <c r="P754">
        <v>72</v>
      </c>
      <c r="Q754" t="s">
        <v>1742</v>
      </c>
    </row>
    <row r="755" spans="1:17" x14ac:dyDescent="0.3">
      <c r="A755" t="s">
        <v>17</v>
      </c>
      <c r="B755" t="str">
        <f>"600862"</f>
        <v>600862</v>
      </c>
      <c r="C755" t="s">
        <v>1743</v>
      </c>
      <c r="D755" t="s">
        <v>98</v>
      </c>
      <c r="F755">
        <v>3807624171</v>
      </c>
      <c r="G755">
        <v>2911744235</v>
      </c>
      <c r="H755">
        <v>2473398795</v>
      </c>
      <c r="I755">
        <v>2652815540</v>
      </c>
      <c r="J755">
        <v>3044152398</v>
      </c>
      <c r="K755">
        <v>2911738612</v>
      </c>
      <c r="L755">
        <v>1987905476</v>
      </c>
      <c r="M755">
        <v>1526046273</v>
      </c>
      <c r="N755">
        <v>1021625828</v>
      </c>
      <c r="O755">
        <v>1397188026</v>
      </c>
      <c r="P755">
        <v>457</v>
      </c>
      <c r="Q755" t="s">
        <v>1744</v>
      </c>
    </row>
    <row r="756" spans="1:17" x14ac:dyDescent="0.3">
      <c r="A756" t="s">
        <v>17</v>
      </c>
      <c r="B756" t="str">
        <f>"600863"</f>
        <v>600863</v>
      </c>
      <c r="C756" t="s">
        <v>1745</v>
      </c>
      <c r="D756" t="s">
        <v>41</v>
      </c>
      <c r="F756">
        <v>18933565813</v>
      </c>
      <c r="G756">
        <v>15360550807</v>
      </c>
      <c r="H756">
        <v>14477160213</v>
      </c>
      <c r="I756">
        <v>13743061154</v>
      </c>
      <c r="J756">
        <v>11782569845</v>
      </c>
      <c r="K756">
        <v>9185834368</v>
      </c>
      <c r="L756">
        <v>10829352987</v>
      </c>
      <c r="M756">
        <v>13633932121</v>
      </c>
      <c r="N756">
        <v>12152996123</v>
      </c>
      <c r="O756">
        <v>11061128611</v>
      </c>
      <c r="P756">
        <v>308</v>
      </c>
      <c r="Q756" t="s">
        <v>1746</v>
      </c>
    </row>
    <row r="757" spans="1:17" x14ac:dyDescent="0.3">
      <c r="A757" t="s">
        <v>17</v>
      </c>
      <c r="B757" t="str">
        <f>"600864"</f>
        <v>600864</v>
      </c>
      <c r="C757" t="s">
        <v>1747</v>
      </c>
      <c r="D757" t="s">
        <v>80</v>
      </c>
      <c r="F757">
        <v>1646971611</v>
      </c>
      <c r="G757">
        <v>1313417100</v>
      </c>
      <c r="H757">
        <v>1270596593</v>
      </c>
      <c r="I757">
        <v>1204333678</v>
      </c>
      <c r="J757">
        <v>1199707805</v>
      </c>
      <c r="K757">
        <v>1126511669</v>
      </c>
      <c r="L757">
        <v>1166505134</v>
      </c>
      <c r="M757">
        <v>1191345206</v>
      </c>
      <c r="N757">
        <v>1126808934</v>
      </c>
      <c r="O757">
        <v>974670611</v>
      </c>
      <c r="P757">
        <v>412</v>
      </c>
      <c r="Q757" t="s">
        <v>1748</v>
      </c>
    </row>
    <row r="758" spans="1:17" x14ac:dyDescent="0.3">
      <c r="A758" t="s">
        <v>17</v>
      </c>
      <c r="B758" t="str">
        <f>"600865"</f>
        <v>600865</v>
      </c>
      <c r="C758" t="s">
        <v>1749</v>
      </c>
      <c r="D758" t="s">
        <v>633</v>
      </c>
      <c r="F758">
        <v>266120191</v>
      </c>
      <c r="G758">
        <v>244035666</v>
      </c>
      <c r="H758">
        <v>917638858</v>
      </c>
      <c r="I758">
        <v>811823403</v>
      </c>
      <c r="J758">
        <v>956070765</v>
      </c>
      <c r="K758">
        <v>1070594107</v>
      </c>
      <c r="L758">
        <v>1102814412</v>
      </c>
      <c r="M758">
        <v>1051799183</v>
      </c>
      <c r="N758">
        <v>1234017131</v>
      </c>
      <c r="O758">
        <v>1225265406</v>
      </c>
      <c r="P758">
        <v>123</v>
      </c>
      <c r="Q758" t="s">
        <v>1750</v>
      </c>
    </row>
    <row r="759" spans="1:17" x14ac:dyDescent="0.3">
      <c r="A759" t="s">
        <v>17</v>
      </c>
      <c r="B759" t="str">
        <f>"600866"</f>
        <v>600866</v>
      </c>
      <c r="C759" t="s">
        <v>1751</v>
      </c>
      <c r="D759" t="s">
        <v>677</v>
      </c>
      <c r="F759">
        <v>1235046858</v>
      </c>
      <c r="G759">
        <v>1116277268</v>
      </c>
      <c r="H759">
        <v>1049609531</v>
      </c>
      <c r="I759">
        <v>859110033</v>
      </c>
      <c r="J759">
        <v>686969428</v>
      </c>
      <c r="K759">
        <v>679847503</v>
      </c>
      <c r="L759">
        <v>729761470</v>
      </c>
      <c r="M759">
        <v>871491717</v>
      </c>
      <c r="N759">
        <v>902804494</v>
      </c>
      <c r="O759">
        <v>1091200516</v>
      </c>
      <c r="P759">
        <v>143</v>
      </c>
      <c r="Q759" t="s">
        <v>1752</v>
      </c>
    </row>
    <row r="760" spans="1:17" x14ac:dyDescent="0.3">
      <c r="A760" t="s">
        <v>17</v>
      </c>
      <c r="B760" t="str">
        <f>"600867"</f>
        <v>600867</v>
      </c>
      <c r="C760" t="s">
        <v>1753</v>
      </c>
      <c r="D760" t="s">
        <v>1379</v>
      </c>
      <c r="F760">
        <v>3267897465</v>
      </c>
      <c r="G760">
        <v>2892169239</v>
      </c>
      <c r="H760">
        <v>2777148880</v>
      </c>
      <c r="I760">
        <v>2692927483</v>
      </c>
      <c r="J760">
        <v>2545324963</v>
      </c>
      <c r="K760">
        <v>2040394540</v>
      </c>
      <c r="L760">
        <v>1669312449</v>
      </c>
      <c r="M760">
        <v>1451340078</v>
      </c>
      <c r="N760">
        <v>1204240379</v>
      </c>
      <c r="O760">
        <v>991527786</v>
      </c>
      <c r="P760">
        <v>2943</v>
      </c>
      <c r="Q760" t="s">
        <v>1754</v>
      </c>
    </row>
    <row r="761" spans="1:17" x14ac:dyDescent="0.3">
      <c r="A761" t="s">
        <v>17</v>
      </c>
      <c r="B761" t="str">
        <f>"600868"</f>
        <v>600868</v>
      </c>
      <c r="C761" t="s">
        <v>1755</v>
      </c>
      <c r="D761" t="s">
        <v>66</v>
      </c>
      <c r="F761">
        <v>348457577</v>
      </c>
      <c r="G761">
        <v>182029496</v>
      </c>
      <c r="H761">
        <v>288261745</v>
      </c>
      <c r="I761">
        <v>222805923</v>
      </c>
      <c r="J761">
        <v>242681410</v>
      </c>
      <c r="K761">
        <v>363485808</v>
      </c>
      <c r="L761">
        <v>248499725</v>
      </c>
      <c r="M761">
        <v>400196110</v>
      </c>
      <c r="N761">
        <v>486234544</v>
      </c>
      <c r="O761">
        <v>599771393</v>
      </c>
      <c r="P761">
        <v>125</v>
      </c>
      <c r="Q761" t="s">
        <v>1756</v>
      </c>
    </row>
    <row r="762" spans="1:17" x14ac:dyDescent="0.3">
      <c r="A762" t="s">
        <v>17</v>
      </c>
      <c r="B762" t="str">
        <f>"600869"</f>
        <v>600869</v>
      </c>
      <c r="C762" t="s">
        <v>1757</v>
      </c>
      <c r="D762" t="s">
        <v>1164</v>
      </c>
      <c r="F762">
        <v>20871271565</v>
      </c>
      <c r="G762">
        <v>19804088012</v>
      </c>
      <c r="H762">
        <v>17155391688</v>
      </c>
      <c r="I762">
        <v>17511560178</v>
      </c>
      <c r="J762">
        <v>17260237627</v>
      </c>
      <c r="K762">
        <v>12242764616</v>
      </c>
      <c r="L762">
        <v>11710997672</v>
      </c>
      <c r="M762">
        <v>11351763975</v>
      </c>
      <c r="N762">
        <v>11574361405</v>
      </c>
      <c r="O762">
        <v>9880294018</v>
      </c>
      <c r="P762">
        <v>206</v>
      </c>
      <c r="Q762" t="s">
        <v>1758</v>
      </c>
    </row>
    <row r="763" spans="1:17" x14ac:dyDescent="0.3">
      <c r="A763" t="s">
        <v>17</v>
      </c>
      <c r="B763" t="str">
        <f>"600870"</f>
        <v>600870</v>
      </c>
      <c r="C763" t="s">
        <v>1759</v>
      </c>
      <c r="D763" t="s">
        <v>131</v>
      </c>
      <c r="F763">
        <v>152397618</v>
      </c>
      <c r="G763">
        <v>8505794</v>
      </c>
      <c r="H763">
        <v>28439255</v>
      </c>
      <c r="I763">
        <v>30964936</v>
      </c>
      <c r="J763">
        <v>17422312</v>
      </c>
      <c r="K763">
        <v>372972729</v>
      </c>
      <c r="L763">
        <v>216772844</v>
      </c>
      <c r="M763">
        <v>224157274</v>
      </c>
      <c r="N763">
        <v>1187691426</v>
      </c>
      <c r="O763">
        <v>2927047548</v>
      </c>
      <c r="P763">
        <v>55</v>
      </c>
      <c r="Q763" t="s">
        <v>1760</v>
      </c>
    </row>
    <row r="764" spans="1:17" x14ac:dyDescent="0.3">
      <c r="A764" t="s">
        <v>17</v>
      </c>
      <c r="B764" t="str">
        <f>"600871"</f>
        <v>600871</v>
      </c>
      <c r="C764" t="s">
        <v>1761</v>
      </c>
      <c r="D764" t="s">
        <v>1762</v>
      </c>
      <c r="F764">
        <v>69533053000</v>
      </c>
      <c r="G764">
        <v>68073394000</v>
      </c>
      <c r="H764">
        <v>69870147000</v>
      </c>
      <c r="I764">
        <v>58409078000</v>
      </c>
      <c r="J764">
        <v>48485788000</v>
      </c>
      <c r="K764">
        <v>42923500000</v>
      </c>
      <c r="L764">
        <v>60349334000</v>
      </c>
      <c r="M764">
        <v>94481041000</v>
      </c>
      <c r="N764">
        <v>17677171000</v>
      </c>
      <c r="O764">
        <v>16987916000</v>
      </c>
      <c r="P764">
        <v>172</v>
      </c>
      <c r="Q764" t="s">
        <v>1763</v>
      </c>
    </row>
    <row r="765" spans="1:17" x14ac:dyDescent="0.3">
      <c r="A765" t="s">
        <v>17</v>
      </c>
      <c r="B765" t="str">
        <f>"600872"</f>
        <v>600872</v>
      </c>
      <c r="C765" t="s">
        <v>1764</v>
      </c>
      <c r="D765" t="s">
        <v>433</v>
      </c>
      <c r="F765">
        <v>5115649704</v>
      </c>
      <c r="G765">
        <v>5123374814</v>
      </c>
      <c r="H765">
        <v>4674844437</v>
      </c>
      <c r="I765">
        <v>4166464950</v>
      </c>
      <c r="J765">
        <v>3609371701</v>
      </c>
      <c r="K765">
        <v>3157988863</v>
      </c>
      <c r="L765">
        <v>2758585299</v>
      </c>
      <c r="M765">
        <v>2641896889</v>
      </c>
      <c r="N765">
        <v>2318190696</v>
      </c>
      <c r="O765">
        <v>1754338282</v>
      </c>
      <c r="P765">
        <v>2533</v>
      </c>
      <c r="Q765" t="s">
        <v>1765</v>
      </c>
    </row>
    <row r="766" spans="1:17" x14ac:dyDescent="0.3">
      <c r="A766" t="s">
        <v>17</v>
      </c>
      <c r="B766" t="str">
        <f>"600873"</f>
        <v>600873</v>
      </c>
      <c r="C766" t="s">
        <v>1766</v>
      </c>
      <c r="D766" t="s">
        <v>433</v>
      </c>
      <c r="F766">
        <v>22836890325</v>
      </c>
      <c r="G766">
        <v>17049514475</v>
      </c>
      <c r="H766">
        <v>14553547455</v>
      </c>
      <c r="I766">
        <v>12648045804</v>
      </c>
      <c r="J766">
        <v>11132161082</v>
      </c>
      <c r="K766">
        <v>11092771952</v>
      </c>
      <c r="L766">
        <v>11853174318</v>
      </c>
      <c r="M766">
        <v>9864967362</v>
      </c>
      <c r="N766">
        <v>7780383314</v>
      </c>
      <c r="O766">
        <v>7469678131</v>
      </c>
      <c r="P766">
        <v>992</v>
      </c>
      <c r="Q766" t="s">
        <v>1767</v>
      </c>
    </row>
    <row r="767" spans="1:17" x14ac:dyDescent="0.3">
      <c r="A767" t="s">
        <v>17</v>
      </c>
      <c r="B767" t="str">
        <f>"600874"</f>
        <v>600874</v>
      </c>
      <c r="C767" t="s">
        <v>1768</v>
      </c>
      <c r="D767" t="s">
        <v>33</v>
      </c>
      <c r="F767">
        <v>4535579000</v>
      </c>
      <c r="G767">
        <v>3363874000</v>
      </c>
      <c r="H767">
        <v>2851453000</v>
      </c>
      <c r="I767">
        <v>2447515000</v>
      </c>
      <c r="J767">
        <v>2148341000</v>
      </c>
      <c r="K767">
        <v>1958666000</v>
      </c>
      <c r="L767">
        <v>1934206000</v>
      </c>
      <c r="M767">
        <v>1828079000</v>
      </c>
      <c r="N767">
        <v>1749861000</v>
      </c>
      <c r="O767">
        <v>1637320000</v>
      </c>
      <c r="P767">
        <v>203</v>
      </c>
      <c r="Q767" t="s">
        <v>1769</v>
      </c>
    </row>
    <row r="768" spans="1:17" x14ac:dyDescent="0.3">
      <c r="A768" t="s">
        <v>17</v>
      </c>
      <c r="B768" t="str">
        <f>"600875"</f>
        <v>600875</v>
      </c>
      <c r="C768" t="s">
        <v>1770</v>
      </c>
      <c r="D768" t="s">
        <v>973</v>
      </c>
      <c r="F768">
        <v>46755975362</v>
      </c>
      <c r="G768">
        <v>36238925547</v>
      </c>
      <c r="H768">
        <v>31777585758</v>
      </c>
      <c r="I768">
        <v>29729655572</v>
      </c>
      <c r="J768">
        <v>30830230431</v>
      </c>
      <c r="K768">
        <v>33285723808</v>
      </c>
      <c r="L768">
        <v>36017943700</v>
      </c>
      <c r="M768">
        <v>39036164758</v>
      </c>
      <c r="N768">
        <v>42390796683</v>
      </c>
      <c r="O768">
        <v>38079202510</v>
      </c>
      <c r="P768">
        <v>482</v>
      </c>
      <c r="Q768" t="s">
        <v>1771</v>
      </c>
    </row>
    <row r="769" spans="1:17" x14ac:dyDescent="0.3">
      <c r="A769" t="s">
        <v>17</v>
      </c>
      <c r="B769" t="str">
        <f>"600876"</f>
        <v>600876</v>
      </c>
      <c r="C769" t="s">
        <v>1772</v>
      </c>
      <c r="D769" t="s">
        <v>666</v>
      </c>
      <c r="F769">
        <v>3605601993</v>
      </c>
      <c r="G769">
        <v>3045614914</v>
      </c>
      <c r="H769">
        <v>1854842208</v>
      </c>
      <c r="I769">
        <v>1402748188</v>
      </c>
      <c r="J769">
        <v>367047136</v>
      </c>
      <c r="K769">
        <v>392095626</v>
      </c>
      <c r="L769">
        <v>662156635</v>
      </c>
      <c r="M769">
        <v>612541199</v>
      </c>
      <c r="N769">
        <v>375735014</v>
      </c>
      <c r="O769">
        <v>553687171</v>
      </c>
      <c r="P769">
        <v>175</v>
      </c>
      <c r="Q769" t="s">
        <v>1773</v>
      </c>
    </row>
    <row r="770" spans="1:17" x14ac:dyDescent="0.3">
      <c r="A770" t="s">
        <v>17</v>
      </c>
      <c r="B770" t="str">
        <f>"600877"</f>
        <v>600877</v>
      </c>
      <c r="C770" t="s">
        <v>1774</v>
      </c>
      <c r="D770" t="s">
        <v>359</v>
      </c>
      <c r="F770">
        <v>1655040245</v>
      </c>
      <c r="G770">
        <v>402311510</v>
      </c>
      <c r="H770">
        <v>348475174</v>
      </c>
      <c r="I770">
        <v>361634536</v>
      </c>
      <c r="J770">
        <v>587624150</v>
      </c>
      <c r="K770">
        <v>702790993</v>
      </c>
      <c r="L770">
        <v>1062691918</v>
      </c>
      <c r="M770">
        <v>1359599661</v>
      </c>
      <c r="N770">
        <v>1575203100</v>
      </c>
      <c r="O770">
        <v>1896683981</v>
      </c>
      <c r="P770">
        <v>119</v>
      </c>
      <c r="Q770" t="s">
        <v>1775</v>
      </c>
    </row>
    <row r="771" spans="1:17" x14ac:dyDescent="0.3">
      <c r="A771" t="s">
        <v>17</v>
      </c>
      <c r="B771" t="str">
        <f>"600878"</f>
        <v>600878</v>
      </c>
      <c r="C771" t="s">
        <v>1776</v>
      </c>
      <c r="P771">
        <v>2</v>
      </c>
      <c r="Q771" t="s">
        <v>1777</v>
      </c>
    </row>
    <row r="772" spans="1:17" x14ac:dyDescent="0.3">
      <c r="A772" t="s">
        <v>17</v>
      </c>
      <c r="B772" t="str">
        <f>"600879"</f>
        <v>600879</v>
      </c>
      <c r="C772" t="s">
        <v>1778</v>
      </c>
      <c r="D772" t="s">
        <v>284</v>
      </c>
      <c r="F772">
        <v>15989205732</v>
      </c>
      <c r="G772">
        <v>14008586046</v>
      </c>
      <c r="H772">
        <v>13712212460</v>
      </c>
      <c r="I772">
        <v>13530149780</v>
      </c>
      <c r="J772">
        <v>13054287258</v>
      </c>
      <c r="K772">
        <v>11548064683</v>
      </c>
      <c r="L772">
        <v>5609329597</v>
      </c>
      <c r="M772">
        <v>4901798262</v>
      </c>
      <c r="N772">
        <v>4106484752</v>
      </c>
      <c r="O772">
        <v>3714022858</v>
      </c>
      <c r="P772">
        <v>359</v>
      </c>
      <c r="Q772" t="s">
        <v>1779</v>
      </c>
    </row>
    <row r="773" spans="1:17" x14ac:dyDescent="0.3">
      <c r="A773" t="s">
        <v>17</v>
      </c>
      <c r="B773" t="str">
        <f>"600880"</f>
        <v>600880</v>
      </c>
      <c r="C773" t="s">
        <v>1780</v>
      </c>
      <c r="D773" t="s">
        <v>1781</v>
      </c>
      <c r="F773">
        <v>642488933</v>
      </c>
      <c r="G773">
        <v>481697450</v>
      </c>
      <c r="H773">
        <v>379436699</v>
      </c>
      <c r="I773">
        <v>546468414</v>
      </c>
      <c r="J773">
        <v>870956836</v>
      </c>
      <c r="K773">
        <v>968977513</v>
      </c>
      <c r="L773">
        <v>1197195486</v>
      </c>
      <c r="M773">
        <v>1624068284</v>
      </c>
      <c r="N773">
        <v>1518096430</v>
      </c>
      <c r="O773">
        <v>1349800796</v>
      </c>
      <c r="P773">
        <v>314</v>
      </c>
      <c r="Q773" t="s">
        <v>1782</v>
      </c>
    </row>
    <row r="774" spans="1:17" x14ac:dyDescent="0.3">
      <c r="A774" t="s">
        <v>17</v>
      </c>
      <c r="B774" t="str">
        <f>"600881"</f>
        <v>600881</v>
      </c>
      <c r="C774" t="s">
        <v>1783</v>
      </c>
      <c r="D774" t="s">
        <v>110</v>
      </c>
      <c r="F774">
        <v>19653209474</v>
      </c>
      <c r="G774">
        <v>19497992710</v>
      </c>
      <c r="H774">
        <v>17010331709</v>
      </c>
      <c r="I774">
        <v>14128388895</v>
      </c>
      <c r="J774">
        <v>17654682883</v>
      </c>
      <c r="K774">
        <v>11010730487</v>
      </c>
      <c r="L774">
        <v>11011668976</v>
      </c>
      <c r="M774">
        <v>14455361045</v>
      </c>
      <c r="N774">
        <v>13448224175</v>
      </c>
      <c r="O774">
        <v>11625269609</v>
      </c>
      <c r="P774">
        <v>144</v>
      </c>
      <c r="Q774" t="s">
        <v>1784</v>
      </c>
    </row>
    <row r="775" spans="1:17" x14ac:dyDescent="0.3">
      <c r="A775" t="s">
        <v>17</v>
      </c>
      <c r="B775" t="str">
        <f>"600882"</f>
        <v>600882</v>
      </c>
      <c r="C775" t="s">
        <v>1785</v>
      </c>
      <c r="D775" t="s">
        <v>900</v>
      </c>
      <c r="F775">
        <v>4478305562</v>
      </c>
      <c r="G775">
        <v>2846807171</v>
      </c>
      <c r="H775">
        <v>1744349052</v>
      </c>
      <c r="I775">
        <v>1225689927</v>
      </c>
      <c r="J775">
        <v>981998083</v>
      </c>
      <c r="K775">
        <v>511569156</v>
      </c>
      <c r="L775">
        <v>360860892</v>
      </c>
      <c r="M775">
        <v>811261101</v>
      </c>
      <c r="N775">
        <v>1001612103</v>
      </c>
      <c r="O775">
        <v>1336711589</v>
      </c>
      <c r="P775">
        <v>515</v>
      </c>
      <c r="Q775" t="s">
        <v>1786</v>
      </c>
    </row>
    <row r="776" spans="1:17" x14ac:dyDescent="0.3">
      <c r="A776" t="s">
        <v>17</v>
      </c>
      <c r="B776" t="str">
        <f>"600883"</f>
        <v>600883</v>
      </c>
      <c r="C776" t="s">
        <v>1787</v>
      </c>
      <c r="D776" t="s">
        <v>731</v>
      </c>
      <c r="F776">
        <v>36946716</v>
      </c>
      <c r="G776">
        <v>21534572</v>
      </c>
      <c r="H776">
        <v>31726569</v>
      </c>
      <c r="I776">
        <v>30113796</v>
      </c>
      <c r="J776">
        <v>27262223</v>
      </c>
      <c r="K776">
        <v>13178895</v>
      </c>
      <c r="L776">
        <v>12544579</v>
      </c>
      <c r="M776">
        <v>14844251</v>
      </c>
      <c r="N776">
        <v>34916191</v>
      </c>
      <c r="O776">
        <v>76052422</v>
      </c>
      <c r="P776">
        <v>78</v>
      </c>
      <c r="Q776" t="s">
        <v>1788</v>
      </c>
    </row>
    <row r="777" spans="1:17" x14ac:dyDescent="0.3">
      <c r="A777" t="s">
        <v>17</v>
      </c>
      <c r="B777" t="str">
        <f>"600884"</f>
        <v>600884</v>
      </c>
      <c r="C777" t="s">
        <v>1789</v>
      </c>
      <c r="D777" t="s">
        <v>1790</v>
      </c>
      <c r="F777">
        <v>20699382624</v>
      </c>
      <c r="G777">
        <v>8215896691</v>
      </c>
      <c r="H777">
        <v>8679910969</v>
      </c>
      <c r="I777">
        <v>8853422776</v>
      </c>
      <c r="J777">
        <v>8270540870</v>
      </c>
      <c r="K777">
        <v>5474769408</v>
      </c>
      <c r="L777">
        <v>4302299367</v>
      </c>
      <c r="M777">
        <v>3658990601</v>
      </c>
      <c r="N777">
        <v>4047920671</v>
      </c>
      <c r="O777">
        <v>3755888254</v>
      </c>
      <c r="P777">
        <v>758</v>
      </c>
      <c r="Q777" t="s">
        <v>1791</v>
      </c>
    </row>
    <row r="778" spans="1:17" x14ac:dyDescent="0.3">
      <c r="A778" t="s">
        <v>17</v>
      </c>
      <c r="B778" t="str">
        <f>"600885"</f>
        <v>600885</v>
      </c>
      <c r="C778" t="s">
        <v>1792</v>
      </c>
      <c r="D778" t="s">
        <v>610</v>
      </c>
      <c r="F778">
        <v>10022657464</v>
      </c>
      <c r="G778">
        <v>7819069766</v>
      </c>
      <c r="H778">
        <v>7081493748</v>
      </c>
      <c r="I778">
        <v>6879774007</v>
      </c>
      <c r="J778">
        <v>6020204800</v>
      </c>
      <c r="K778">
        <v>5082758568</v>
      </c>
      <c r="L778">
        <v>4247837787</v>
      </c>
      <c r="M778">
        <v>4062830064</v>
      </c>
      <c r="N778">
        <v>3425226338</v>
      </c>
      <c r="O778">
        <v>3008258577</v>
      </c>
      <c r="P778">
        <v>13100</v>
      </c>
      <c r="Q778" t="s">
        <v>1793</v>
      </c>
    </row>
    <row r="779" spans="1:17" x14ac:dyDescent="0.3">
      <c r="A779" t="s">
        <v>17</v>
      </c>
      <c r="B779" t="str">
        <f>"600886"</f>
        <v>600886</v>
      </c>
      <c r="C779" t="s">
        <v>1794</v>
      </c>
      <c r="D779" t="s">
        <v>66</v>
      </c>
      <c r="F779">
        <v>43681745822</v>
      </c>
      <c r="G779">
        <v>39320364094</v>
      </c>
      <c r="H779">
        <v>42433460266</v>
      </c>
      <c r="I779">
        <v>41011372736</v>
      </c>
      <c r="J779">
        <v>31645284236</v>
      </c>
      <c r="K779">
        <v>29270802965</v>
      </c>
      <c r="L779">
        <v>31279699773</v>
      </c>
      <c r="M779">
        <v>32957169192</v>
      </c>
      <c r="N779">
        <v>28338981085</v>
      </c>
      <c r="O779">
        <v>23867007746</v>
      </c>
      <c r="P779">
        <v>2023</v>
      </c>
      <c r="Q779" t="s">
        <v>1795</v>
      </c>
    </row>
    <row r="780" spans="1:17" x14ac:dyDescent="0.3">
      <c r="A780" t="s">
        <v>17</v>
      </c>
      <c r="B780" t="str">
        <f>"600887"</f>
        <v>600887</v>
      </c>
      <c r="C780" t="s">
        <v>1796</v>
      </c>
      <c r="D780" t="s">
        <v>900</v>
      </c>
      <c r="F780">
        <v>110143986386</v>
      </c>
      <c r="G780">
        <v>96523963250</v>
      </c>
      <c r="H780">
        <v>90009132852</v>
      </c>
      <c r="I780">
        <v>78976388687</v>
      </c>
      <c r="J780">
        <v>67547449530</v>
      </c>
      <c r="K780">
        <v>60312009671</v>
      </c>
      <c r="L780">
        <v>59863485731</v>
      </c>
      <c r="M780">
        <v>53959298691</v>
      </c>
      <c r="N780">
        <v>47778865826</v>
      </c>
      <c r="O780">
        <v>41990692102</v>
      </c>
      <c r="P780">
        <v>72796</v>
      </c>
      <c r="Q780" t="s">
        <v>1797</v>
      </c>
    </row>
    <row r="781" spans="1:17" x14ac:dyDescent="0.3">
      <c r="A781" t="s">
        <v>17</v>
      </c>
      <c r="B781" t="str">
        <f>"600888"</f>
        <v>600888</v>
      </c>
      <c r="C781" t="s">
        <v>1798</v>
      </c>
      <c r="D781" t="s">
        <v>504</v>
      </c>
      <c r="F781">
        <v>8225544266</v>
      </c>
      <c r="G781">
        <v>5717109694</v>
      </c>
      <c r="H781">
        <v>4747800917</v>
      </c>
      <c r="I781">
        <v>4870971684</v>
      </c>
      <c r="J781">
        <v>6006120283</v>
      </c>
      <c r="K781">
        <v>5546881061</v>
      </c>
      <c r="L781">
        <v>7627439141</v>
      </c>
      <c r="M781">
        <v>5328750291</v>
      </c>
      <c r="N781">
        <v>3721659589</v>
      </c>
      <c r="O781">
        <v>2249797988</v>
      </c>
      <c r="P781">
        <v>183</v>
      </c>
      <c r="Q781" t="s">
        <v>1799</v>
      </c>
    </row>
    <row r="782" spans="1:17" x14ac:dyDescent="0.3">
      <c r="A782" t="s">
        <v>17</v>
      </c>
      <c r="B782" t="str">
        <f>"600889"</f>
        <v>600889</v>
      </c>
      <c r="C782" t="s">
        <v>1800</v>
      </c>
      <c r="D782" t="s">
        <v>888</v>
      </c>
      <c r="F782">
        <v>469635935</v>
      </c>
      <c r="G782">
        <v>365967192</v>
      </c>
      <c r="H782">
        <v>657709337</v>
      </c>
      <c r="I782">
        <v>990541947</v>
      </c>
      <c r="J782">
        <v>1607092730</v>
      </c>
      <c r="K782">
        <v>1664832962</v>
      </c>
      <c r="L782">
        <v>1518473415</v>
      </c>
      <c r="M782">
        <v>1771780508</v>
      </c>
      <c r="N782">
        <v>2052231934</v>
      </c>
      <c r="O782">
        <v>1519210168</v>
      </c>
      <c r="P782">
        <v>77</v>
      </c>
      <c r="Q782" t="s">
        <v>1801</v>
      </c>
    </row>
    <row r="783" spans="1:17" x14ac:dyDescent="0.3">
      <c r="A783" t="s">
        <v>17</v>
      </c>
      <c r="B783" t="str">
        <f>"600890"</f>
        <v>600890</v>
      </c>
      <c r="C783" t="s">
        <v>1802</v>
      </c>
      <c r="D783" t="s">
        <v>30</v>
      </c>
      <c r="F783">
        <v>2692856</v>
      </c>
      <c r="G783">
        <v>10903962</v>
      </c>
      <c r="H783">
        <v>127072134</v>
      </c>
      <c r="I783">
        <v>12225356</v>
      </c>
      <c r="J783">
        <v>76542214</v>
      </c>
      <c r="K783">
        <v>10833464</v>
      </c>
      <c r="L783">
        <v>15919322</v>
      </c>
      <c r="M783">
        <v>15357865</v>
      </c>
      <c r="N783">
        <v>63621076</v>
      </c>
      <c r="O783">
        <v>12541065</v>
      </c>
      <c r="P783">
        <v>73</v>
      </c>
      <c r="Q783" t="s">
        <v>1803</v>
      </c>
    </row>
    <row r="784" spans="1:17" x14ac:dyDescent="0.3">
      <c r="A784" t="s">
        <v>17</v>
      </c>
      <c r="B784" t="str">
        <f>"600891"</f>
        <v>600891</v>
      </c>
      <c r="C784" t="s">
        <v>1804</v>
      </c>
      <c r="G784">
        <v>144166836</v>
      </c>
      <c r="H784">
        <v>334989775</v>
      </c>
      <c r="I784">
        <v>4724279377</v>
      </c>
      <c r="J784">
        <v>6814874019</v>
      </c>
      <c r="K784">
        <v>6358669769</v>
      </c>
      <c r="L784">
        <v>5156024934</v>
      </c>
      <c r="M784">
        <v>379158516</v>
      </c>
      <c r="N784">
        <v>381215097</v>
      </c>
      <c r="O784">
        <v>378074426</v>
      </c>
      <c r="P784">
        <v>45</v>
      </c>
      <c r="Q784" t="s">
        <v>1805</v>
      </c>
    </row>
    <row r="785" spans="1:17" x14ac:dyDescent="0.3">
      <c r="A785" t="s">
        <v>17</v>
      </c>
      <c r="B785" t="str">
        <f>"600892"</f>
        <v>600892</v>
      </c>
      <c r="C785" t="s">
        <v>1806</v>
      </c>
      <c r="D785" t="s">
        <v>517</v>
      </c>
      <c r="F785">
        <v>214259080</v>
      </c>
      <c r="G785">
        <v>299192717</v>
      </c>
      <c r="H785">
        <v>191759035</v>
      </c>
      <c r="I785">
        <v>200323275</v>
      </c>
      <c r="J785">
        <v>314165498</v>
      </c>
      <c r="K785">
        <v>355976867</v>
      </c>
      <c r="L785">
        <v>19433603</v>
      </c>
      <c r="M785">
        <v>73998684</v>
      </c>
      <c r="N785">
        <v>605707898</v>
      </c>
      <c r="O785">
        <v>683577311</v>
      </c>
      <c r="P785">
        <v>85</v>
      </c>
      <c r="Q785" t="s">
        <v>1807</v>
      </c>
    </row>
    <row r="786" spans="1:17" x14ac:dyDescent="0.3">
      <c r="A786" t="s">
        <v>17</v>
      </c>
      <c r="B786" t="str">
        <f>"600893"</f>
        <v>600893</v>
      </c>
      <c r="C786" t="s">
        <v>1808</v>
      </c>
      <c r="D786" t="s">
        <v>98</v>
      </c>
      <c r="F786">
        <v>34102193377</v>
      </c>
      <c r="G786">
        <v>28632622738</v>
      </c>
      <c r="H786">
        <v>25210496277</v>
      </c>
      <c r="I786">
        <v>23102024803</v>
      </c>
      <c r="J786">
        <v>22555003098</v>
      </c>
      <c r="K786">
        <v>22217285705</v>
      </c>
      <c r="L786">
        <v>23480023020</v>
      </c>
      <c r="M786">
        <v>26764401652</v>
      </c>
      <c r="N786">
        <v>7927445996</v>
      </c>
      <c r="O786">
        <v>7103969866</v>
      </c>
      <c r="P786">
        <v>1086</v>
      </c>
      <c r="Q786" t="s">
        <v>1809</v>
      </c>
    </row>
    <row r="787" spans="1:17" x14ac:dyDescent="0.3">
      <c r="A787" t="s">
        <v>17</v>
      </c>
      <c r="B787" t="str">
        <f>"600894"</f>
        <v>600894</v>
      </c>
      <c r="C787" t="s">
        <v>1810</v>
      </c>
      <c r="D787" t="s">
        <v>1691</v>
      </c>
      <c r="F787">
        <v>7766847972</v>
      </c>
      <c r="G787">
        <v>6773440608</v>
      </c>
      <c r="H787">
        <v>6121891525</v>
      </c>
      <c r="I787">
        <v>5463009583</v>
      </c>
      <c r="J787">
        <v>4808765373</v>
      </c>
      <c r="K787">
        <v>4727645055</v>
      </c>
      <c r="L787">
        <v>4825951352</v>
      </c>
      <c r="M787">
        <v>4541664539</v>
      </c>
      <c r="N787">
        <v>4079478829</v>
      </c>
      <c r="O787">
        <v>4659116786</v>
      </c>
      <c r="P787">
        <v>394</v>
      </c>
      <c r="Q787" t="s">
        <v>1811</v>
      </c>
    </row>
    <row r="788" spans="1:17" x14ac:dyDescent="0.3">
      <c r="A788" t="s">
        <v>17</v>
      </c>
      <c r="B788" t="str">
        <f>"600895"</f>
        <v>600895</v>
      </c>
      <c r="C788" t="s">
        <v>1812</v>
      </c>
      <c r="D788" t="s">
        <v>194</v>
      </c>
      <c r="F788">
        <v>2097061778</v>
      </c>
      <c r="G788">
        <v>779198155</v>
      </c>
      <c r="H788">
        <v>1476684652</v>
      </c>
      <c r="I788">
        <v>1148311781</v>
      </c>
      <c r="J788">
        <v>1253049527</v>
      </c>
      <c r="K788">
        <v>2087660935</v>
      </c>
      <c r="L788">
        <v>2419169795</v>
      </c>
      <c r="M788">
        <v>3002212758</v>
      </c>
      <c r="N788">
        <v>1918735363</v>
      </c>
      <c r="O788">
        <v>2265071956</v>
      </c>
      <c r="P788">
        <v>336</v>
      </c>
      <c r="Q788" t="s">
        <v>1813</v>
      </c>
    </row>
    <row r="789" spans="1:17" x14ac:dyDescent="0.3">
      <c r="A789" t="s">
        <v>17</v>
      </c>
      <c r="B789" t="str">
        <f>"600896"</f>
        <v>600896</v>
      </c>
      <c r="C789" t="s">
        <v>1814</v>
      </c>
      <c r="D789" t="s">
        <v>1147</v>
      </c>
      <c r="F789">
        <v>118502384</v>
      </c>
      <c r="G789">
        <v>74393626</v>
      </c>
      <c r="H789">
        <v>31118218</v>
      </c>
      <c r="I789">
        <v>53050882</v>
      </c>
      <c r="J789">
        <v>44111204</v>
      </c>
      <c r="K789">
        <v>854224310</v>
      </c>
      <c r="L789">
        <v>952245055</v>
      </c>
      <c r="M789">
        <v>1044028212</v>
      </c>
      <c r="N789">
        <v>1042877929</v>
      </c>
      <c r="O789">
        <v>1017380281</v>
      </c>
      <c r="P789">
        <v>93</v>
      </c>
      <c r="Q789" t="s">
        <v>1815</v>
      </c>
    </row>
    <row r="790" spans="1:17" x14ac:dyDescent="0.3">
      <c r="A790" t="s">
        <v>17</v>
      </c>
      <c r="B790" t="str">
        <f>"600897"</f>
        <v>600897</v>
      </c>
      <c r="C790" t="s">
        <v>1816</v>
      </c>
      <c r="D790" t="s">
        <v>22</v>
      </c>
      <c r="F790">
        <v>1247075313</v>
      </c>
      <c r="G790">
        <v>1225197599</v>
      </c>
      <c r="H790">
        <v>1785330954</v>
      </c>
      <c r="I790">
        <v>1777155708</v>
      </c>
      <c r="J790">
        <v>1660236184</v>
      </c>
      <c r="K790">
        <v>1510591030</v>
      </c>
      <c r="L790">
        <v>1424376016</v>
      </c>
      <c r="M790">
        <v>1352503696</v>
      </c>
      <c r="N790">
        <v>1254135963</v>
      </c>
      <c r="O790">
        <v>1118934526</v>
      </c>
      <c r="P790">
        <v>479</v>
      </c>
      <c r="Q790" t="s">
        <v>1817</v>
      </c>
    </row>
    <row r="791" spans="1:17" x14ac:dyDescent="0.3">
      <c r="A791" t="s">
        <v>17</v>
      </c>
      <c r="B791" t="str">
        <f>"600898"</f>
        <v>600898</v>
      </c>
      <c r="C791" t="s">
        <v>1818</v>
      </c>
      <c r="D791" t="s">
        <v>313</v>
      </c>
      <c r="F791">
        <v>235688462</v>
      </c>
      <c r="G791">
        <v>939742767</v>
      </c>
      <c r="H791">
        <v>721172634</v>
      </c>
      <c r="I791">
        <v>2637585198</v>
      </c>
      <c r="J791">
        <v>2198618602</v>
      </c>
      <c r="K791">
        <v>1150093283</v>
      </c>
      <c r="L791">
        <v>879894002</v>
      </c>
      <c r="M791">
        <v>824599862</v>
      </c>
      <c r="N791">
        <v>811123424</v>
      </c>
      <c r="O791">
        <v>739194260</v>
      </c>
      <c r="P791">
        <v>57</v>
      </c>
      <c r="Q791" t="s">
        <v>1819</v>
      </c>
    </row>
    <row r="792" spans="1:17" x14ac:dyDescent="0.3">
      <c r="A792" t="s">
        <v>17</v>
      </c>
      <c r="B792" t="str">
        <f>"600900"</f>
        <v>600900</v>
      </c>
      <c r="C792" t="s">
        <v>1820</v>
      </c>
      <c r="D792" t="s">
        <v>66</v>
      </c>
      <c r="F792">
        <v>55646253992</v>
      </c>
      <c r="G792">
        <v>57783367040</v>
      </c>
      <c r="H792">
        <v>49874086875</v>
      </c>
      <c r="I792">
        <v>51213965747</v>
      </c>
      <c r="J792">
        <v>50146848575</v>
      </c>
      <c r="K792">
        <v>48939388715</v>
      </c>
      <c r="L792">
        <v>24239072676</v>
      </c>
      <c r="M792">
        <v>26897792646</v>
      </c>
      <c r="N792">
        <v>22697637374</v>
      </c>
      <c r="O792">
        <v>25781971165</v>
      </c>
      <c r="P792">
        <v>5901</v>
      </c>
      <c r="Q792" t="s">
        <v>1821</v>
      </c>
    </row>
    <row r="793" spans="1:17" x14ac:dyDescent="0.3">
      <c r="A793" t="s">
        <v>17</v>
      </c>
      <c r="B793" t="str">
        <f>"600901"</f>
        <v>600901</v>
      </c>
      <c r="C793" t="s">
        <v>1822</v>
      </c>
      <c r="D793" t="s">
        <v>336</v>
      </c>
      <c r="F793">
        <v>3940592940</v>
      </c>
      <c r="G793">
        <v>3753102814</v>
      </c>
      <c r="H793">
        <v>3065629677</v>
      </c>
      <c r="I793">
        <v>2436607010</v>
      </c>
      <c r="J793">
        <v>1942685968</v>
      </c>
      <c r="K793">
        <v>1809740352</v>
      </c>
      <c r="L793">
        <v>1325416923</v>
      </c>
      <c r="M793">
        <v>1056256298</v>
      </c>
      <c r="P793">
        <v>475</v>
      </c>
      <c r="Q793" t="s">
        <v>1823</v>
      </c>
    </row>
    <row r="794" spans="1:17" x14ac:dyDescent="0.3">
      <c r="A794" t="s">
        <v>17</v>
      </c>
      <c r="B794" t="str">
        <f>"600903"</f>
        <v>600903</v>
      </c>
      <c r="C794" t="s">
        <v>1824</v>
      </c>
      <c r="D794" t="s">
        <v>749</v>
      </c>
      <c r="F794">
        <v>5087656198</v>
      </c>
      <c r="G794">
        <v>4244104772</v>
      </c>
      <c r="H794">
        <v>4083024996</v>
      </c>
      <c r="I794">
        <v>3605825418</v>
      </c>
      <c r="J794">
        <v>2779004650</v>
      </c>
      <c r="K794">
        <v>2269067455</v>
      </c>
      <c r="L794">
        <v>2056373597</v>
      </c>
      <c r="M794">
        <v>1926398393</v>
      </c>
      <c r="P794">
        <v>186</v>
      </c>
      <c r="Q794" t="s">
        <v>1825</v>
      </c>
    </row>
    <row r="795" spans="1:17" x14ac:dyDescent="0.3">
      <c r="A795" t="s">
        <v>17</v>
      </c>
      <c r="B795" t="str">
        <f>"600905"</f>
        <v>600905</v>
      </c>
      <c r="C795" t="s">
        <v>1826</v>
      </c>
      <c r="D795" t="s">
        <v>383</v>
      </c>
      <c r="F795">
        <v>15484105844</v>
      </c>
      <c r="G795">
        <v>11314998781</v>
      </c>
      <c r="H795">
        <v>8956644468</v>
      </c>
      <c r="I795">
        <v>7382911880</v>
      </c>
      <c r="J795">
        <v>6780849991</v>
      </c>
      <c r="P795">
        <v>657</v>
      </c>
      <c r="Q795" t="s">
        <v>1827</v>
      </c>
    </row>
    <row r="796" spans="1:17" x14ac:dyDescent="0.3">
      <c r="A796" t="s">
        <v>17</v>
      </c>
      <c r="B796" t="str">
        <f>"600906"</f>
        <v>600906</v>
      </c>
      <c r="C796" t="s">
        <v>1828</v>
      </c>
      <c r="D796" t="s">
        <v>80</v>
      </c>
      <c r="F796">
        <v>2524296711</v>
      </c>
      <c r="G796">
        <v>2049789594</v>
      </c>
      <c r="H796">
        <v>1813260307</v>
      </c>
      <c r="I796">
        <v>1460659256</v>
      </c>
      <c r="J796">
        <v>1469446885</v>
      </c>
      <c r="P796">
        <v>131</v>
      </c>
      <c r="Q796" t="s">
        <v>1829</v>
      </c>
    </row>
    <row r="797" spans="1:17" x14ac:dyDescent="0.3">
      <c r="A797" t="s">
        <v>17</v>
      </c>
      <c r="B797" t="str">
        <f>"600908"</f>
        <v>600908</v>
      </c>
      <c r="C797" t="s">
        <v>1830</v>
      </c>
      <c r="D797" t="s">
        <v>1831</v>
      </c>
      <c r="F797">
        <v>4349269000</v>
      </c>
      <c r="G797">
        <v>3896011000</v>
      </c>
      <c r="H797">
        <v>3539711000</v>
      </c>
      <c r="I797">
        <v>3192181000</v>
      </c>
      <c r="J797">
        <v>2851464000</v>
      </c>
      <c r="K797">
        <v>2521649000</v>
      </c>
      <c r="L797">
        <v>2396607000</v>
      </c>
      <c r="M797">
        <v>2278312000</v>
      </c>
      <c r="N797">
        <v>2059245000</v>
      </c>
      <c r="O797">
        <v>1991745000</v>
      </c>
      <c r="P797">
        <v>897</v>
      </c>
      <c r="Q797" t="s">
        <v>1832</v>
      </c>
    </row>
    <row r="798" spans="1:17" x14ac:dyDescent="0.3">
      <c r="A798" t="s">
        <v>17</v>
      </c>
      <c r="B798" t="str">
        <f>"600909"</f>
        <v>600909</v>
      </c>
      <c r="C798" t="s">
        <v>1833</v>
      </c>
      <c r="D798" t="s">
        <v>80</v>
      </c>
      <c r="F798">
        <v>3483420430</v>
      </c>
      <c r="G798">
        <v>3356521374</v>
      </c>
      <c r="H798">
        <v>3231605382</v>
      </c>
      <c r="I798">
        <v>1761325423</v>
      </c>
      <c r="J798">
        <v>1917696781</v>
      </c>
      <c r="K798">
        <v>1734359810</v>
      </c>
      <c r="L798">
        <v>3816204907</v>
      </c>
      <c r="M798">
        <v>1689616580</v>
      </c>
      <c r="N798">
        <v>941343121</v>
      </c>
      <c r="O798">
        <v>828155485.15999997</v>
      </c>
      <c r="P798">
        <v>832</v>
      </c>
      <c r="Q798" t="s">
        <v>1834</v>
      </c>
    </row>
    <row r="799" spans="1:17" x14ac:dyDescent="0.3">
      <c r="A799" t="s">
        <v>17</v>
      </c>
      <c r="B799" t="str">
        <f>"600916"</f>
        <v>600916</v>
      </c>
      <c r="C799" t="s">
        <v>1835</v>
      </c>
      <c r="D799" t="s">
        <v>1238</v>
      </c>
      <c r="F799">
        <v>50757666183</v>
      </c>
      <c r="G799">
        <v>33787625207</v>
      </c>
      <c r="H799">
        <v>38274096559</v>
      </c>
      <c r="I799">
        <v>40911001981</v>
      </c>
      <c r="J799">
        <v>28247561393</v>
      </c>
      <c r="P799">
        <v>97</v>
      </c>
      <c r="Q799" t="s">
        <v>1836</v>
      </c>
    </row>
    <row r="800" spans="1:17" x14ac:dyDescent="0.3">
      <c r="A800" t="s">
        <v>17</v>
      </c>
      <c r="B800" t="str">
        <f>"600917"</f>
        <v>600917</v>
      </c>
      <c r="C800" t="s">
        <v>1837</v>
      </c>
      <c r="D800" t="s">
        <v>749</v>
      </c>
      <c r="F800">
        <v>7809781887</v>
      </c>
      <c r="G800">
        <v>6821208134</v>
      </c>
      <c r="H800">
        <v>7033452755</v>
      </c>
      <c r="I800">
        <v>6371596474</v>
      </c>
      <c r="J800">
        <v>5714054694</v>
      </c>
      <c r="K800">
        <v>5488826141</v>
      </c>
      <c r="L800">
        <v>5926225839</v>
      </c>
      <c r="M800">
        <v>5722640549</v>
      </c>
      <c r="N800">
        <v>5934667467</v>
      </c>
      <c r="O800">
        <v>5423720750</v>
      </c>
      <c r="P800">
        <v>176</v>
      </c>
      <c r="Q800" t="s">
        <v>1838</v>
      </c>
    </row>
    <row r="801" spans="1:17" x14ac:dyDescent="0.3">
      <c r="A801" t="s">
        <v>17</v>
      </c>
      <c r="B801" t="str">
        <f>"600918"</f>
        <v>600918</v>
      </c>
      <c r="C801" t="s">
        <v>1839</v>
      </c>
      <c r="D801" t="s">
        <v>80</v>
      </c>
      <c r="F801">
        <v>13149669222</v>
      </c>
      <c r="G801">
        <v>10352224020</v>
      </c>
      <c r="H801">
        <v>9708987194</v>
      </c>
      <c r="I801">
        <v>7025218940</v>
      </c>
      <c r="J801">
        <v>8168926942</v>
      </c>
      <c r="K801">
        <v>8347371893</v>
      </c>
      <c r="L801">
        <v>15045289808</v>
      </c>
      <c r="M801">
        <v>5874417400</v>
      </c>
      <c r="N801">
        <v>4081226500</v>
      </c>
      <c r="O801">
        <v>3011258600</v>
      </c>
      <c r="P801">
        <v>568</v>
      </c>
      <c r="Q801" t="s">
        <v>1840</v>
      </c>
    </row>
    <row r="802" spans="1:17" x14ac:dyDescent="0.3">
      <c r="A802" t="s">
        <v>17</v>
      </c>
      <c r="B802" t="str">
        <f>"600919"</f>
        <v>600919</v>
      </c>
      <c r="C802" t="s">
        <v>1841</v>
      </c>
      <c r="D802" t="s">
        <v>1842</v>
      </c>
      <c r="F802">
        <v>63771353000</v>
      </c>
      <c r="G802">
        <v>52026195000</v>
      </c>
      <c r="H802">
        <v>44974014000</v>
      </c>
      <c r="I802">
        <v>35223988000</v>
      </c>
      <c r="J802">
        <v>33839211000</v>
      </c>
      <c r="K802">
        <v>31359045000</v>
      </c>
      <c r="L802">
        <v>28047070000</v>
      </c>
      <c r="M802">
        <v>25325842000</v>
      </c>
      <c r="N802">
        <v>22325709000</v>
      </c>
      <c r="O802">
        <v>19842450000</v>
      </c>
      <c r="P802">
        <v>1465</v>
      </c>
      <c r="Q802" t="s">
        <v>1843</v>
      </c>
    </row>
    <row r="803" spans="1:17" x14ac:dyDescent="0.3">
      <c r="A803" t="s">
        <v>17</v>
      </c>
      <c r="B803" t="str">
        <f>"600926"</f>
        <v>600926</v>
      </c>
      <c r="C803" t="s">
        <v>1844</v>
      </c>
      <c r="D803" t="s">
        <v>1842</v>
      </c>
      <c r="F803">
        <v>29360874000</v>
      </c>
      <c r="G803">
        <v>24805677000</v>
      </c>
      <c r="H803">
        <v>21408739000</v>
      </c>
      <c r="I803">
        <v>17054256000</v>
      </c>
      <c r="J803">
        <v>14121518000</v>
      </c>
      <c r="K803">
        <v>13732844000</v>
      </c>
      <c r="L803">
        <v>12403939000</v>
      </c>
      <c r="M803">
        <v>11027122000</v>
      </c>
      <c r="N803">
        <v>9775287000</v>
      </c>
      <c r="O803">
        <v>9787885000</v>
      </c>
      <c r="P803">
        <v>1141</v>
      </c>
      <c r="Q803" t="s">
        <v>1845</v>
      </c>
    </row>
    <row r="804" spans="1:17" x14ac:dyDescent="0.3">
      <c r="A804" t="s">
        <v>17</v>
      </c>
      <c r="B804" t="str">
        <f>"600927"</f>
        <v>600927</v>
      </c>
      <c r="C804" t="s">
        <v>1846</v>
      </c>
      <c r="D804" t="s">
        <v>1847</v>
      </c>
      <c r="F804">
        <v>37841518217</v>
      </c>
      <c r="G804">
        <v>25469307566</v>
      </c>
      <c r="H804">
        <v>22757609300</v>
      </c>
      <c r="I804">
        <v>15763889407</v>
      </c>
      <c r="J804">
        <v>9589243100</v>
      </c>
      <c r="P804">
        <v>22</v>
      </c>
      <c r="Q804" t="s">
        <v>1848</v>
      </c>
    </row>
    <row r="805" spans="1:17" x14ac:dyDescent="0.3">
      <c r="A805" t="s">
        <v>17</v>
      </c>
      <c r="B805" t="str">
        <f>"600928"</f>
        <v>600928</v>
      </c>
      <c r="C805" t="s">
        <v>1849</v>
      </c>
      <c r="D805" t="s">
        <v>1842</v>
      </c>
      <c r="F805">
        <v>7203045000</v>
      </c>
      <c r="G805">
        <v>7137883000</v>
      </c>
      <c r="H805">
        <v>6845299000</v>
      </c>
      <c r="I805">
        <v>5975733000</v>
      </c>
      <c r="J805">
        <v>4926115472</v>
      </c>
      <c r="K805">
        <v>4517641392</v>
      </c>
      <c r="L805">
        <v>4707736647</v>
      </c>
      <c r="M805">
        <v>4104131000</v>
      </c>
      <c r="N805">
        <v>3432244000</v>
      </c>
      <c r="O805">
        <v>325000</v>
      </c>
      <c r="P805">
        <v>409</v>
      </c>
      <c r="Q805" t="s">
        <v>1850</v>
      </c>
    </row>
    <row r="806" spans="1:17" x14ac:dyDescent="0.3">
      <c r="A806" t="s">
        <v>17</v>
      </c>
      <c r="B806" t="str">
        <f>"600929"</f>
        <v>600929</v>
      </c>
      <c r="C806" t="s">
        <v>1851</v>
      </c>
      <c r="D806" t="s">
        <v>736</v>
      </c>
      <c r="F806">
        <v>4780264152</v>
      </c>
      <c r="G806">
        <v>2164477645</v>
      </c>
      <c r="H806">
        <v>2272012599</v>
      </c>
      <c r="I806">
        <v>2302818454</v>
      </c>
      <c r="J806">
        <v>2203991498</v>
      </c>
      <c r="K806">
        <v>2175635186</v>
      </c>
      <c r="L806">
        <v>2258836728</v>
      </c>
      <c r="P806">
        <v>133</v>
      </c>
      <c r="Q806" t="s">
        <v>1852</v>
      </c>
    </row>
    <row r="807" spans="1:17" x14ac:dyDescent="0.3">
      <c r="A807" t="s">
        <v>17</v>
      </c>
      <c r="B807" t="str">
        <f>"600933"</f>
        <v>600933</v>
      </c>
      <c r="C807" t="s">
        <v>1853</v>
      </c>
      <c r="D807" t="s">
        <v>348</v>
      </c>
      <c r="F807">
        <v>3205662732</v>
      </c>
      <c r="G807">
        <v>2590504597</v>
      </c>
      <c r="H807">
        <v>2626651065</v>
      </c>
      <c r="I807">
        <v>2507467164</v>
      </c>
      <c r="J807">
        <v>2174610092</v>
      </c>
      <c r="K807">
        <v>1812449891</v>
      </c>
      <c r="L807">
        <v>1465681188</v>
      </c>
      <c r="M807">
        <v>1297508486</v>
      </c>
      <c r="P807">
        <v>176</v>
      </c>
      <c r="Q807" t="s">
        <v>1854</v>
      </c>
    </row>
    <row r="808" spans="1:17" x14ac:dyDescent="0.3">
      <c r="A808" t="s">
        <v>17</v>
      </c>
      <c r="B808" t="str">
        <f>"600935"</f>
        <v>600935</v>
      </c>
      <c r="C808" t="s">
        <v>1855</v>
      </c>
      <c r="D808" t="s">
        <v>175</v>
      </c>
      <c r="F808">
        <v>6739223586</v>
      </c>
      <c r="G808">
        <v>5080587090</v>
      </c>
      <c r="H808">
        <v>4567875417</v>
      </c>
      <c r="I808">
        <v>4379038306</v>
      </c>
      <c r="J808">
        <v>3947834457</v>
      </c>
      <c r="P808">
        <v>16</v>
      </c>
      <c r="Q808" t="s">
        <v>1856</v>
      </c>
    </row>
    <row r="809" spans="1:17" x14ac:dyDescent="0.3">
      <c r="A809" t="s">
        <v>17</v>
      </c>
      <c r="B809" t="str">
        <f>"600936"</f>
        <v>600936</v>
      </c>
      <c r="C809" t="s">
        <v>1857</v>
      </c>
      <c r="D809" t="s">
        <v>95</v>
      </c>
      <c r="F809">
        <v>1849353948</v>
      </c>
      <c r="G809">
        <v>2166274694</v>
      </c>
      <c r="H809">
        <v>2229741014</v>
      </c>
      <c r="I809">
        <v>2430794928</v>
      </c>
      <c r="J809">
        <v>2708892646</v>
      </c>
      <c r="K809">
        <v>2795283939</v>
      </c>
      <c r="L809">
        <v>2443580238</v>
      </c>
      <c r="M809">
        <v>2019539412</v>
      </c>
      <c r="N809">
        <v>1817255571</v>
      </c>
      <c r="P809">
        <v>80</v>
      </c>
      <c r="Q809" t="s">
        <v>1858</v>
      </c>
    </row>
    <row r="810" spans="1:17" x14ac:dyDescent="0.3">
      <c r="A810" t="s">
        <v>17</v>
      </c>
      <c r="B810" t="str">
        <f>"600938"</f>
        <v>600938</v>
      </c>
      <c r="C810" t="s">
        <v>1859</v>
      </c>
      <c r="F810">
        <v>246111000000</v>
      </c>
      <c r="G810">
        <v>155372671400</v>
      </c>
      <c r="H810">
        <v>233198556200</v>
      </c>
      <c r="I810">
        <v>227710214800</v>
      </c>
      <c r="P810">
        <v>26</v>
      </c>
      <c r="Q810" t="s">
        <v>1860</v>
      </c>
    </row>
    <row r="811" spans="1:17" x14ac:dyDescent="0.3">
      <c r="A811" t="s">
        <v>17</v>
      </c>
      <c r="B811" t="str">
        <f>"600939"</f>
        <v>600939</v>
      </c>
      <c r="C811" t="s">
        <v>1861</v>
      </c>
      <c r="D811" t="s">
        <v>398</v>
      </c>
      <c r="F811">
        <v>57808949781</v>
      </c>
      <c r="G811">
        <v>55294166860</v>
      </c>
      <c r="H811">
        <v>52108517978</v>
      </c>
      <c r="I811">
        <v>46619840098</v>
      </c>
      <c r="J811">
        <v>44986321697</v>
      </c>
      <c r="K811">
        <v>43205231316</v>
      </c>
      <c r="L811">
        <v>46085467916</v>
      </c>
      <c r="M811">
        <v>43848970321</v>
      </c>
      <c r="N811">
        <v>49494483214</v>
      </c>
      <c r="P811">
        <v>125</v>
      </c>
      <c r="Q811" t="s">
        <v>1862</v>
      </c>
    </row>
    <row r="812" spans="1:17" x14ac:dyDescent="0.3">
      <c r="A812" t="s">
        <v>17</v>
      </c>
      <c r="B812" t="str">
        <f>"600941"</f>
        <v>600941</v>
      </c>
      <c r="C812" t="s">
        <v>1863</v>
      </c>
      <c r="D812" t="s">
        <v>107</v>
      </c>
      <c r="F812">
        <v>848258000000</v>
      </c>
      <c r="G812">
        <v>768070000000</v>
      </c>
      <c r="H812">
        <v>745917000000</v>
      </c>
      <c r="I812">
        <v>736819000000</v>
      </c>
      <c r="P812">
        <v>114</v>
      </c>
      <c r="Q812" t="s">
        <v>1864</v>
      </c>
    </row>
    <row r="813" spans="1:17" x14ac:dyDescent="0.3">
      <c r="A813" t="s">
        <v>17</v>
      </c>
      <c r="B813" t="str">
        <f>"600955"</f>
        <v>600955</v>
      </c>
      <c r="C813" t="s">
        <v>1865</v>
      </c>
      <c r="D813" t="s">
        <v>1233</v>
      </c>
      <c r="F813">
        <v>9634615989</v>
      </c>
      <c r="G813">
        <v>4386399177</v>
      </c>
      <c r="H813">
        <v>3992693777</v>
      </c>
      <c r="I813">
        <v>4779274094</v>
      </c>
      <c r="J813">
        <v>2788592153</v>
      </c>
      <c r="P813">
        <v>46</v>
      </c>
      <c r="Q813" t="s">
        <v>1866</v>
      </c>
    </row>
    <row r="814" spans="1:17" x14ac:dyDescent="0.3">
      <c r="A814" t="s">
        <v>17</v>
      </c>
      <c r="B814" t="str">
        <f>"600956"</f>
        <v>600956</v>
      </c>
      <c r="C814" t="s">
        <v>1867</v>
      </c>
      <c r="D814" t="s">
        <v>383</v>
      </c>
      <c r="F814">
        <v>15985268252</v>
      </c>
      <c r="G814">
        <v>12510885313</v>
      </c>
      <c r="H814">
        <v>11969418632</v>
      </c>
      <c r="I814">
        <v>9992012599</v>
      </c>
      <c r="J814">
        <v>7070948868</v>
      </c>
      <c r="P814">
        <v>206</v>
      </c>
      <c r="Q814" t="s">
        <v>1868</v>
      </c>
    </row>
    <row r="815" spans="1:17" x14ac:dyDescent="0.3">
      <c r="A815" t="s">
        <v>17</v>
      </c>
      <c r="B815" t="str">
        <f>"600958"</f>
        <v>600958</v>
      </c>
      <c r="C815" t="s">
        <v>1869</v>
      </c>
      <c r="D815" t="s">
        <v>80</v>
      </c>
      <c r="F815">
        <v>24370394957</v>
      </c>
      <c r="G815">
        <v>23133946765</v>
      </c>
      <c r="H815">
        <v>19052097314</v>
      </c>
      <c r="I815">
        <v>10303490892</v>
      </c>
      <c r="J815">
        <v>10531511324</v>
      </c>
      <c r="K815">
        <v>6876939042</v>
      </c>
      <c r="L815">
        <v>15434705061</v>
      </c>
      <c r="M815">
        <v>5499603011</v>
      </c>
      <c r="N815">
        <v>3243936742</v>
      </c>
      <c r="O815">
        <v>2381290232</v>
      </c>
      <c r="P815">
        <v>1248</v>
      </c>
      <c r="Q815" t="s">
        <v>1870</v>
      </c>
    </row>
    <row r="816" spans="1:17" x14ac:dyDescent="0.3">
      <c r="A816" t="s">
        <v>17</v>
      </c>
      <c r="B816" t="str">
        <f>"600959"</f>
        <v>600959</v>
      </c>
      <c r="C816" t="s">
        <v>1871</v>
      </c>
      <c r="D816" t="s">
        <v>95</v>
      </c>
      <c r="F816">
        <v>7458687600</v>
      </c>
      <c r="G816">
        <v>7344668617</v>
      </c>
      <c r="H816">
        <v>7650253645</v>
      </c>
      <c r="I816">
        <v>7884977232</v>
      </c>
      <c r="J816">
        <v>8095104575</v>
      </c>
      <c r="K816">
        <v>5421823716</v>
      </c>
      <c r="L816">
        <v>4661453878</v>
      </c>
      <c r="M816">
        <v>4402248873</v>
      </c>
      <c r="N816">
        <v>3935607062</v>
      </c>
      <c r="O816">
        <v>3415996666</v>
      </c>
      <c r="P816">
        <v>150</v>
      </c>
      <c r="Q816" t="s">
        <v>1872</v>
      </c>
    </row>
    <row r="817" spans="1:17" x14ac:dyDescent="0.3">
      <c r="A817" t="s">
        <v>17</v>
      </c>
      <c r="B817" t="str">
        <f>"600960"</f>
        <v>600960</v>
      </c>
      <c r="C817" t="s">
        <v>1873</v>
      </c>
      <c r="D817" t="s">
        <v>348</v>
      </c>
      <c r="F817">
        <v>4414860104</v>
      </c>
      <c r="G817">
        <v>4685672702</v>
      </c>
      <c r="H817">
        <v>4917641347</v>
      </c>
      <c r="I817">
        <v>3877978627</v>
      </c>
      <c r="J817">
        <v>2498547136</v>
      </c>
      <c r="K817">
        <v>1768751448</v>
      </c>
      <c r="L817">
        <v>1025111168</v>
      </c>
      <c r="M817">
        <v>1178802510</v>
      </c>
      <c r="N817">
        <v>1279778215</v>
      </c>
      <c r="O817">
        <v>1414189295</v>
      </c>
      <c r="P817">
        <v>91</v>
      </c>
      <c r="Q817" t="s">
        <v>1874</v>
      </c>
    </row>
    <row r="818" spans="1:17" x14ac:dyDescent="0.3">
      <c r="A818" t="s">
        <v>17</v>
      </c>
      <c r="B818" t="str">
        <f>"600961"</f>
        <v>600961</v>
      </c>
      <c r="C818" t="s">
        <v>1875</v>
      </c>
      <c r="D818" t="s">
        <v>744</v>
      </c>
      <c r="F818">
        <v>16471901772</v>
      </c>
      <c r="G818">
        <v>14765455127</v>
      </c>
      <c r="H818">
        <v>11191965772</v>
      </c>
      <c r="I818">
        <v>13008429316</v>
      </c>
      <c r="J818">
        <v>13796828902</v>
      </c>
      <c r="K818">
        <v>12685237304</v>
      </c>
      <c r="L818">
        <v>13770698497</v>
      </c>
      <c r="M818">
        <v>15102244651</v>
      </c>
      <c r="N818">
        <v>16169744518</v>
      </c>
      <c r="O818">
        <v>12246093717</v>
      </c>
      <c r="P818">
        <v>127</v>
      </c>
      <c r="Q818" t="s">
        <v>1876</v>
      </c>
    </row>
    <row r="819" spans="1:17" x14ac:dyDescent="0.3">
      <c r="A819" t="s">
        <v>17</v>
      </c>
      <c r="B819" t="str">
        <f>"600962"</f>
        <v>600962</v>
      </c>
      <c r="C819" t="s">
        <v>1877</v>
      </c>
      <c r="D819" t="s">
        <v>574</v>
      </c>
      <c r="F819">
        <v>1449861161</v>
      </c>
      <c r="G819">
        <v>1147532187</v>
      </c>
      <c r="H819">
        <v>1330101540</v>
      </c>
      <c r="I819">
        <v>963190630</v>
      </c>
      <c r="J819">
        <v>985764507</v>
      </c>
      <c r="K819">
        <v>964055615</v>
      </c>
      <c r="L819">
        <v>1097908223</v>
      </c>
      <c r="M819">
        <v>877605230</v>
      </c>
      <c r="N819">
        <v>1245298666</v>
      </c>
      <c r="O819">
        <v>1499468051</v>
      </c>
      <c r="P819">
        <v>94</v>
      </c>
      <c r="Q819" t="s">
        <v>1878</v>
      </c>
    </row>
    <row r="820" spans="1:17" x14ac:dyDescent="0.3">
      <c r="A820" t="s">
        <v>17</v>
      </c>
      <c r="B820" t="str">
        <f>"600963"</f>
        <v>600963</v>
      </c>
      <c r="C820" t="s">
        <v>1879</v>
      </c>
      <c r="D820" t="s">
        <v>694</v>
      </c>
      <c r="F820">
        <v>7838051458</v>
      </c>
      <c r="G820">
        <v>7115862689</v>
      </c>
      <c r="H820">
        <v>7105943359</v>
      </c>
      <c r="I820">
        <v>7012943584</v>
      </c>
      <c r="J820">
        <v>6143781781</v>
      </c>
      <c r="K820">
        <v>4798571559</v>
      </c>
      <c r="L820">
        <v>5929105972</v>
      </c>
      <c r="M820">
        <v>6582527008</v>
      </c>
      <c r="N820">
        <v>6609562077</v>
      </c>
      <c r="O820">
        <v>6542479739</v>
      </c>
      <c r="P820">
        <v>201</v>
      </c>
      <c r="Q820" t="s">
        <v>1880</v>
      </c>
    </row>
    <row r="821" spans="1:17" x14ac:dyDescent="0.3">
      <c r="A821" t="s">
        <v>17</v>
      </c>
      <c r="B821" t="str">
        <f>"600965"</f>
        <v>600965</v>
      </c>
      <c r="C821" t="s">
        <v>1881</v>
      </c>
      <c r="D821" t="s">
        <v>1882</v>
      </c>
      <c r="F821">
        <v>1268506611</v>
      </c>
      <c r="G821">
        <v>1086334896</v>
      </c>
      <c r="H821">
        <v>1446840590</v>
      </c>
      <c r="I821">
        <v>1453720417</v>
      </c>
      <c r="J821">
        <v>1360558933</v>
      </c>
      <c r="K821">
        <v>1370995900</v>
      </c>
      <c r="L821">
        <v>1343812355</v>
      </c>
      <c r="M821">
        <v>1100242978</v>
      </c>
      <c r="N821">
        <v>1026673081</v>
      </c>
      <c r="O821">
        <v>571820658</v>
      </c>
      <c r="P821">
        <v>113</v>
      </c>
      <c r="Q821" t="s">
        <v>1883</v>
      </c>
    </row>
    <row r="822" spans="1:17" x14ac:dyDescent="0.3">
      <c r="A822" t="s">
        <v>17</v>
      </c>
      <c r="B822" t="str">
        <f>"600966"</f>
        <v>600966</v>
      </c>
      <c r="C822" t="s">
        <v>1884</v>
      </c>
      <c r="D822" t="s">
        <v>694</v>
      </c>
      <c r="F822">
        <v>16276123312</v>
      </c>
      <c r="G822">
        <v>13982104454</v>
      </c>
      <c r="H822">
        <v>9739798778</v>
      </c>
      <c r="I822">
        <v>8339442569</v>
      </c>
      <c r="J822">
        <v>8954811112</v>
      </c>
      <c r="K822">
        <v>7796260736</v>
      </c>
      <c r="L822">
        <v>7057756048</v>
      </c>
      <c r="M822">
        <v>6981163657</v>
      </c>
      <c r="N822">
        <v>5715303917</v>
      </c>
      <c r="O822">
        <v>4999514423</v>
      </c>
      <c r="P822">
        <v>398</v>
      </c>
      <c r="Q822" t="s">
        <v>1885</v>
      </c>
    </row>
    <row r="823" spans="1:17" x14ac:dyDescent="0.3">
      <c r="A823" t="s">
        <v>17</v>
      </c>
      <c r="B823" t="str">
        <f>"600967"</f>
        <v>600967</v>
      </c>
      <c r="C823" t="s">
        <v>1886</v>
      </c>
      <c r="D823" t="s">
        <v>428</v>
      </c>
      <c r="F823">
        <v>13816275502</v>
      </c>
      <c r="G823">
        <v>13234086967</v>
      </c>
      <c r="H823">
        <v>12681110312</v>
      </c>
      <c r="I823">
        <v>12266918451</v>
      </c>
      <c r="J823">
        <v>11967458041</v>
      </c>
      <c r="K823">
        <v>10059891793</v>
      </c>
      <c r="L823">
        <v>2002281759</v>
      </c>
      <c r="M823">
        <v>2983640947</v>
      </c>
      <c r="N823">
        <v>3203515566</v>
      </c>
      <c r="O823">
        <v>3066716722</v>
      </c>
      <c r="P823">
        <v>286</v>
      </c>
      <c r="Q823" t="s">
        <v>1887</v>
      </c>
    </row>
    <row r="824" spans="1:17" x14ac:dyDescent="0.3">
      <c r="A824" t="s">
        <v>17</v>
      </c>
      <c r="B824" t="str">
        <f>"600968"</f>
        <v>600968</v>
      </c>
      <c r="C824" t="s">
        <v>1888</v>
      </c>
      <c r="D824" t="s">
        <v>1762</v>
      </c>
      <c r="F824">
        <v>38739302609</v>
      </c>
      <c r="G824">
        <v>33208279836</v>
      </c>
      <c r="H824">
        <v>33463292569</v>
      </c>
      <c r="I824">
        <v>28974746841</v>
      </c>
      <c r="J824">
        <v>23703664568</v>
      </c>
      <c r="K824">
        <v>19376021195</v>
      </c>
      <c r="P824">
        <v>189</v>
      </c>
      <c r="Q824" t="s">
        <v>1889</v>
      </c>
    </row>
    <row r="825" spans="1:17" x14ac:dyDescent="0.3">
      <c r="A825" t="s">
        <v>17</v>
      </c>
      <c r="B825" t="str">
        <f>"600969"</f>
        <v>600969</v>
      </c>
      <c r="C825" t="s">
        <v>1890</v>
      </c>
      <c r="D825" t="s">
        <v>239</v>
      </c>
      <c r="F825">
        <v>3411104686</v>
      </c>
      <c r="G825">
        <v>3047161262</v>
      </c>
      <c r="H825">
        <v>3013518097</v>
      </c>
      <c r="I825">
        <v>2743827985</v>
      </c>
      <c r="J825">
        <v>2522166044</v>
      </c>
      <c r="K825">
        <v>2415419997</v>
      </c>
      <c r="L825">
        <v>2300471516</v>
      </c>
      <c r="M825">
        <v>2269794675</v>
      </c>
      <c r="N825">
        <v>2195880692</v>
      </c>
      <c r="O825">
        <v>2095928842</v>
      </c>
      <c r="P825">
        <v>77</v>
      </c>
      <c r="Q825" t="s">
        <v>1891</v>
      </c>
    </row>
    <row r="826" spans="1:17" x14ac:dyDescent="0.3">
      <c r="A826" t="s">
        <v>17</v>
      </c>
      <c r="B826" t="str">
        <f>"600970"</f>
        <v>600970</v>
      </c>
      <c r="C826" t="s">
        <v>1892</v>
      </c>
      <c r="D826" t="s">
        <v>1893</v>
      </c>
      <c r="F826">
        <v>36242086195</v>
      </c>
      <c r="G826">
        <v>22491954185</v>
      </c>
      <c r="H826">
        <v>24374389855</v>
      </c>
      <c r="I826">
        <v>21501420040</v>
      </c>
      <c r="J826">
        <v>19553688246</v>
      </c>
      <c r="K826">
        <v>19006932676</v>
      </c>
      <c r="L826">
        <v>22596227733</v>
      </c>
      <c r="M826">
        <v>22864772438</v>
      </c>
      <c r="N826">
        <v>20731568947</v>
      </c>
      <c r="O826">
        <v>21237408534</v>
      </c>
      <c r="P826">
        <v>853</v>
      </c>
      <c r="Q826" t="s">
        <v>1894</v>
      </c>
    </row>
    <row r="827" spans="1:17" x14ac:dyDescent="0.3">
      <c r="A827" t="s">
        <v>17</v>
      </c>
      <c r="B827" t="str">
        <f>"600971"</f>
        <v>600971</v>
      </c>
      <c r="C827" t="s">
        <v>1895</v>
      </c>
      <c r="D827" t="s">
        <v>292</v>
      </c>
      <c r="F827">
        <v>6749374998</v>
      </c>
      <c r="G827">
        <v>5209792635</v>
      </c>
      <c r="H827">
        <v>6001973174</v>
      </c>
      <c r="I827">
        <v>5900332755</v>
      </c>
      <c r="J827">
        <v>6536179023</v>
      </c>
      <c r="K827">
        <v>4625612358</v>
      </c>
      <c r="L827">
        <v>3966256239</v>
      </c>
      <c r="M827">
        <v>6444663676</v>
      </c>
      <c r="N827">
        <v>8140266159</v>
      </c>
      <c r="O827">
        <v>9139464742</v>
      </c>
      <c r="P827">
        <v>1522</v>
      </c>
      <c r="Q827" t="s">
        <v>1896</v>
      </c>
    </row>
    <row r="828" spans="1:17" x14ac:dyDescent="0.3">
      <c r="A828" t="s">
        <v>17</v>
      </c>
      <c r="B828" t="str">
        <f>"600973"</f>
        <v>600973</v>
      </c>
      <c r="C828" t="s">
        <v>1897</v>
      </c>
      <c r="D828" t="s">
        <v>1164</v>
      </c>
      <c r="F828">
        <v>42878357807</v>
      </c>
      <c r="G828">
        <v>34138495291</v>
      </c>
      <c r="H828">
        <v>33282921832</v>
      </c>
      <c r="I828">
        <v>32184404083</v>
      </c>
      <c r="J828">
        <v>20691164048</v>
      </c>
      <c r="K828">
        <v>15126698586</v>
      </c>
      <c r="L828">
        <v>12988430155</v>
      </c>
      <c r="M828">
        <v>12162376385</v>
      </c>
      <c r="N828">
        <v>9807862987</v>
      </c>
      <c r="O828">
        <v>8569474666</v>
      </c>
      <c r="P828">
        <v>116</v>
      </c>
      <c r="Q828" t="s">
        <v>1898</v>
      </c>
    </row>
    <row r="829" spans="1:17" x14ac:dyDescent="0.3">
      <c r="A829" t="s">
        <v>17</v>
      </c>
      <c r="B829" t="str">
        <f>"600975"</f>
        <v>600975</v>
      </c>
      <c r="C829" t="s">
        <v>1899</v>
      </c>
      <c r="D829" t="s">
        <v>1900</v>
      </c>
      <c r="F829">
        <v>2002862891</v>
      </c>
      <c r="G829">
        <v>2723731159</v>
      </c>
      <c r="H829">
        <v>2130425323</v>
      </c>
      <c r="I829">
        <v>2041039866</v>
      </c>
      <c r="J829">
        <v>1723720757</v>
      </c>
      <c r="K829">
        <v>1691374322</v>
      </c>
      <c r="L829">
        <v>1326036664</v>
      </c>
      <c r="M829">
        <v>1302493866</v>
      </c>
      <c r="N829">
        <v>1130087615</v>
      </c>
      <c r="O829">
        <v>1037944248</v>
      </c>
      <c r="P829">
        <v>305</v>
      </c>
      <c r="Q829" t="s">
        <v>1901</v>
      </c>
    </row>
    <row r="830" spans="1:17" x14ac:dyDescent="0.3">
      <c r="A830" t="s">
        <v>17</v>
      </c>
      <c r="B830" t="str">
        <f>"600976"</f>
        <v>600976</v>
      </c>
      <c r="C830" t="s">
        <v>1902</v>
      </c>
      <c r="D830" t="s">
        <v>188</v>
      </c>
      <c r="F830">
        <v>3278183640</v>
      </c>
      <c r="G830">
        <v>2455996298</v>
      </c>
      <c r="H830">
        <v>2238937123</v>
      </c>
      <c r="I830">
        <v>2161476638</v>
      </c>
      <c r="J830">
        <v>2711502823</v>
      </c>
      <c r="K830">
        <v>2363653071</v>
      </c>
      <c r="L830">
        <v>2281220601</v>
      </c>
      <c r="M830">
        <v>1753488389</v>
      </c>
      <c r="N830">
        <v>1992391119</v>
      </c>
      <c r="O830">
        <v>1539745169</v>
      </c>
      <c r="P830">
        <v>249</v>
      </c>
      <c r="Q830" t="s">
        <v>1903</v>
      </c>
    </row>
    <row r="831" spans="1:17" x14ac:dyDescent="0.3">
      <c r="A831" t="s">
        <v>17</v>
      </c>
      <c r="B831" t="str">
        <f>"600977"</f>
        <v>600977</v>
      </c>
      <c r="C831" t="s">
        <v>1904</v>
      </c>
      <c r="D831" t="s">
        <v>113</v>
      </c>
      <c r="F831">
        <v>5815601888</v>
      </c>
      <c r="G831">
        <v>2949613645</v>
      </c>
      <c r="H831">
        <v>9068413284</v>
      </c>
      <c r="I831">
        <v>9037696102</v>
      </c>
      <c r="J831">
        <v>8988015383</v>
      </c>
      <c r="K831">
        <v>7840712243</v>
      </c>
      <c r="L831">
        <v>7296526902</v>
      </c>
      <c r="M831">
        <v>5960079107</v>
      </c>
      <c r="N831">
        <v>4563365894</v>
      </c>
      <c r="P831">
        <v>554</v>
      </c>
      <c r="Q831" t="s">
        <v>1905</v>
      </c>
    </row>
    <row r="832" spans="1:17" x14ac:dyDescent="0.3">
      <c r="A832" t="s">
        <v>17</v>
      </c>
      <c r="B832" t="str">
        <f>"600978"</f>
        <v>600978</v>
      </c>
      <c r="C832" t="s">
        <v>1906</v>
      </c>
      <c r="H832">
        <v>5244266099</v>
      </c>
      <c r="I832">
        <v>7401806464</v>
      </c>
      <c r="J832">
        <v>8021563711</v>
      </c>
      <c r="K832">
        <v>5700168822</v>
      </c>
      <c r="L832">
        <v>4591667555</v>
      </c>
      <c r="M832">
        <v>4426628728</v>
      </c>
      <c r="N832">
        <v>4090954666</v>
      </c>
      <c r="O832">
        <v>3347668236</v>
      </c>
      <c r="P832">
        <v>167</v>
      </c>
      <c r="Q832" t="s">
        <v>1907</v>
      </c>
    </row>
    <row r="833" spans="1:17" x14ac:dyDescent="0.3">
      <c r="A833" t="s">
        <v>17</v>
      </c>
      <c r="B833" t="str">
        <f>"600979"</f>
        <v>600979</v>
      </c>
      <c r="C833" t="s">
        <v>1908</v>
      </c>
      <c r="D833" t="s">
        <v>239</v>
      </c>
      <c r="F833">
        <v>2394042546</v>
      </c>
      <c r="G833">
        <v>2269214138</v>
      </c>
      <c r="H833">
        <v>2218931300</v>
      </c>
      <c r="I833">
        <v>2178405955</v>
      </c>
      <c r="J833">
        <v>2067226867</v>
      </c>
      <c r="K833">
        <v>1887039154</v>
      </c>
      <c r="L833">
        <v>1700552087</v>
      </c>
      <c r="M833">
        <v>1513168258</v>
      </c>
      <c r="N833">
        <v>1251686887</v>
      </c>
      <c r="O833">
        <v>1102458018</v>
      </c>
      <c r="P833">
        <v>117</v>
      </c>
      <c r="Q833" t="s">
        <v>1909</v>
      </c>
    </row>
    <row r="834" spans="1:17" x14ac:dyDescent="0.3">
      <c r="A834" t="s">
        <v>17</v>
      </c>
      <c r="B834" t="str">
        <f>"600980"</f>
        <v>600980</v>
      </c>
      <c r="C834" t="s">
        <v>1910</v>
      </c>
      <c r="D834" t="s">
        <v>808</v>
      </c>
      <c r="F834">
        <v>704901080</v>
      </c>
      <c r="G834">
        <v>546040483</v>
      </c>
      <c r="H834">
        <v>498539268</v>
      </c>
      <c r="I834">
        <v>472352274</v>
      </c>
      <c r="J834">
        <v>436130196</v>
      </c>
      <c r="K834">
        <v>397827370</v>
      </c>
      <c r="L834">
        <v>412065017</v>
      </c>
      <c r="M834">
        <v>228061783</v>
      </c>
      <c r="N834">
        <v>252177424</v>
      </c>
      <c r="O834">
        <v>274907202</v>
      </c>
      <c r="P834">
        <v>97</v>
      </c>
      <c r="Q834" t="s">
        <v>1911</v>
      </c>
    </row>
    <row r="835" spans="1:17" x14ac:dyDescent="0.3">
      <c r="A835" t="s">
        <v>17</v>
      </c>
      <c r="B835" t="str">
        <f>"600981"</f>
        <v>600981</v>
      </c>
      <c r="C835" t="s">
        <v>1912</v>
      </c>
      <c r="D835" t="s">
        <v>131</v>
      </c>
      <c r="F835">
        <v>45278422462</v>
      </c>
      <c r="G835">
        <v>37858191519</v>
      </c>
      <c r="H835">
        <v>35577928016</v>
      </c>
      <c r="I835">
        <v>38983380463</v>
      </c>
      <c r="J835">
        <v>36799957718</v>
      </c>
      <c r="K835">
        <v>31983215683</v>
      </c>
      <c r="L835">
        <v>39140100336</v>
      </c>
      <c r="M835">
        <v>9232034008</v>
      </c>
      <c r="N835">
        <v>8565619371</v>
      </c>
      <c r="O835">
        <v>6821588758</v>
      </c>
      <c r="P835">
        <v>99</v>
      </c>
      <c r="Q835" t="s">
        <v>1913</v>
      </c>
    </row>
    <row r="836" spans="1:17" x14ac:dyDescent="0.3">
      <c r="A836" t="s">
        <v>17</v>
      </c>
      <c r="B836" t="str">
        <f>"600982"</f>
        <v>600982</v>
      </c>
      <c r="C836" t="s">
        <v>1914</v>
      </c>
      <c r="D836" t="s">
        <v>351</v>
      </c>
      <c r="F836">
        <v>6913740983</v>
      </c>
      <c r="G836">
        <v>4410672080</v>
      </c>
      <c r="H836">
        <v>3411652508</v>
      </c>
      <c r="I836">
        <v>1741001362</v>
      </c>
      <c r="J836">
        <v>1557826143</v>
      </c>
      <c r="K836">
        <v>1213021078</v>
      </c>
      <c r="L836">
        <v>1001798459</v>
      </c>
      <c r="M836">
        <v>1101198908</v>
      </c>
      <c r="N836">
        <v>772834321</v>
      </c>
      <c r="O836">
        <v>1017104916</v>
      </c>
      <c r="P836">
        <v>135</v>
      </c>
      <c r="Q836" t="s">
        <v>1915</v>
      </c>
    </row>
    <row r="837" spans="1:17" x14ac:dyDescent="0.3">
      <c r="A837" t="s">
        <v>17</v>
      </c>
      <c r="B837" t="str">
        <f>"600983"</f>
        <v>600983</v>
      </c>
      <c r="C837" t="s">
        <v>1916</v>
      </c>
      <c r="D837" t="s">
        <v>754</v>
      </c>
      <c r="F837">
        <v>4931163697</v>
      </c>
      <c r="G837">
        <v>4944067835</v>
      </c>
      <c r="H837">
        <v>5281658055</v>
      </c>
      <c r="I837">
        <v>6285633179</v>
      </c>
      <c r="J837">
        <v>6364091905</v>
      </c>
      <c r="K837">
        <v>6773818828</v>
      </c>
      <c r="L837">
        <v>6680265280</v>
      </c>
      <c r="M837">
        <v>5504826211</v>
      </c>
      <c r="N837">
        <v>5325324268</v>
      </c>
      <c r="O837">
        <v>4015757699</v>
      </c>
      <c r="P837">
        <v>128</v>
      </c>
      <c r="Q837" t="s">
        <v>1917</v>
      </c>
    </row>
    <row r="838" spans="1:17" x14ac:dyDescent="0.3">
      <c r="A838" t="s">
        <v>17</v>
      </c>
      <c r="B838" t="str">
        <f>"600984"</f>
        <v>600984</v>
      </c>
      <c r="C838" t="s">
        <v>1918</v>
      </c>
      <c r="D838" t="s">
        <v>83</v>
      </c>
      <c r="F838">
        <v>4724616258</v>
      </c>
      <c r="G838">
        <v>4001242009</v>
      </c>
      <c r="H838">
        <v>3251406861</v>
      </c>
      <c r="I838">
        <v>2227295005</v>
      </c>
      <c r="J838">
        <v>1829174361</v>
      </c>
      <c r="K838">
        <v>1375580880</v>
      </c>
      <c r="L838">
        <v>701255900</v>
      </c>
      <c r="M838">
        <v>283204435</v>
      </c>
      <c r="N838">
        <v>452374199</v>
      </c>
      <c r="O838">
        <v>704892393</v>
      </c>
      <c r="P838">
        <v>279</v>
      </c>
      <c r="Q838" t="s">
        <v>1919</v>
      </c>
    </row>
    <row r="839" spans="1:17" x14ac:dyDescent="0.3">
      <c r="A839" t="s">
        <v>17</v>
      </c>
      <c r="B839" t="str">
        <f>"600985"</f>
        <v>600985</v>
      </c>
      <c r="C839" t="s">
        <v>1920</v>
      </c>
      <c r="D839" t="s">
        <v>298</v>
      </c>
      <c r="F839">
        <v>64960882565</v>
      </c>
      <c r="G839">
        <v>52275768778</v>
      </c>
      <c r="H839">
        <v>60086157534</v>
      </c>
      <c r="I839">
        <v>54687226528</v>
      </c>
      <c r="J839">
        <v>956501183</v>
      </c>
      <c r="K839">
        <v>835854095</v>
      </c>
      <c r="L839">
        <v>904147458</v>
      </c>
      <c r="M839">
        <v>987766598</v>
      </c>
      <c r="N839">
        <v>939920807</v>
      </c>
      <c r="O839">
        <v>667402352</v>
      </c>
      <c r="P839">
        <v>1007</v>
      </c>
      <c r="Q839" t="s">
        <v>1921</v>
      </c>
    </row>
    <row r="840" spans="1:17" x14ac:dyDescent="0.3">
      <c r="A840" t="s">
        <v>17</v>
      </c>
      <c r="B840" t="str">
        <f>"600986"</f>
        <v>600986</v>
      </c>
      <c r="C840" t="s">
        <v>1922</v>
      </c>
      <c r="D840" t="s">
        <v>207</v>
      </c>
      <c r="F840">
        <v>14293791850</v>
      </c>
      <c r="G840">
        <v>9260567257</v>
      </c>
      <c r="H840">
        <v>18882511609</v>
      </c>
      <c r="I840">
        <v>14209498881</v>
      </c>
      <c r="J840">
        <v>9469768021</v>
      </c>
      <c r="K840">
        <v>7025429581</v>
      </c>
      <c r="L840">
        <v>2416964779</v>
      </c>
      <c r="M840">
        <v>1115439347</v>
      </c>
      <c r="N840">
        <v>907938333</v>
      </c>
      <c r="O840">
        <v>1508466309</v>
      </c>
      <c r="P840">
        <v>239</v>
      </c>
      <c r="Q840" t="s">
        <v>1923</v>
      </c>
    </row>
    <row r="841" spans="1:17" x14ac:dyDescent="0.3">
      <c r="A841" t="s">
        <v>17</v>
      </c>
      <c r="B841" t="str">
        <f>"600987"</f>
        <v>600987</v>
      </c>
      <c r="C841" t="s">
        <v>1924</v>
      </c>
      <c r="D841" t="s">
        <v>817</v>
      </c>
      <c r="F841">
        <v>9491158605</v>
      </c>
      <c r="G841">
        <v>5232783775</v>
      </c>
      <c r="H841">
        <v>6694459050</v>
      </c>
      <c r="I841">
        <v>7533894736</v>
      </c>
      <c r="J841">
        <v>3495787997</v>
      </c>
      <c r="K841">
        <v>3190621693</v>
      </c>
      <c r="L841">
        <v>3027659065</v>
      </c>
      <c r="M841">
        <v>3184223307</v>
      </c>
      <c r="N841">
        <v>2930792464</v>
      </c>
      <c r="O841">
        <v>2547914805</v>
      </c>
      <c r="P841">
        <v>4846</v>
      </c>
      <c r="Q841" t="s">
        <v>1925</v>
      </c>
    </row>
    <row r="842" spans="1:17" x14ac:dyDescent="0.3">
      <c r="A842" t="s">
        <v>17</v>
      </c>
      <c r="B842" t="str">
        <f>"600988"</f>
        <v>600988</v>
      </c>
      <c r="C842" t="s">
        <v>1926</v>
      </c>
      <c r="D842" t="s">
        <v>701</v>
      </c>
      <c r="F842">
        <v>3782624088</v>
      </c>
      <c r="G842">
        <v>4558188911</v>
      </c>
      <c r="H842">
        <v>6068463321</v>
      </c>
      <c r="I842">
        <v>2153115455</v>
      </c>
      <c r="J842">
        <v>2587008634</v>
      </c>
      <c r="K842">
        <v>2112104640</v>
      </c>
      <c r="L842">
        <v>1591158503</v>
      </c>
      <c r="M842">
        <v>851581884</v>
      </c>
      <c r="N842">
        <v>581618855</v>
      </c>
      <c r="O842">
        <v>573979007</v>
      </c>
      <c r="P842">
        <v>487</v>
      </c>
      <c r="Q842" t="s">
        <v>1927</v>
      </c>
    </row>
    <row r="843" spans="1:17" x14ac:dyDescent="0.3">
      <c r="A843" t="s">
        <v>17</v>
      </c>
      <c r="B843" t="str">
        <f>"600989"</f>
        <v>600989</v>
      </c>
      <c r="C843" t="s">
        <v>1928</v>
      </c>
      <c r="D843" t="s">
        <v>914</v>
      </c>
      <c r="F843">
        <v>23299935290</v>
      </c>
      <c r="G843">
        <v>15927728889</v>
      </c>
      <c r="H843">
        <v>13568199158</v>
      </c>
      <c r="I843">
        <v>13052290294</v>
      </c>
      <c r="J843">
        <v>12300744981</v>
      </c>
      <c r="K843">
        <v>8027371993</v>
      </c>
      <c r="P843">
        <v>769</v>
      </c>
      <c r="Q843" t="s">
        <v>1929</v>
      </c>
    </row>
    <row r="844" spans="1:17" x14ac:dyDescent="0.3">
      <c r="A844" t="s">
        <v>17</v>
      </c>
      <c r="B844" t="str">
        <f>"600990"</f>
        <v>600990</v>
      </c>
      <c r="C844" t="s">
        <v>1930</v>
      </c>
      <c r="D844" t="s">
        <v>1136</v>
      </c>
      <c r="F844">
        <v>3143289529</v>
      </c>
      <c r="G844">
        <v>3942261982</v>
      </c>
      <c r="H844">
        <v>3670966928</v>
      </c>
      <c r="I844">
        <v>5246385611</v>
      </c>
      <c r="J844">
        <v>5056842612</v>
      </c>
      <c r="K844">
        <v>3982768804</v>
      </c>
      <c r="L844">
        <v>2498138626</v>
      </c>
      <c r="M844">
        <v>1684528307</v>
      </c>
      <c r="N844">
        <v>1116667793</v>
      </c>
      <c r="O844">
        <v>1003032953</v>
      </c>
      <c r="P844">
        <v>166</v>
      </c>
      <c r="Q844" t="s">
        <v>1931</v>
      </c>
    </row>
    <row r="845" spans="1:17" x14ac:dyDescent="0.3">
      <c r="A845" t="s">
        <v>17</v>
      </c>
      <c r="B845" t="str">
        <f>"600992"</f>
        <v>600992</v>
      </c>
      <c r="C845" t="s">
        <v>1932</v>
      </c>
      <c r="D845" t="s">
        <v>274</v>
      </c>
      <c r="F845">
        <v>2529185966</v>
      </c>
      <c r="G845">
        <v>2130079119</v>
      </c>
      <c r="H845">
        <v>2188291620</v>
      </c>
      <c r="I845">
        <v>2075793724</v>
      </c>
      <c r="J845">
        <v>1812985805</v>
      </c>
      <c r="K845">
        <v>1410881667</v>
      </c>
      <c r="L845">
        <v>1498415959</v>
      </c>
      <c r="M845">
        <v>1848199107</v>
      </c>
      <c r="N845">
        <v>1927976736</v>
      </c>
      <c r="O845">
        <v>1560869157</v>
      </c>
      <c r="P845">
        <v>57</v>
      </c>
      <c r="Q845" t="s">
        <v>1933</v>
      </c>
    </row>
    <row r="846" spans="1:17" x14ac:dyDescent="0.3">
      <c r="A846" t="s">
        <v>17</v>
      </c>
      <c r="B846" t="str">
        <f>"600993"</f>
        <v>600993</v>
      </c>
      <c r="C846" t="s">
        <v>1934</v>
      </c>
      <c r="D846" t="s">
        <v>188</v>
      </c>
      <c r="F846">
        <v>3385059256</v>
      </c>
      <c r="G846">
        <v>2791591948</v>
      </c>
      <c r="H846">
        <v>2705396243</v>
      </c>
      <c r="I846">
        <v>2197507494</v>
      </c>
      <c r="J846">
        <v>1750592394</v>
      </c>
      <c r="K846">
        <v>2102806896</v>
      </c>
      <c r="L846">
        <v>1783682352</v>
      </c>
      <c r="M846">
        <v>1620801192</v>
      </c>
      <c r="N846">
        <v>1602282477</v>
      </c>
      <c r="O846">
        <v>1542034451</v>
      </c>
      <c r="P846">
        <v>942</v>
      </c>
      <c r="Q846" t="s">
        <v>1935</v>
      </c>
    </row>
    <row r="847" spans="1:17" x14ac:dyDescent="0.3">
      <c r="A847" t="s">
        <v>17</v>
      </c>
      <c r="B847" t="str">
        <f>"600995"</f>
        <v>600995</v>
      </c>
      <c r="C847" t="s">
        <v>1936</v>
      </c>
      <c r="D847" t="s">
        <v>239</v>
      </c>
      <c r="F847">
        <v>2163601316</v>
      </c>
      <c r="G847">
        <v>1881432054</v>
      </c>
      <c r="H847">
        <v>2319224254</v>
      </c>
      <c r="I847">
        <v>2025333159</v>
      </c>
      <c r="J847">
        <v>2034659146</v>
      </c>
      <c r="K847">
        <v>1836268915</v>
      </c>
      <c r="L847">
        <v>1953837466</v>
      </c>
      <c r="M847">
        <v>2016032965</v>
      </c>
      <c r="N847">
        <v>2031812978</v>
      </c>
      <c r="O847">
        <v>1710340703</v>
      </c>
      <c r="P847">
        <v>267</v>
      </c>
      <c r="Q847" t="s">
        <v>1937</v>
      </c>
    </row>
    <row r="848" spans="1:17" x14ac:dyDescent="0.3">
      <c r="A848" t="s">
        <v>17</v>
      </c>
      <c r="B848" t="str">
        <f>"600996"</f>
        <v>600996</v>
      </c>
      <c r="C848" t="s">
        <v>1938</v>
      </c>
      <c r="D848" t="s">
        <v>95</v>
      </c>
      <c r="F848">
        <v>2783957971</v>
      </c>
      <c r="G848">
        <v>3473095289</v>
      </c>
      <c r="H848">
        <v>3417953369</v>
      </c>
      <c r="I848">
        <v>3231026637</v>
      </c>
      <c r="J848">
        <v>2573435958</v>
      </c>
      <c r="K848">
        <v>2289174593</v>
      </c>
      <c r="L848">
        <v>2102615284</v>
      </c>
      <c r="M848">
        <v>1749304249</v>
      </c>
      <c r="N848">
        <v>1471918796</v>
      </c>
      <c r="P848">
        <v>244</v>
      </c>
      <c r="Q848" t="s">
        <v>1939</v>
      </c>
    </row>
    <row r="849" spans="1:17" x14ac:dyDescent="0.3">
      <c r="A849" t="s">
        <v>17</v>
      </c>
      <c r="B849" t="str">
        <f>"600997"</f>
        <v>600997</v>
      </c>
      <c r="C849" t="s">
        <v>1940</v>
      </c>
      <c r="D849" t="s">
        <v>885</v>
      </c>
      <c r="F849">
        <v>22353709541</v>
      </c>
      <c r="G849">
        <v>18176778761</v>
      </c>
      <c r="H849">
        <v>20071971846</v>
      </c>
      <c r="I849">
        <v>20460011690</v>
      </c>
      <c r="J849">
        <v>18561577801</v>
      </c>
      <c r="K849">
        <v>11728770122</v>
      </c>
      <c r="L849">
        <v>10419596685</v>
      </c>
      <c r="M849">
        <v>14296165543</v>
      </c>
      <c r="N849">
        <v>17176166707</v>
      </c>
      <c r="O849">
        <v>19091266724</v>
      </c>
      <c r="P849">
        <v>729</v>
      </c>
      <c r="Q849" t="s">
        <v>1941</v>
      </c>
    </row>
    <row r="850" spans="1:17" x14ac:dyDescent="0.3">
      <c r="A850" t="s">
        <v>17</v>
      </c>
      <c r="B850" t="str">
        <f>"600998"</f>
        <v>600998</v>
      </c>
      <c r="C850" t="s">
        <v>1942</v>
      </c>
      <c r="D850" t="s">
        <v>125</v>
      </c>
      <c r="F850">
        <v>122407434023</v>
      </c>
      <c r="G850">
        <v>110859514088</v>
      </c>
      <c r="H850">
        <v>99497077397</v>
      </c>
      <c r="I850">
        <v>87136358554</v>
      </c>
      <c r="J850">
        <v>73942894403</v>
      </c>
      <c r="K850">
        <v>61556839886</v>
      </c>
      <c r="L850">
        <v>49589246312</v>
      </c>
      <c r="M850">
        <v>41068404478</v>
      </c>
      <c r="N850">
        <v>33438049666</v>
      </c>
      <c r="O850">
        <v>29507662757</v>
      </c>
      <c r="P850">
        <v>612</v>
      </c>
      <c r="Q850" t="s">
        <v>1943</v>
      </c>
    </row>
    <row r="851" spans="1:17" x14ac:dyDescent="0.3">
      <c r="A851" t="s">
        <v>17</v>
      </c>
      <c r="B851" t="str">
        <f>"600999"</f>
        <v>600999</v>
      </c>
      <c r="C851" t="s">
        <v>1944</v>
      </c>
      <c r="D851" t="s">
        <v>80</v>
      </c>
      <c r="F851">
        <v>29428896087</v>
      </c>
      <c r="G851">
        <v>24277670241</v>
      </c>
      <c r="H851">
        <v>18708369945</v>
      </c>
      <c r="I851">
        <v>11321611555</v>
      </c>
      <c r="J851">
        <v>13353213642</v>
      </c>
      <c r="K851">
        <v>11695453559</v>
      </c>
      <c r="L851">
        <v>25291794058</v>
      </c>
      <c r="M851">
        <v>11002468275</v>
      </c>
      <c r="N851">
        <v>6086564756</v>
      </c>
      <c r="O851">
        <v>4665719305</v>
      </c>
      <c r="P851">
        <v>2822</v>
      </c>
      <c r="Q851" t="s">
        <v>1945</v>
      </c>
    </row>
    <row r="852" spans="1:17" x14ac:dyDescent="0.3">
      <c r="A852" t="s">
        <v>17</v>
      </c>
      <c r="B852" t="str">
        <f>"601000"</f>
        <v>601000</v>
      </c>
      <c r="C852" t="s">
        <v>1946</v>
      </c>
      <c r="D852" t="s">
        <v>51</v>
      </c>
      <c r="F852">
        <v>6074993904</v>
      </c>
      <c r="G852">
        <v>7837269800</v>
      </c>
      <c r="H852">
        <v>11209104809</v>
      </c>
      <c r="I852">
        <v>10138132144</v>
      </c>
      <c r="J852">
        <v>7612185741</v>
      </c>
      <c r="K852">
        <v>5626440547</v>
      </c>
      <c r="L852">
        <v>5157369192</v>
      </c>
      <c r="M852">
        <v>5126627132</v>
      </c>
      <c r="N852">
        <v>4549915315</v>
      </c>
      <c r="O852">
        <v>3951033033</v>
      </c>
      <c r="P852">
        <v>892</v>
      </c>
      <c r="Q852" t="s">
        <v>1947</v>
      </c>
    </row>
    <row r="853" spans="1:17" x14ac:dyDescent="0.3">
      <c r="A853" t="s">
        <v>17</v>
      </c>
      <c r="B853" t="str">
        <f>"601001"</f>
        <v>601001</v>
      </c>
      <c r="C853" t="s">
        <v>1948</v>
      </c>
      <c r="D853" t="s">
        <v>292</v>
      </c>
      <c r="F853">
        <v>18265127994</v>
      </c>
      <c r="G853">
        <v>10905049549</v>
      </c>
      <c r="H853">
        <v>11358049185</v>
      </c>
      <c r="I853">
        <v>11258568835</v>
      </c>
      <c r="J853">
        <v>9162909460</v>
      </c>
      <c r="K853">
        <v>7391443497</v>
      </c>
      <c r="L853">
        <v>7128644929</v>
      </c>
      <c r="M853">
        <v>8676260258</v>
      </c>
      <c r="N853">
        <v>10843633000</v>
      </c>
      <c r="O853">
        <v>17279987380</v>
      </c>
      <c r="P853">
        <v>289</v>
      </c>
      <c r="Q853" t="s">
        <v>1949</v>
      </c>
    </row>
    <row r="854" spans="1:17" x14ac:dyDescent="0.3">
      <c r="A854" t="s">
        <v>17</v>
      </c>
      <c r="B854" t="str">
        <f>"601002"</f>
        <v>601002</v>
      </c>
      <c r="C854" t="s">
        <v>1950</v>
      </c>
      <c r="D854" t="s">
        <v>274</v>
      </c>
      <c r="F854">
        <v>2873865197</v>
      </c>
      <c r="G854">
        <v>2521879334</v>
      </c>
      <c r="H854">
        <v>2947098702</v>
      </c>
      <c r="I854">
        <v>3471277744</v>
      </c>
      <c r="J854">
        <v>2966888614</v>
      </c>
      <c r="K854">
        <v>2284401358</v>
      </c>
      <c r="L854">
        <v>2278105619</v>
      </c>
      <c r="M854">
        <v>3008101238</v>
      </c>
      <c r="N854">
        <v>2732722792</v>
      </c>
      <c r="O854">
        <v>2596338695</v>
      </c>
      <c r="P854">
        <v>146</v>
      </c>
      <c r="Q854" t="s">
        <v>1951</v>
      </c>
    </row>
    <row r="855" spans="1:17" x14ac:dyDescent="0.3">
      <c r="A855" t="s">
        <v>17</v>
      </c>
      <c r="B855" t="str">
        <f>"601003"</f>
        <v>601003</v>
      </c>
      <c r="C855" t="s">
        <v>1952</v>
      </c>
      <c r="D855" t="s">
        <v>38</v>
      </c>
      <c r="F855">
        <v>92251630846</v>
      </c>
      <c r="G855">
        <v>54693987614</v>
      </c>
      <c r="H855">
        <v>48620101781</v>
      </c>
      <c r="I855">
        <v>47351110185</v>
      </c>
      <c r="J855">
        <v>41557169054</v>
      </c>
      <c r="K855">
        <v>26650401296</v>
      </c>
      <c r="L855">
        <v>25909458585</v>
      </c>
      <c r="M855">
        <v>35618580769</v>
      </c>
      <c r="N855">
        <v>36848878694</v>
      </c>
      <c r="O855">
        <v>37276361584</v>
      </c>
      <c r="P855">
        <v>1021</v>
      </c>
      <c r="Q855" t="s">
        <v>1953</v>
      </c>
    </row>
    <row r="856" spans="1:17" x14ac:dyDescent="0.3">
      <c r="A856" t="s">
        <v>17</v>
      </c>
      <c r="B856" t="str">
        <f>"601005"</f>
        <v>601005</v>
      </c>
      <c r="C856" t="s">
        <v>1954</v>
      </c>
      <c r="D856" t="s">
        <v>38</v>
      </c>
      <c r="F856">
        <v>39849418000</v>
      </c>
      <c r="G856">
        <v>24489935000</v>
      </c>
      <c r="H856">
        <v>23477597000</v>
      </c>
      <c r="I856">
        <v>22638957000</v>
      </c>
      <c r="J856">
        <v>13236840000</v>
      </c>
      <c r="K856">
        <v>4414902000</v>
      </c>
      <c r="L856">
        <v>8350022000</v>
      </c>
      <c r="M856">
        <v>12245057000</v>
      </c>
      <c r="N856">
        <v>17563446000</v>
      </c>
      <c r="O856">
        <v>18458776000</v>
      </c>
      <c r="P856">
        <v>249</v>
      </c>
      <c r="Q856" t="s">
        <v>1955</v>
      </c>
    </row>
    <row r="857" spans="1:17" x14ac:dyDescent="0.3">
      <c r="A857" t="s">
        <v>17</v>
      </c>
      <c r="B857" t="str">
        <f>"601006"</f>
        <v>601006</v>
      </c>
      <c r="C857" t="s">
        <v>1956</v>
      </c>
      <c r="D857" t="s">
        <v>301</v>
      </c>
      <c r="F857">
        <v>78682047234</v>
      </c>
      <c r="G857">
        <v>72321861009</v>
      </c>
      <c r="H857">
        <v>79916947840</v>
      </c>
      <c r="I857">
        <v>78344648525</v>
      </c>
      <c r="J857">
        <v>55636499436</v>
      </c>
      <c r="K857">
        <v>44624879986</v>
      </c>
      <c r="L857">
        <v>52531366878</v>
      </c>
      <c r="M857">
        <v>53970730405</v>
      </c>
      <c r="N857">
        <v>51342739663</v>
      </c>
      <c r="O857">
        <v>45962439573</v>
      </c>
      <c r="P857">
        <v>4202</v>
      </c>
      <c r="Q857" t="s">
        <v>1957</v>
      </c>
    </row>
    <row r="858" spans="1:17" x14ac:dyDescent="0.3">
      <c r="A858" t="s">
        <v>17</v>
      </c>
      <c r="B858" t="str">
        <f>"601007"</f>
        <v>601007</v>
      </c>
      <c r="C858" t="s">
        <v>1958</v>
      </c>
      <c r="D858" t="s">
        <v>590</v>
      </c>
      <c r="F858">
        <v>1373972572</v>
      </c>
      <c r="G858">
        <v>1140251438</v>
      </c>
      <c r="H858">
        <v>1188820685</v>
      </c>
      <c r="I858">
        <v>1035797443</v>
      </c>
      <c r="J858">
        <v>938412721</v>
      </c>
      <c r="K858">
        <v>834650864</v>
      </c>
      <c r="L858">
        <v>735734898</v>
      </c>
      <c r="M858">
        <v>612738651</v>
      </c>
      <c r="N858">
        <v>534713685</v>
      </c>
      <c r="O858">
        <v>606627910</v>
      </c>
      <c r="P858">
        <v>111</v>
      </c>
      <c r="Q858" t="s">
        <v>1959</v>
      </c>
    </row>
    <row r="859" spans="1:17" x14ac:dyDescent="0.3">
      <c r="A859" t="s">
        <v>17</v>
      </c>
      <c r="B859" t="str">
        <f>"601008"</f>
        <v>601008</v>
      </c>
      <c r="C859" t="s">
        <v>1960</v>
      </c>
      <c r="D859" t="s">
        <v>51</v>
      </c>
      <c r="F859">
        <v>2032888784</v>
      </c>
      <c r="G859">
        <v>1621949630</v>
      </c>
      <c r="H859">
        <v>1424632142</v>
      </c>
      <c r="I859">
        <v>1317047833</v>
      </c>
      <c r="J859">
        <v>1273172640</v>
      </c>
      <c r="K859">
        <v>1167130468</v>
      </c>
      <c r="L859">
        <v>1242854202</v>
      </c>
      <c r="M859">
        <v>1529371072</v>
      </c>
      <c r="N859">
        <v>1542275844</v>
      </c>
      <c r="O859">
        <v>1615210073</v>
      </c>
      <c r="P859">
        <v>131</v>
      </c>
      <c r="Q859" t="s">
        <v>1961</v>
      </c>
    </row>
    <row r="860" spans="1:17" x14ac:dyDescent="0.3">
      <c r="A860" t="s">
        <v>17</v>
      </c>
      <c r="B860" t="str">
        <f>"601009"</f>
        <v>601009</v>
      </c>
      <c r="C860" t="s">
        <v>1962</v>
      </c>
      <c r="D860" t="s">
        <v>1842</v>
      </c>
      <c r="F860">
        <v>40925185000</v>
      </c>
      <c r="G860">
        <v>34465476000</v>
      </c>
      <c r="H860">
        <v>32442262000</v>
      </c>
      <c r="I860">
        <v>27405558000</v>
      </c>
      <c r="J860">
        <v>24838737000</v>
      </c>
      <c r="K860">
        <v>26620668000</v>
      </c>
      <c r="L860">
        <v>22830482000</v>
      </c>
      <c r="M860">
        <v>15991534000</v>
      </c>
      <c r="N860">
        <v>10478294000</v>
      </c>
      <c r="O860">
        <v>9114453000</v>
      </c>
      <c r="P860">
        <v>44247</v>
      </c>
      <c r="Q860" t="s">
        <v>1963</v>
      </c>
    </row>
    <row r="861" spans="1:17" x14ac:dyDescent="0.3">
      <c r="A861" t="s">
        <v>17</v>
      </c>
      <c r="B861" t="str">
        <f>"601010"</f>
        <v>601010</v>
      </c>
      <c r="C861" t="s">
        <v>1964</v>
      </c>
      <c r="D861" t="s">
        <v>1404</v>
      </c>
      <c r="F861">
        <v>2473905052</v>
      </c>
      <c r="G861">
        <v>2349498178</v>
      </c>
      <c r="H861">
        <v>5993056081</v>
      </c>
      <c r="I861">
        <v>6372713033</v>
      </c>
      <c r="J861">
        <v>6722862445</v>
      </c>
      <c r="K861">
        <v>6771983033</v>
      </c>
      <c r="L861">
        <v>7219232558</v>
      </c>
      <c r="M861">
        <v>7795172186</v>
      </c>
      <c r="N861">
        <v>7178508866</v>
      </c>
      <c r="O861">
        <v>6426003395</v>
      </c>
      <c r="P861">
        <v>94</v>
      </c>
      <c r="Q861" t="s">
        <v>1965</v>
      </c>
    </row>
    <row r="862" spans="1:17" x14ac:dyDescent="0.3">
      <c r="A862" t="s">
        <v>17</v>
      </c>
      <c r="B862" t="str">
        <f>"601011"</f>
        <v>601011</v>
      </c>
      <c r="C862" t="s">
        <v>1966</v>
      </c>
      <c r="D862" t="s">
        <v>885</v>
      </c>
      <c r="F862">
        <v>3578572050</v>
      </c>
      <c r="G862">
        <v>2674729838</v>
      </c>
      <c r="H862">
        <v>2725523207</v>
      </c>
      <c r="I862">
        <v>3559881313</v>
      </c>
      <c r="J862">
        <v>2935253296</v>
      </c>
      <c r="K862">
        <v>1798295099</v>
      </c>
      <c r="L862">
        <v>1522819690</v>
      </c>
      <c r="M862">
        <v>1898090680</v>
      </c>
      <c r="N862">
        <v>1891983559</v>
      </c>
      <c r="O862">
        <v>2258674843</v>
      </c>
      <c r="P862">
        <v>134</v>
      </c>
      <c r="Q862" t="s">
        <v>1967</v>
      </c>
    </row>
    <row r="863" spans="1:17" x14ac:dyDescent="0.3">
      <c r="A863" t="s">
        <v>17</v>
      </c>
      <c r="B863" t="str">
        <f>"601012"</f>
        <v>601012</v>
      </c>
      <c r="C863" t="s">
        <v>1968</v>
      </c>
      <c r="D863" t="s">
        <v>929</v>
      </c>
      <c r="F863">
        <v>80932251149</v>
      </c>
      <c r="G863">
        <v>54583183588</v>
      </c>
      <c r="H863">
        <v>32897455384</v>
      </c>
      <c r="I863">
        <v>21987614950</v>
      </c>
      <c r="J863">
        <v>16362284494</v>
      </c>
      <c r="K863">
        <v>11530533461</v>
      </c>
      <c r="L863">
        <v>5947032617</v>
      </c>
      <c r="M863">
        <v>3680168521</v>
      </c>
      <c r="N863">
        <v>2280460647</v>
      </c>
      <c r="O863">
        <v>1708325053</v>
      </c>
      <c r="P863">
        <v>6941</v>
      </c>
      <c r="Q863" t="s">
        <v>1969</v>
      </c>
    </row>
    <row r="864" spans="1:17" x14ac:dyDescent="0.3">
      <c r="A864" t="s">
        <v>17</v>
      </c>
      <c r="B864" t="str">
        <f>"601015"</f>
        <v>601015</v>
      </c>
      <c r="C864" t="s">
        <v>1970</v>
      </c>
      <c r="D864" t="s">
        <v>885</v>
      </c>
      <c r="F864">
        <v>18895246752</v>
      </c>
      <c r="G864">
        <v>9056851543</v>
      </c>
      <c r="H864">
        <v>9387752693</v>
      </c>
      <c r="I864">
        <v>10472302550</v>
      </c>
      <c r="J864">
        <v>9583475390</v>
      </c>
      <c r="K864">
        <v>5558430884</v>
      </c>
      <c r="L864">
        <v>5218787656</v>
      </c>
      <c r="M864">
        <v>6778357899</v>
      </c>
      <c r="N864">
        <v>7535171144</v>
      </c>
      <c r="O864">
        <v>6221246943</v>
      </c>
      <c r="P864">
        <v>212</v>
      </c>
      <c r="Q864" t="s">
        <v>1971</v>
      </c>
    </row>
    <row r="865" spans="1:17" x14ac:dyDescent="0.3">
      <c r="A865" t="s">
        <v>17</v>
      </c>
      <c r="B865" t="str">
        <f>"601016"</f>
        <v>601016</v>
      </c>
      <c r="C865" t="s">
        <v>1972</v>
      </c>
      <c r="D865" t="s">
        <v>383</v>
      </c>
      <c r="F865">
        <v>3538902532</v>
      </c>
      <c r="G865">
        <v>2667213251</v>
      </c>
      <c r="H865">
        <v>2487370654</v>
      </c>
      <c r="I865">
        <v>2376067406</v>
      </c>
      <c r="J865">
        <v>1871449198</v>
      </c>
      <c r="K865">
        <v>1415192368</v>
      </c>
      <c r="L865">
        <v>1359369894</v>
      </c>
      <c r="M865">
        <v>1183313531</v>
      </c>
      <c r="N865">
        <v>1082987964</v>
      </c>
      <c r="O865">
        <v>1007500376</v>
      </c>
      <c r="P865">
        <v>542</v>
      </c>
      <c r="Q865" t="s">
        <v>1973</v>
      </c>
    </row>
    <row r="866" spans="1:17" x14ac:dyDescent="0.3">
      <c r="A866" t="s">
        <v>17</v>
      </c>
      <c r="B866" t="str">
        <f>"601018"</f>
        <v>601018</v>
      </c>
      <c r="C866" t="s">
        <v>1974</v>
      </c>
      <c r="D866" t="s">
        <v>51</v>
      </c>
      <c r="F866">
        <v>23127500000</v>
      </c>
      <c r="G866">
        <v>21267766000</v>
      </c>
      <c r="H866">
        <v>24322024000</v>
      </c>
      <c r="I866">
        <v>21879609000</v>
      </c>
      <c r="J866">
        <v>18182917000</v>
      </c>
      <c r="K866">
        <v>16325329000</v>
      </c>
      <c r="L866">
        <v>16520580000</v>
      </c>
      <c r="M866">
        <v>13415207000</v>
      </c>
      <c r="N866">
        <v>11395536000</v>
      </c>
      <c r="O866">
        <v>7802196000</v>
      </c>
      <c r="P866">
        <v>335</v>
      </c>
      <c r="Q866" t="s">
        <v>1975</v>
      </c>
    </row>
    <row r="867" spans="1:17" x14ac:dyDescent="0.3">
      <c r="A867" t="s">
        <v>17</v>
      </c>
      <c r="B867" t="str">
        <f>"601019"</f>
        <v>601019</v>
      </c>
      <c r="C867" t="s">
        <v>1976</v>
      </c>
      <c r="D867" t="s">
        <v>1536</v>
      </c>
      <c r="F867">
        <v>10890606597</v>
      </c>
      <c r="G867">
        <v>9749545748</v>
      </c>
      <c r="H867">
        <v>9766961004</v>
      </c>
      <c r="I867">
        <v>9350816842</v>
      </c>
      <c r="J867">
        <v>8900920661</v>
      </c>
      <c r="K867">
        <v>8033958470</v>
      </c>
      <c r="L867">
        <v>7750313408</v>
      </c>
      <c r="M867">
        <v>7481851207</v>
      </c>
      <c r="P867">
        <v>401</v>
      </c>
      <c r="Q867" t="s">
        <v>1977</v>
      </c>
    </row>
    <row r="868" spans="1:17" x14ac:dyDescent="0.3">
      <c r="A868" t="s">
        <v>17</v>
      </c>
      <c r="B868" t="str">
        <f>"601020"</f>
        <v>601020</v>
      </c>
      <c r="C868" t="s">
        <v>1978</v>
      </c>
      <c r="D868" t="s">
        <v>701</v>
      </c>
      <c r="F868">
        <v>1408261711</v>
      </c>
      <c r="G868">
        <v>2378942507</v>
      </c>
      <c r="H868">
        <v>1519274646</v>
      </c>
      <c r="I868">
        <v>1144988700</v>
      </c>
      <c r="J868">
        <v>904626371</v>
      </c>
      <c r="K868">
        <v>668192972</v>
      </c>
      <c r="L868">
        <v>598353200</v>
      </c>
      <c r="M868">
        <v>669316195</v>
      </c>
      <c r="N868">
        <v>500073835</v>
      </c>
      <c r="P868">
        <v>180</v>
      </c>
      <c r="Q868" t="s">
        <v>1979</v>
      </c>
    </row>
    <row r="869" spans="1:17" x14ac:dyDescent="0.3">
      <c r="A869" t="s">
        <v>17</v>
      </c>
      <c r="B869" t="str">
        <f>"601021"</f>
        <v>601021</v>
      </c>
      <c r="C869" t="s">
        <v>1980</v>
      </c>
      <c r="D869" t="s">
        <v>77</v>
      </c>
      <c r="F869">
        <v>10858107439</v>
      </c>
      <c r="G869">
        <v>9372918140</v>
      </c>
      <c r="H869">
        <v>14803517124</v>
      </c>
      <c r="I869">
        <v>13114041327</v>
      </c>
      <c r="J869">
        <v>10970589893</v>
      </c>
      <c r="K869">
        <v>8429404272</v>
      </c>
      <c r="L869">
        <v>8093672545</v>
      </c>
      <c r="M869">
        <v>7327613512</v>
      </c>
      <c r="N869">
        <v>6563439336</v>
      </c>
      <c r="O869">
        <v>5631718787</v>
      </c>
      <c r="P869">
        <v>1019</v>
      </c>
      <c r="Q869" t="s">
        <v>1981</v>
      </c>
    </row>
    <row r="870" spans="1:17" x14ac:dyDescent="0.3">
      <c r="A870" t="s">
        <v>17</v>
      </c>
      <c r="B870" t="str">
        <f>"601028"</f>
        <v>601028</v>
      </c>
      <c r="C870" t="s">
        <v>1982</v>
      </c>
      <c r="D870" t="s">
        <v>131</v>
      </c>
      <c r="F870">
        <v>11351946697</v>
      </c>
      <c r="G870">
        <v>11908280689</v>
      </c>
      <c r="H870">
        <v>1839497248</v>
      </c>
      <c r="I870">
        <v>1522929647</v>
      </c>
      <c r="J870">
        <v>1384683338</v>
      </c>
      <c r="K870">
        <v>1814507647</v>
      </c>
      <c r="L870">
        <v>2227221869</v>
      </c>
      <c r="M870">
        <v>2589664633</v>
      </c>
      <c r="N870">
        <v>2715150569</v>
      </c>
      <c r="O870">
        <v>2464911356</v>
      </c>
      <c r="P870">
        <v>87</v>
      </c>
      <c r="Q870" t="s">
        <v>1983</v>
      </c>
    </row>
    <row r="871" spans="1:17" x14ac:dyDescent="0.3">
      <c r="A871" t="s">
        <v>17</v>
      </c>
      <c r="B871" t="str">
        <f>"601038"</f>
        <v>601038</v>
      </c>
      <c r="C871" t="s">
        <v>1984</v>
      </c>
      <c r="D871" t="s">
        <v>1985</v>
      </c>
      <c r="F871">
        <v>9209135834</v>
      </c>
      <c r="G871">
        <v>7480729879</v>
      </c>
      <c r="H871">
        <v>5736943978</v>
      </c>
      <c r="I871">
        <v>5540998393</v>
      </c>
      <c r="J871">
        <v>7219310386</v>
      </c>
      <c r="K871">
        <v>8687502227</v>
      </c>
      <c r="L871">
        <v>9299840739</v>
      </c>
      <c r="M871">
        <v>8929316051</v>
      </c>
      <c r="N871">
        <v>10965436727</v>
      </c>
      <c r="O871">
        <v>11226015148</v>
      </c>
      <c r="P871">
        <v>179</v>
      </c>
      <c r="Q871" t="s">
        <v>1986</v>
      </c>
    </row>
    <row r="872" spans="1:17" x14ac:dyDescent="0.3">
      <c r="A872" t="s">
        <v>17</v>
      </c>
      <c r="B872" t="str">
        <f>"601058"</f>
        <v>601058</v>
      </c>
      <c r="C872" t="s">
        <v>1987</v>
      </c>
      <c r="D872" t="s">
        <v>422</v>
      </c>
      <c r="F872">
        <v>17998428484</v>
      </c>
      <c r="G872">
        <v>15404989185</v>
      </c>
      <c r="H872">
        <v>15127839306</v>
      </c>
      <c r="I872">
        <v>13684752715</v>
      </c>
      <c r="J872">
        <v>13806899698</v>
      </c>
      <c r="K872">
        <v>11133009152</v>
      </c>
      <c r="L872">
        <v>9769448674</v>
      </c>
      <c r="M872">
        <v>11128234903</v>
      </c>
      <c r="N872">
        <v>8021863964</v>
      </c>
      <c r="O872">
        <v>7074774552</v>
      </c>
      <c r="P872">
        <v>589</v>
      </c>
      <c r="Q872" t="s">
        <v>1988</v>
      </c>
    </row>
    <row r="873" spans="1:17" x14ac:dyDescent="0.3">
      <c r="A873" t="s">
        <v>17</v>
      </c>
      <c r="B873" t="str">
        <f>"601066"</f>
        <v>601066</v>
      </c>
      <c r="C873" t="s">
        <v>1989</v>
      </c>
      <c r="D873" t="s">
        <v>80</v>
      </c>
      <c r="F873">
        <v>29872018672</v>
      </c>
      <c r="G873">
        <v>23350881646</v>
      </c>
      <c r="H873">
        <v>13693187802</v>
      </c>
      <c r="I873">
        <v>10907166797</v>
      </c>
      <c r="J873">
        <v>11303252246</v>
      </c>
      <c r="K873">
        <v>13258770357</v>
      </c>
      <c r="L873">
        <v>19011208526</v>
      </c>
      <c r="M873">
        <v>8587480000</v>
      </c>
      <c r="N873">
        <v>5649669634</v>
      </c>
      <c r="O873">
        <v>4430306909</v>
      </c>
      <c r="P873">
        <v>1825</v>
      </c>
      <c r="Q873" t="s">
        <v>1990</v>
      </c>
    </row>
    <row r="874" spans="1:17" x14ac:dyDescent="0.3">
      <c r="A874" t="s">
        <v>17</v>
      </c>
      <c r="B874" t="str">
        <f>"601068"</f>
        <v>601068</v>
      </c>
      <c r="C874" t="s">
        <v>1991</v>
      </c>
      <c r="D874" t="s">
        <v>1992</v>
      </c>
      <c r="F874">
        <v>23348196308</v>
      </c>
      <c r="G874">
        <v>23025950958</v>
      </c>
      <c r="H874">
        <v>31059791612</v>
      </c>
      <c r="I874">
        <v>33572111307</v>
      </c>
      <c r="J874">
        <v>36065345813</v>
      </c>
      <c r="K874">
        <v>26966287416</v>
      </c>
      <c r="L874">
        <v>20962179206</v>
      </c>
      <c r="P874">
        <v>109</v>
      </c>
      <c r="Q874" t="s">
        <v>1993</v>
      </c>
    </row>
    <row r="875" spans="1:17" x14ac:dyDescent="0.3">
      <c r="A875" t="s">
        <v>17</v>
      </c>
      <c r="B875" t="str">
        <f>"601069"</f>
        <v>601069</v>
      </c>
      <c r="C875" t="s">
        <v>1994</v>
      </c>
      <c r="D875" t="s">
        <v>701</v>
      </c>
      <c r="F875">
        <v>4158277632</v>
      </c>
      <c r="G875">
        <v>5555333047</v>
      </c>
      <c r="H875">
        <v>3862895993</v>
      </c>
      <c r="I875">
        <v>1001777014</v>
      </c>
      <c r="J875">
        <v>1392514721</v>
      </c>
      <c r="K875">
        <v>1113256480</v>
      </c>
      <c r="L875">
        <v>1014423359</v>
      </c>
      <c r="M875">
        <v>1075381949</v>
      </c>
      <c r="N875">
        <v>1086699781</v>
      </c>
      <c r="O875">
        <v>1206007335</v>
      </c>
      <c r="P875">
        <v>142</v>
      </c>
      <c r="Q875" t="s">
        <v>1995</v>
      </c>
    </row>
    <row r="876" spans="1:17" x14ac:dyDescent="0.3">
      <c r="A876" t="s">
        <v>17</v>
      </c>
      <c r="B876" t="str">
        <f>"601077"</f>
        <v>601077</v>
      </c>
      <c r="C876" t="s">
        <v>1996</v>
      </c>
      <c r="D876" t="s">
        <v>1831</v>
      </c>
      <c r="F876">
        <v>30841803000</v>
      </c>
      <c r="G876">
        <v>28186176000</v>
      </c>
      <c r="H876">
        <v>26629808000</v>
      </c>
      <c r="I876">
        <v>26116394000</v>
      </c>
      <c r="J876">
        <v>23987747000</v>
      </c>
      <c r="K876">
        <v>21705019000</v>
      </c>
      <c r="L876">
        <v>21742754000</v>
      </c>
      <c r="M876">
        <v>19710028000</v>
      </c>
      <c r="N876">
        <v>16209789000</v>
      </c>
      <c r="O876">
        <v>13553677000</v>
      </c>
      <c r="P876">
        <v>509</v>
      </c>
      <c r="Q876" t="s">
        <v>1997</v>
      </c>
    </row>
    <row r="877" spans="1:17" x14ac:dyDescent="0.3">
      <c r="A877" t="s">
        <v>17</v>
      </c>
      <c r="B877" t="str">
        <f>"601086"</f>
        <v>601086</v>
      </c>
      <c r="C877" t="s">
        <v>1998</v>
      </c>
      <c r="D877" t="s">
        <v>633</v>
      </c>
      <c r="F877">
        <v>968036391</v>
      </c>
      <c r="G877">
        <v>1021450204</v>
      </c>
      <c r="H877">
        <v>2765901220</v>
      </c>
      <c r="I877">
        <v>2927239172</v>
      </c>
      <c r="J877">
        <v>2902334353</v>
      </c>
      <c r="K877">
        <v>2840037648</v>
      </c>
      <c r="L877">
        <v>2929230905</v>
      </c>
      <c r="M877">
        <v>3114586749</v>
      </c>
      <c r="P877">
        <v>79</v>
      </c>
      <c r="Q877" t="s">
        <v>1999</v>
      </c>
    </row>
    <row r="878" spans="1:17" x14ac:dyDescent="0.3">
      <c r="A878" t="s">
        <v>17</v>
      </c>
      <c r="B878" t="str">
        <f>"601088"</f>
        <v>601088</v>
      </c>
      <c r="C878" t="s">
        <v>2000</v>
      </c>
      <c r="D878" t="s">
        <v>292</v>
      </c>
      <c r="F878">
        <v>335216000000</v>
      </c>
      <c r="G878">
        <v>233263000000</v>
      </c>
      <c r="H878">
        <v>241871000000</v>
      </c>
      <c r="I878">
        <v>264101000000</v>
      </c>
      <c r="J878">
        <v>248746000000</v>
      </c>
      <c r="K878">
        <v>183127000000</v>
      </c>
      <c r="L878">
        <v>177069000000</v>
      </c>
      <c r="M878">
        <v>248360000000</v>
      </c>
      <c r="N878">
        <v>283797000000</v>
      </c>
      <c r="O878">
        <v>250260000000</v>
      </c>
      <c r="P878">
        <v>3939</v>
      </c>
      <c r="Q878" t="s">
        <v>2001</v>
      </c>
    </row>
    <row r="879" spans="1:17" x14ac:dyDescent="0.3">
      <c r="A879" t="s">
        <v>17</v>
      </c>
      <c r="B879" t="str">
        <f>"601098"</f>
        <v>601098</v>
      </c>
      <c r="C879" t="s">
        <v>2002</v>
      </c>
      <c r="D879" t="s">
        <v>1536</v>
      </c>
      <c r="F879">
        <v>11331441939</v>
      </c>
      <c r="G879">
        <v>10473008776</v>
      </c>
      <c r="H879">
        <v>10260858933</v>
      </c>
      <c r="I879">
        <v>9575576238</v>
      </c>
      <c r="J879">
        <v>10360099324</v>
      </c>
      <c r="K879">
        <v>11104520025</v>
      </c>
      <c r="L879">
        <v>10085432401</v>
      </c>
      <c r="M879">
        <v>9038761069</v>
      </c>
      <c r="N879">
        <v>8033049349</v>
      </c>
      <c r="O879">
        <v>6930363207</v>
      </c>
      <c r="P879">
        <v>882</v>
      </c>
      <c r="Q879" t="s">
        <v>2003</v>
      </c>
    </row>
    <row r="880" spans="1:17" x14ac:dyDescent="0.3">
      <c r="A880" t="s">
        <v>17</v>
      </c>
      <c r="B880" t="str">
        <f>"601099"</f>
        <v>601099</v>
      </c>
      <c r="C880" t="s">
        <v>2004</v>
      </c>
      <c r="D880" t="s">
        <v>80</v>
      </c>
      <c r="F880">
        <v>1630374414</v>
      </c>
      <c r="G880">
        <v>1171581594</v>
      </c>
      <c r="H880">
        <v>1776981331</v>
      </c>
      <c r="I880">
        <v>392515663</v>
      </c>
      <c r="J880">
        <v>1296895626</v>
      </c>
      <c r="K880">
        <v>1803972312</v>
      </c>
      <c r="L880">
        <v>2743370670</v>
      </c>
      <c r="M880">
        <v>1359158679</v>
      </c>
      <c r="N880">
        <v>486424246</v>
      </c>
      <c r="O880">
        <v>525802076</v>
      </c>
      <c r="P880">
        <v>740</v>
      </c>
      <c r="Q880" t="s">
        <v>2005</v>
      </c>
    </row>
    <row r="881" spans="1:17" x14ac:dyDescent="0.3">
      <c r="A881" t="s">
        <v>17</v>
      </c>
      <c r="B881" t="str">
        <f>"601100"</f>
        <v>601100</v>
      </c>
      <c r="C881" t="s">
        <v>2006</v>
      </c>
      <c r="D881" t="s">
        <v>2007</v>
      </c>
      <c r="F881">
        <v>9309218099</v>
      </c>
      <c r="G881">
        <v>7855038370</v>
      </c>
      <c r="H881">
        <v>5414021976</v>
      </c>
      <c r="I881">
        <v>4210975402</v>
      </c>
      <c r="J881">
        <v>2795211617</v>
      </c>
      <c r="K881">
        <v>1370100268</v>
      </c>
      <c r="L881">
        <v>1087588386</v>
      </c>
      <c r="M881">
        <v>1093289088</v>
      </c>
      <c r="N881">
        <v>1229739895</v>
      </c>
      <c r="O881">
        <v>1045146077</v>
      </c>
      <c r="P881">
        <v>1782</v>
      </c>
      <c r="Q881" t="s">
        <v>2008</v>
      </c>
    </row>
    <row r="882" spans="1:17" x14ac:dyDescent="0.3">
      <c r="A882" t="s">
        <v>17</v>
      </c>
      <c r="B882" t="str">
        <f>"601101"</f>
        <v>601101</v>
      </c>
      <c r="C882" t="s">
        <v>2009</v>
      </c>
      <c r="D882" t="s">
        <v>292</v>
      </c>
      <c r="F882">
        <v>8368948499</v>
      </c>
      <c r="G882">
        <v>4362451555</v>
      </c>
      <c r="H882">
        <v>5532550965</v>
      </c>
      <c r="I882">
        <v>5810299609</v>
      </c>
      <c r="J882">
        <v>5575638644</v>
      </c>
      <c r="K882">
        <v>5103229047</v>
      </c>
      <c r="L882">
        <v>6571831839</v>
      </c>
      <c r="M882">
        <v>6859845790</v>
      </c>
      <c r="N882">
        <v>7274115643</v>
      </c>
      <c r="O882">
        <v>6933131941</v>
      </c>
      <c r="P882">
        <v>281</v>
      </c>
      <c r="Q882" t="s">
        <v>2010</v>
      </c>
    </row>
    <row r="883" spans="1:17" x14ac:dyDescent="0.3">
      <c r="A883" t="s">
        <v>17</v>
      </c>
      <c r="B883" t="str">
        <f>"601106"</f>
        <v>601106</v>
      </c>
      <c r="C883" t="s">
        <v>2011</v>
      </c>
      <c r="D883" t="s">
        <v>395</v>
      </c>
      <c r="F883">
        <v>23128286094</v>
      </c>
      <c r="G883">
        <v>19902736774</v>
      </c>
      <c r="H883">
        <v>13165049633</v>
      </c>
      <c r="I883">
        <v>10511383456</v>
      </c>
      <c r="J883">
        <v>10251825155</v>
      </c>
      <c r="K883">
        <v>3204403231</v>
      </c>
      <c r="L883">
        <v>5012176479</v>
      </c>
      <c r="M883">
        <v>7327996674</v>
      </c>
      <c r="N883">
        <v>8368755810</v>
      </c>
      <c r="O883">
        <v>8318520005</v>
      </c>
      <c r="P883">
        <v>175</v>
      </c>
      <c r="Q883" t="s">
        <v>2012</v>
      </c>
    </row>
    <row r="884" spans="1:17" x14ac:dyDescent="0.3">
      <c r="A884" t="s">
        <v>17</v>
      </c>
      <c r="B884" t="str">
        <f>"601107"</f>
        <v>601107</v>
      </c>
      <c r="C884" t="s">
        <v>2013</v>
      </c>
      <c r="D884" t="s">
        <v>44</v>
      </c>
      <c r="F884">
        <v>9095440717</v>
      </c>
      <c r="G884">
        <v>5459022375</v>
      </c>
      <c r="H884">
        <v>6407613517</v>
      </c>
      <c r="I884">
        <v>5969017549</v>
      </c>
      <c r="J884">
        <v>7984364201</v>
      </c>
      <c r="K884">
        <v>8265885697</v>
      </c>
      <c r="L884">
        <v>9607700862</v>
      </c>
      <c r="M884">
        <v>8300355829</v>
      </c>
      <c r="N884">
        <v>7134862413</v>
      </c>
      <c r="O884">
        <v>4209951845</v>
      </c>
      <c r="P884">
        <v>231</v>
      </c>
      <c r="Q884" t="s">
        <v>2014</v>
      </c>
    </row>
    <row r="885" spans="1:17" x14ac:dyDescent="0.3">
      <c r="A885" t="s">
        <v>17</v>
      </c>
      <c r="B885" t="str">
        <f>"601108"</f>
        <v>601108</v>
      </c>
      <c r="C885" t="s">
        <v>2015</v>
      </c>
      <c r="D885" t="s">
        <v>80</v>
      </c>
      <c r="F885">
        <v>6407610367</v>
      </c>
      <c r="G885">
        <v>6528040616</v>
      </c>
      <c r="H885">
        <v>4952243605</v>
      </c>
      <c r="I885">
        <v>3167998370</v>
      </c>
      <c r="J885">
        <v>4011533664</v>
      </c>
      <c r="K885">
        <v>4255580081</v>
      </c>
      <c r="L885">
        <v>10241340331</v>
      </c>
      <c r="M885">
        <v>4502280610</v>
      </c>
      <c r="N885">
        <v>2259136500</v>
      </c>
      <c r="O885">
        <v>1411531300</v>
      </c>
      <c r="P885">
        <v>980</v>
      </c>
      <c r="Q885" t="s">
        <v>2016</v>
      </c>
    </row>
    <row r="886" spans="1:17" x14ac:dyDescent="0.3">
      <c r="A886" t="s">
        <v>17</v>
      </c>
      <c r="B886" t="str">
        <f>"601111"</f>
        <v>601111</v>
      </c>
      <c r="C886" t="s">
        <v>2017</v>
      </c>
      <c r="D886" t="s">
        <v>77</v>
      </c>
      <c r="F886">
        <v>74531670000</v>
      </c>
      <c r="G886">
        <v>69503749000</v>
      </c>
      <c r="H886">
        <v>136180690000</v>
      </c>
      <c r="I886">
        <v>136774403000</v>
      </c>
      <c r="J886">
        <v>121362899000</v>
      </c>
      <c r="K886">
        <v>113963990000</v>
      </c>
      <c r="L886">
        <v>108929114000</v>
      </c>
      <c r="M886">
        <v>104825683000</v>
      </c>
      <c r="N886">
        <v>97628253000</v>
      </c>
      <c r="O886">
        <v>99840551000</v>
      </c>
      <c r="P886">
        <v>1106</v>
      </c>
      <c r="Q886" t="s">
        <v>2018</v>
      </c>
    </row>
    <row r="887" spans="1:17" x14ac:dyDescent="0.3">
      <c r="A887" t="s">
        <v>17</v>
      </c>
      <c r="B887" t="str">
        <f>"601113"</f>
        <v>601113</v>
      </c>
      <c r="C887" t="s">
        <v>2019</v>
      </c>
      <c r="D887" t="s">
        <v>2020</v>
      </c>
      <c r="F887">
        <v>8654136550</v>
      </c>
      <c r="G887">
        <v>9763247762</v>
      </c>
      <c r="H887">
        <v>8564710361</v>
      </c>
      <c r="I887">
        <v>6602916493</v>
      </c>
      <c r="J887">
        <v>2834192638</v>
      </c>
      <c r="K887">
        <v>2143268331</v>
      </c>
      <c r="L887">
        <v>1592187309</v>
      </c>
      <c r="M887">
        <v>1702395202</v>
      </c>
      <c r="N887">
        <v>1696052740</v>
      </c>
      <c r="O887">
        <v>1771386702</v>
      </c>
      <c r="P887">
        <v>68</v>
      </c>
      <c r="Q887" t="s">
        <v>2021</v>
      </c>
    </row>
    <row r="888" spans="1:17" x14ac:dyDescent="0.3">
      <c r="A888" t="s">
        <v>17</v>
      </c>
      <c r="B888" t="str">
        <f>"601116"</f>
        <v>601116</v>
      </c>
      <c r="C888" t="s">
        <v>2022</v>
      </c>
      <c r="D888" t="s">
        <v>798</v>
      </c>
      <c r="F888">
        <v>3924648673</v>
      </c>
      <c r="G888">
        <v>4300095503</v>
      </c>
      <c r="H888">
        <v>3978691022</v>
      </c>
      <c r="I888">
        <v>4133153278</v>
      </c>
      <c r="J888">
        <v>3769855515</v>
      </c>
      <c r="K888">
        <v>4095949476</v>
      </c>
      <c r="L888">
        <v>4357358074</v>
      </c>
      <c r="M888">
        <v>4444191755</v>
      </c>
      <c r="N888">
        <v>4689620784</v>
      </c>
      <c r="O888">
        <v>5123452899</v>
      </c>
      <c r="P888">
        <v>124</v>
      </c>
      <c r="Q888" t="s">
        <v>2023</v>
      </c>
    </row>
    <row r="889" spans="1:17" x14ac:dyDescent="0.3">
      <c r="A889" t="s">
        <v>17</v>
      </c>
      <c r="B889" t="str">
        <f>"601117"</f>
        <v>601117</v>
      </c>
      <c r="C889" t="s">
        <v>2024</v>
      </c>
      <c r="D889" t="s">
        <v>2025</v>
      </c>
      <c r="F889">
        <v>137288977645</v>
      </c>
      <c r="G889">
        <v>109456514419</v>
      </c>
      <c r="H889">
        <v>103621835961</v>
      </c>
      <c r="I889">
        <v>81445477064</v>
      </c>
      <c r="J889">
        <v>58571427269</v>
      </c>
      <c r="K889">
        <v>53075755594</v>
      </c>
      <c r="L889">
        <v>63532339746</v>
      </c>
      <c r="M889">
        <v>69255686473</v>
      </c>
      <c r="N889">
        <v>61727690090</v>
      </c>
      <c r="O889">
        <v>54116707488</v>
      </c>
      <c r="P889">
        <v>717</v>
      </c>
      <c r="Q889" t="s">
        <v>2026</v>
      </c>
    </row>
    <row r="890" spans="1:17" x14ac:dyDescent="0.3">
      <c r="A890" t="s">
        <v>17</v>
      </c>
      <c r="B890" t="str">
        <f>"601118"</f>
        <v>601118</v>
      </c>
      <c r="C890" t="s">
        <v>2027</v>
      </c>
      <c r="D890" t="s">
        <v>258</v>
      </c>
      <c r="F890">
        <v>15332748358</v>
      </c>
      <c r="G890">
        <v>15744320459</v>
      </c>
      <c r="H890">
        <v>13802890233</v>
      </c>
      <c r="I890">
        <v>6754522892</v>
      </c>
      <c r="J890">
        <v>10818322651</v>
      </c>
      <c r="K890">
        <v>8876506776</v>
      </c>
      <c r="L890">
        <v>8400121545</v>
      </c>
      <c r="M890">
        <v>11198671739</v>
      </c>
      <c r="N890">
        <v>11694732913</v>
      </c>
      <c r="O890">
        <v>11674134794</v>
      </c>
      <c r="P890">
        <v>199</v>
      </c>
      <c r="Q890" t="s">
        <v>2028</v>
      </c>
    </row>
    <row r="891" spans="1:17" x14ac:dyDescent="0.3">
      <c r="A891" t="s">
        <v>17</v>
      </c>
      <c r="B891" t="str">
        <f>"601126"</f>
        <v>601126</v>
      </c>
      <c r="C891" t="s">
        <v>2029</v>
      </c>
      <c r="D891" t="s">
        <v>610</v>
      </c>
      <c r="F891">
        <v>4298217521</v>
      </c>
      <c r="G891">
        <v>3863193918</v>
      </c>
      <c r="H891">
        <v>3681198033</v>
      </c>
      <c r="I891">
        <v>3528688646</v>
      </c>
      <c r="J891">
        <v>3182409123</v>
      </c>
      <c r="K891">
        <v>3139209647</v>
      </c>
      <c r="L891">
        <v>3305876062</v>
      </c>
      <c r="M891">
        <v>3264111280</v>
      </c>
      <c r="N891">
        <v>3052550128</v>
      </c>
      <c r="O891">
        <v>2348700007</v>
      </c>
      <c r="P891">
        <v>279</v>
      </c>
      <c r="Q891" t="s">
        <v>2030</v>
      </c>
    </row>
    <row r="892" spans="1:17" x14ac:dyDescent="0.3">
      <c r="A892" t="s">
        <v>17</v>
      </c>
      <c r="B892" t="str">
        <f>"601127"</f>
        <v>601127</v>
      </c>
      <c r="C892" t="s">
        <v>2031</v>
      </c>
      <c r="D892" t="s">
        <v>247</v>
      </c>
      <c r="F892">
        <v>16717920930</v>
      </c>
      <c r="G892">
        <v>14302475985</v>
      </c>
      <c r="H892">
        <v>18132005178</v>
      </c>
      <c r="I892">
        <v>20239784786</v>
      </c>
      <c r="J892">
        <v>21933763912</v>
      </c>
      <c r="K892">
        <v>16192433346</v>
      </c>
      <c r="L892">
        <v>10554475453</v>
      </c>
      <c r="M892">
        <v>9418078375</v>
      </c>
      <c r="N892">
        <v>8287399530</v>
      </c>
      <c r="P892">
        <v>476</v>
      </c>
      <c r="Q892" t="s">
        <v>2032</v>
      </c>
    </row>
    <row r="893" spans="1:17" x14ac:dyDescent="0.3">
      <c r="A893" t="s">
        <v>17</v>
      </c>
      <c r="B893" t="str">
        <f>"601128"</f>
        <v>601128</v>
      </c>
      <c r="C893" t="s">
        <v>2033</v>
      </c>
      <c r="D893" t="s">
        <v>1831</v>
      </c>
      <c r="F893">
        <v>7655439000</v>
      </c>
      <c r="G893">
        <v>6582007000</v>
      </c>
      <c r="H893">
        <v>6445045000</v>
      </c>
      <c r="I893">
        <v>5823617000</v>
      </c>
      <c r="J893">
        <v>4996733000</v>
      </c>
      <c r="K893">
        <v>4475086000</v>
      </c>
      <c r="L893">
        <v>3491904628</v>
      </c>
      <c r="M893">
        <v>3067727982</v>
      </c>
      <c r="N893">
        <v>2364663576</v>
      </c>
      <c r="O893">
        <v>2335126000</v>
      </c>
      <c r="P893">
        <v>939</v>
      </c>
      <c r="Q893" t="s">
        <v>2034</v>
      </c>
    </row>
    <row r="894" spans="1:17" x14ac:dyDescent="0.3">
      <c r="A894" t="s">
        <v>17</v>
      </c>
      <c r="B894" t="str">
        <f>"601137"</f>
        <v>601137</v>
      </c>
      <c r="C894" t="s">
        <v>2035</v>
      </c>
      <c r="D894" t="s">
        <v>581</v>
      </c>
      <c r="F894">
        <v>10037996457</v>
      </c>
      <c r="G894">
        <v>7588737973</v>
      </c>
      <c r="H894">
        <v>7591642075</v>
      </c>
      <c r="I894">
        <v>6064768091</v>
      </c>
      <c r="J894">
        <v>5757801128</v>
      </c>
      <c r="K894">
        <v>4242676969</v>
      </c>
      <c r="L894">
        <v>2919099687</v>
      </c>
      <c r="M894">
        <v>2853494252</v>
      </c>
      <c r="N894">
        <v>2435249702</v>
      </c>
      <c r="O894">
        <v>2369410696</v>
      </c>
      <c r="P894">
        <v>283</v>
      </c>
      <c r="Q894" t="s">
        <v>2036</v>
      </c>
    </row>
    <row r="895" spans="1:17" x14ac:dyDescent="0.3">
      <c r="A895" t="s">
        <v>17</v>
      </c>
      <c r="B895" t="str">
        <f>"601138"</f>
        <v>601138</v>
      </c>
      <c r="C895" t="s">
        <v>2037</v>
      </c>
      <c r="D895" t="s">
        <v>313</v>
      </c>
      <c r="F895">
        <v>439557195000</v>
      </c>
      <c r="G895">
        <v>431785888000</v>
      </c>
      <c r="H895">
        <v>408697581000</v>
      </c>
      <c r="I895">
        <v>415377697000</v>
      </c>
      <c r="J895">
        <v>354543851000</v>
      </c>
      <c r="K895">
        <v>272712651000</v>
      </c>
      <c r="L895">
        <v>272799992000</v>
      </c>
      <c r="P895">
        <v>1318</v>
      </c>
      <c r="Q895" t="s">
        <v>2038</v>
      </c>
    </row>
    <row r="896" spans="1:17" x14ac:dyDescent="0.3">
      <c r="A896" t="s">
        <v>17</v>
      </c>
      <c r="B896" t="str">
        <f>"601139"</f>
        <v>601139</v>
      </c>
      <c r="C896" t="s">
        <v>2039</v>
      </c>
      <c r="D896" t="s">
        <v>749</v>
      </c>
      <c r="F896">
        <v>21414734213</v>
      </c>
      <c r="G896">
        <v>15014814569</v>
      </c>
      <c r="H896">
        <v>14025273714</v>
      </c>
      <c r="I896">
        <v>12741389910</v>
      </c>
      <c r="J896">
        <v>11058777569</v>
      </c>
      <c r="K896">
        <v>8508946951</v>
      </c>
      <c r="L896">
        <v>7967467449</v>
      </c>
      <c r="M896">
        <v>9530873496</v>
      </c>
      <c r="N896">
        <v>8574549941</v>
      </c>
      <c r="O896">
        <v>8967881711</v>
      </c>
      <c r="P896">
        <v>478</v>
      </c>
      <c r="Q896" t="s">
        <v>2040</v>
      </c>
    </row>
    <row r="897" spans="1:17" x14ac:dyDescent="0.3">
      <c r="A897" t="s">
        <v>17</v>
      </c>
      <c r="B897" t="str">
        <f>"601155"</f>
        <v>601155</v>
      </c>
      <c r="C897" t="s">
        <v>2041</v>
      </c>
      <c r="D897" t="s">
        <v>30</v>
      </c>
      <c r="F897">
        <v>168231677887</v>
      </c>
      <c r="G897">
        <v>145475225497</v>
      </c>
      <c r="H897">
        <v>85847041435</v>
      </c>
      <c r="I897">
        <v>54133310991</v>
      </c>
      <c r="J897">
        <v>40525684827</v>
      </c>
      <c r="K897">
        <v>27969282458</v>
      </c>
      <c r="L897">
        <v>23568793145</v>
      </c>
      <c r="M897">
        <v>20674198043</v>
      </c>
      <c r="N897">
        <v>20736461344</v>
      </c>
      <c r="O897">
        <v>17446195286</v>
      </c>
      <c r="P897">
        <v>7593</v>
      </c>
      <c r="Q897" t="s">
        <v>2042</v>
      </c>
    </row>
    <row r="898" spans="1:17" x14ac:dyDescent="0.3">
      <c r="A898" t="s">
        <v>17</v>
      </c>
      <c r="B898" t="str">
        <f>"601156"</f>
        <v>601156</v>
      </c>
      <c r="C898" t="s">
        <v>2043</v>
      </c>
      <c r="D898" t="s">
        <v>287</v>
      </c>
      <c r="F898">
        <v>22226920804</v>
      </c>
      <c r="G898">
        <v>15110699177</v>
      </c>
      <c r="H898">
        <v>11296067657</v>
      </c>
      <c r="I898">
        <v>10885833119</v>
      </c>
      <c r="J898">
        <v>7664561927</v>
      </c>
      <c r="P898">
        <v>104</v>
      </c>
      <c r="Q898" t="s">
        <v>2044</v>
      </c>
    </row>
    <row r="899" spans="1:17" x14ac:dyDescent="0.3">
      <c r="A899" t="s">
        <v>17</v>
      </c>
      <c r="B899" t="str">
        <f>"601158"</f>
        <v>601158</v>
      </c>
      <c r="C899" t="s">
        <v>2045</v>
      </c>
      <c r="D899" t="s">
        <v>33</v>
      </c>
      <c r="F899">
        <v>7252254088</v>
      </c>
      <c r="G899">
        <v>6349599845</v>
      </c>
      <c r="H899">
        <v>5638549427</v>
      </c>
      <c r="I899">
        <v>5171040735</v>
      </c>
      <c r="J899">
        <v>4471555581</v>
      </c>
      <c r="K899">
        <v>4453660598</v>
      </c>
      <c r="L899">
        <v>4488098718</v>
      </c>
      <c r="M899">
        <v>4136582015</v>
      </c>
      <c r="N899">
        <v>3999575359</v>
      </c>
      <c r="O899">
        <v>3968736586</v>
      </c>
      <c r="P899">
        <v>589</v>
      </c>
      <c r="Q899" t="s">
        <v>2046</v>
      </c>
    </row>
    <row r="900" spans="1:17" x14ac:dyDescent="0.3">
      <c r="A900" t="s">
        <v>17</v>
      </c>
      <c r="B900" t="str">
        <f>"601162"</f>
        <v>601162</v>
      </c>
      <c r="C900" t="s">
        <v>2047</v>
      </c>
      <c r="D900" t="s">
        <v>80</v>
      </c>
      <c r="F900">
        <v>4405719314</v>
      </c>
      <c r="G900">
        <v>4359629544</v>
      </c>
      <c r="H900">
        <v>3846100730</v>
      </c>
      <c r="I900">
        <v>3277404101</v>
      </c>
      <c r="J900">
        <v>2986161700</v>
      </c>
      <c r="K900">
        <v>3097919719</v>
      </c>
      <c r="L900">
        <v>3213163664</v>
      </c>
      <c r="M900">
        <v>1112169600</v>
      </c>
      <c r="N900">
        <v>668629269</v>
      </c>
      <c r="O900">
        <v>353259008</v>
      </c>
      <c r="P900">
        <v>897</v>
      </c>
      <c r="Q900" t="s">
        <v>2048</v>
      </c>
    </row>
    <row r="901" spans="1:17" x14ac:dyDescent="0.3">
      <c r="A901" t="s">
        <v>17</v>
      </c>
      <c r="B901" t="str">
        <f>"601163"</f>
        <v>601163</v>
      </c>
      <c r="C901" t="s">
        <v>2049</v>
      </c>
      <c r="D901" t="s">
        <v>422</v>
      </c>
      <c r="F901">
        <v>8954386534</v>
      </c>
      <c r="G901">
        <v>8535343969</v>
      </c>
      <c r="H901">
        <v>7940784666</v>
      </c>
      <c r="I901">
        <v>7511053739</v>
      </c>
      <c r="J901">
        <v>7920798059</v>
      </c>
      <c r="K901">
        <v>6709910603</v>
      </c>
      <c r="L901">
        <v>7186944048</v>
      </c>
      <c r="M901">
        <v>9164800545</v>
      </c>
      <c r="N901">
        <v>10062546516</v>
      </c>
      <c r="P901">
        <v>224</v>
      </c>
      <c r="Q901" t="s">
        <v>2050</v>
      </c>
    </row>
    <row r="902" spans="1:17" x14ac:dyDescent="0.3">
      <c r="A902" t="s">
        <v>17</v>
      </c>
      <c r="B902" t="str">
        <f>"601166"</f>
        <v>601166</v>
      </c>
      <c r="C902" t="s">
        <v>2051</v>
      </c>
      <c r="D902" t="s">
        <v>19</v>
      </c>
      <c r="F902">
        <v>221236000000</v>
      </c>
      <c r="G902">
        <v>203137000000</v>
      </c>
      <c r="H902">
        <v>181308000000</v>
      </c>
      <c r="I902">
        <v>158287000000</v>
      </c>
      <c r="J902">
        <v>139975000000</v>
      </c>
      <c r="K902">
        <v>157060000000</v>
      </c>
      <c r="L902">
        <v>154348000000</v>
      </c>
      <c r="M902">
        <v>124898000000</v>
      </c>
      <c r="N902">
        <v>109287000000</v>
      </c>
      <c r="O902">
        <v>87619000000</v>
      </c>
      <c r="P902">
        <v>24372</v>
      </c>
      <c r="Q902" t="s">
        <v>2052</v>
      </c>
    </row>
    <row r="903" spans="1:17" x14ac:dyDescent="0.3">
      <c r="A903" t="s">
        <v>17</v>
      </c>
      <c r="B903" t="str">
        <f>"601168"</f>
        <v>601168</v>
      </c>
      <c r="C903" t="s">
        <v>2053</v>
      </c>
      <c r="D903" t="s">
        <v>263</v>
      </c>
      <c r="F903">
        <v>38401060659</v>
      </c>
      <c r="G903">
        <v>28550148619</v>
      </c>
      <c r="H903">
        <v>30566841834</v>
      </c>
      <c r="I903">
        <v>28712496304</v>
      </c>
      <c r="J903">
        <v>27377292896</v>
      </c>
      <c r="K903">
        <v>27776047120</v>
      </c>
      <c r="L903">
        <v>26767019600</v>
      </c>
      <c r="M903">
        <v>24247085352</v>
      </c>
      <c r="N903">
        <v>25271519802</v>
      </c>
      <c r="O903">
        <v>19829215410</v>
      </c>
      <c r="P903">
        <v>392</v>
      </c>
      <c r="Q903" t="s">
        <v>2054</v>
      </c>
    </row>
    <row r="904" spans="1:17" x14ac:dyDescent="0.3">
      <c r="A904" t="s">
        <v>17</v>
      </c>
      <c r="B904" t="str">
        <f>"601169"</f>
        <v>601169</v>
      </c>
      <c r="C904" t="s">
        <v>2055</v>
      </c>
      <c r="D904" t="s">
        <v>1842</v>
      </c>
      <c r="F904">
        <v>66275000000</v>
      </c>
      <c r="G904">
        <v>64299000000</v>
      </c>
      <c r="H904">
        <v>63129000000</v>
      </c>
      <c r="I904">
        <v>55488000000</v>
      </c>
      <c r="J904">
        <v>50353000000</v>
      </c>
      <c r="K904">
        <v>47456000000</v>
      </c>
      <c r="L904">
        <v>44081000000</v>
      </c>
      <c r="M904">
        <v>36878000000</v>
      </c>
      <c r="N904">
        <v>30665154000</v>
      </c>
      <c r="O904">
        <v>27816860000</v>
      </c>
      <c r="P904">
        <v>16385</v>
      </c>
      <c r="Q904" t="s">
        <v>2056</v>
      </c>
    </row>
    <row r="905" spans="1:17" x14ac:dyDescent="0.3">
      <c r="A905" t="s">
        <v>17</v>
      </c>
      <c r="B905" t="str">
        <f>"601177"</f>
        <v>601177</v>
      </c>
      <c r="C905" t="s">
        <v>2057</v>
      </c>
      <c r="D905" t="s">
        <v>274</v>
      </c>
      <c r="F905">
        <v>2140022102</v>
      </c>
      <c r="G905">
        <v>1918436700</v>
      </c>
      <c r="H905">
        <v>1652875835</v>
      </c>
      <c r="I905">
        <v>1634974774</v>
      </c>
      <c r="J905">
        <v>1658490747</v>
      </c>
      <c r="K905">
        <v>1543309022</v>
      </c>
      <c r="L905">
        <v>1495012904</v>
      </c>
      <c r="M905">
        <v>1765645453</v>
      </c>
      <c r="N905">
        <v>1849879920</v>
      </c>
      <c r="O905">
        <v>1680742847</v>
      </c>
      <c r="P905">
        <v>74</v>
      </c>
      <c r="Q905" t="s">
        <v>2058</v>
      </c>
    </row>
    <row r="906" spans="1:17" x14ac:dyDescent="0.3">
      <c r="A906" t="s">
        <v>17</v>
      </c>
      <c r="B906" t="str">
        <f>"601179"</f>
        <v>601179</v>
      </c>
      <c r="C906" t="s">
        <v>2059</v>
      </c>
      <c r="D906" t="s">
        <v>210</v>
      </c>
      <c r="F906">
        <v>14180662911</v>
      </c>
      <c r="G906">
        <v>15802029732</v>
      </c>
      <c r="H906">
        <v>15283088209</v>
      </c>
      <c r="I906">
        <v>13689875850</v>
      </c>
      <c r="J906">
        <v>14146121886</v>
      </c>
      <c r="K906">
        <v>13979887526</v>
      </c>
      <c r="L906">
        <v>13104431840</v>
      </c>
      <c r="M906">
        <v>13869680058</v>
      </c>
      <c r="N906">
        <v>13051734282</v>
      </c>
      <c r="O906">
        <v>12480825466</v>
      </c>
      <c r="P906">
        <v>329</v>
      </c>
      <c r="Q906" t="s">
        <v>2060</v>
      </c>
    </row>
    <row r="907" spans="1:17" x14ac:dyDescent="0.3">
      <c r="A907" t="s">
        <v>17</v>
      </c>
      <c r="B907" t="str">
        <f>"601186"</f>
        <v>601186</v>
      </c>
      <c r="C907" t="s">
        <v>2061</v>
      </c>
      <c r="D907" t="s">
        <v>101</v>
      </c>
      <c r="F907">
        <v>1020010179000</v>
      </c>
      <c r="G907">
        <v>910324763000</v>
      </c>
      <c r="H907">
        <v>830452157000</v>
      </c>
      <c r="I907">
        <v>730123045000</v>
      </c>
      <c r="J907">
        <v>680981127000</v>
      </c>
      <c r="K907">
        <v>629327090000</v>
      </c>
      <c r="L907">
        <v>600538730000</v>
      </c>
      <c r="M907">
        <v>591968452000</v>
      </c>
      <c r="N907">
        <v>586789590000</v>
      </c>
      <c r="O907">
        <v>484312928000</v>
      </c>
      <c r="P907">
        <v>1361</v>
      </c>
      <c r="Q907" t="s">
        <v>2062</v>
      </c>
    </row>
    <row r="908" spans="1:17" x14ac:dyDescent="0.3">
      <c r="A908" t="s">
        <v>17</v>
      </c>
      <c r="B908" t="str">
        <f>"601187"</f>
        <v>601187</v>
      </c>
      <c r="C908" t="s">
        <v>2063</v>
      </c>
      <c r="D908" t="s">
        <v>1842</v>
      </c>
      <c r="F908">
        <v>5315526697</v>
      </c>
      <c r="G908">
        <v>5555612971</v>
      </c>
      <c r="H908">
        <v>4509326278</v>
      </c>
      <c r="I908">
        <v>4185876172</v>
      </c>
      <c r="J908">
        <v>3685598546</v>
      </c>
      <c r="K908">
        <v>3617733000</v>
      </c>
      <c r="L908">
        <v>3214536000</v>
      </c>
      <c r="M908">
        <v>2305003000</v>
      </c>
      <c r="N908">
        <v>1538048089</v>
      </c>
      <c r="O908">
        <v>1433501964</v>
      </c>
      <c r="P908">
        <v>177</v>
      </c>
      <c r="Q908" t="s">
        <v>2064</v>
      </c>
    </row>
    <row r="909" spans="1:17" x14ac:dyDescent="0.3">
      <c r="A909" t="s">
        <v>17</v>
      </c>
      <c r="B909" t="str">
        <f>"601188"</f>
        <v>601188</v>
      </c>
      <c r="C909" t="s">
        <v>2065</v>
      </c>
      <c r="D909" t="s">
        <v>44</v>
      </c>
      <c r="F909">
        <v>536741598</v>
      </c>
      <c r="G909">
        <v>559553165</v>
      </c>
      <c r="H909">
        <v>1031043171</v>
      </c>
      <c r="I909">
        <v>698971400</v>
      </c>
      <c r="J909">
        <v>1787076586</v>
      </c>
      <c r="K909">
        <v>499084200</v>
      </c>
      <c r="L909">
        <v>504030631</v>
      </c>
      <c r="M909">
        <v>493157962</v>
      </c>
      <c r="N909">
        <v>447740561</v>
      </c>
      <c r="O909">
        <v>415761939</v>
      </c>
      <c r="P909">
        <v>124</v>
      </c>
      <c r="Q909" t="s">
        <v>2066</v>
      </c>
    </row>
    <row r="910" spans="1:17" x14ac:dyDescent="0.3">
      <c r="A910" t="s">
        <v>17</v>
      </c>
      <c r="B910" t="str">
        <f>"601198"</f>
        <v>601198</v>
      </c>
      <c r="C910" t="s">
        <v>2067</v>
      </c>
      <c r="D910" t="s">
        <v>80</v>
      </c>
      <c r="F910">
        <v>5375748343</v>
      </c>
      <c r="G910">
        <v>5687210822</v>
      </c>
      <c r="H910">
        <v>3973389372</v>
      </c>
      <c r="I910">
        <v>3314496768</v>
      </c>
      <c r="J910">
        <v>3626978661</v>
      </c>
      <c r="K910">
        <v>3573157614</v>
      </c>
      <c r="L910">
        <v>5356995629</v>
      </c>
      <c r="M910">
        <v>2597774148</v>
      </c>
      <c r="N910">
        <v>2033866487</v>
      </c>
      <c r="O910">
        <v>1431313132</v>
      </c>
      <c r="P910">
        <v>814</v>
      </c>
      <c r="Q910" t="s">
        <v>2068</v>
      </c>
    </row>
    <row r="911" spans="1:17" x14ac:dyDescent="0.3">
      <c r="A911" t="s">
        <v>17</v>
      </c>
      <c r="B911" t="str">
        <f>"601199"</f>
        <v>601199</v>
      </c>
      <c r="C911" t="s">
        <v>2069</v>
      </c>
      <c r="D911" t="s">
        <v>33</v>
      </c>
      <c r="F911">
        <v>1113597478</v>
      </c>
      <c r="G911">
        <v>953142150</v>
      </c>
      <c r="H911">
        <v>991750590</v>
      </c>
      <c r="I911">
        <v>898546076</v>
      </c>
      <c r="J911">
        <v>1100958070</v>
      </c>
      <c r="K911">
        <v>1106824909</v>
      </c>
      <c r="L911">
        <v>855857612</v>
      </c>
      <c r="M911">
        <v>749402070</v>
      </c>
      <c r="N911">
        <v>585557289</v>
      </c>
      <c r="O911">
        <v>523165334</v>
      </c>
      <c r="P911">
        <v>186</v>
      </c>
      <c r="Q911" t="s">
        <v>2070</v>
      </c>
    </row>
    <row r="912" spans="1:17" x14ac:dyDescent="0.3">
      <c r="A912" t="s">
        <v>17</v>
      </c>
      <c r="B912" t="str">
        <f>"601200"</f>
        <v>601200</v>
      </c>
      <c r="C912" t="s">
        <v>2071</v>
      </c>
      <c r="D912" t="s">
        <v>499</v>
      </c>
      <c r="F912">
        <v>7101902323</v>
      </c>
      <c r="G912">
        <v>4511754404</v>
      </c>
      <c r="H912">
        <v>3646748828</v>
      </c>
      <c r="I912">
        <v>2582838420</v>
      </c>
      <c r="J912">
        <v>2566029935</v>
      </c>
      <c r="K912">
        <v>2551077644</v>
      </c>
      <c r="L912">
        <v>2009419738</v>
      </c>
      <c r="P912">
        <v>326</v>
      </c>
      <c r="Q912" t="s">
        <v>2072</v>
      </c>
    </row>
    <row r="913" spans="1:17" x14ac:dyDescent="0.3">
      <c r="A913" t="s">
        <v>17</v>
      </c>
      <c r="B913" t="str">
        <f>"601206"</f>
        <v>601206</v>
      </c>
      <c r="C913" t="s">
        <v>2073</v>
      </c>
      <c r="D913" t="s">
        <v>2074</v>
      </c>
      <c r="L913">
        <v>1525462333</v>
      </c>
      <c r="M913">
        <v>1201887491</v>
      </c>
      <c r="N913">
        <v>947546467</v>
      </c>
      <c r="P913">
        <v>19</v>
      </c>
      <c r="Q913" t="s">
        <v>2075</v>
      </c>
    </row>
    <row r="914" spans="1:17" x14ac:dyDescent="0.3">
      <c r="A914" t="s">
        <v>17</v>
      </c>
      <c r="B914" t="str">
        <f>"601208"</f>
        <v>601208</v>
      </c>
      <c r="C914" t="s">
        <v>2076</v>
      </c>
      <c r="D914" t="s">
        <v>324</v>
      </c>
      <c r="F914">
        <v>3233904280</v>
      </c>
      <c r="G914">
        <v>1881078268</v>
      </c>
      <c r="H914">
        <v>1735366952</v>
      </c>
      <c r="I914">
        <v>1644547441</v>
      </c>
      <c r="J914">
        <v>1734079596</v>
      </c>
      <c r="K914">
        <v>1673892770</v>
      </c>
      <c r="L914">
        <v>1406669829</v>
      </c>
      <c r="M914">
        <v>1437011891</v>
      </c>
      <c r="N914">
        <v>1091217703</v>
      </c>
      <c r="O914">
        <v>1038240545</v>
      </c>
      <c r="P914">
        <v>3074</v>
      </c>
      <c r="Q914" t="s">
        <v>2077</v>
      </c>
    </row>
    <row r="915" spans="1:17" x14ac:dyDescent="0.3">
      <c r="A915" t="s">
        <v>17</v>
      </c>
      <c r="B915" t="str">
        <f>"601211"</f>
        <v>601211</v>
      </c>
      <c r="C915" t="s">
        <v>2078</v>
      </c>
      <c r="D915" t="s">
        <v>80</v>
      </c>
      <c r="F915">
        <v>42817138705</v>
      </c>
      <c r="G915">
        <v>35200282406</v>
      </c>
      <c r="H915">
        <v>29949311773</v>
      </c>
      <c r="I915">
        <v>22718823444</v>
      </c>
      <c r="J915">
        <v>23804132903</v>
      </c>
      <c r="K915">
        <v>25764651745</v>
      </c>
      <c r="L915">
        <v>37596630401</v>
      </c>
      <c r="M915">
        <v>17881603377</v>
      </c>
      <c r="N915">
        <v>9008929494</v>
      </c>
      <c r="O915">
        <v>7798865468</v>
      </c>
      <c r="P915">
        <v>3571</v>
      </c>
      <c r="Q915" t="s">
        <v>2079</v>
      </c>
    </row>
    <row r="916" spans="1:17" x14ac:dyDescent="0.3">
      <c r="A916" t="s">
        <v>17</v>
      </c>
      <c r="B916" t="str">
        <f>"601212"</f>
        <v>601212</v>
      </c>
      <c r="C916" t="s">
        <v>2080</v>
      </c>
      <c r="D916" t="s">
        <v>2081</v>
      </c>
      <c r="F916">
        <v>72279980189</v>
      </c>
      <c r="G916">
        <v>61422700839</v>
      </c>
      <c r="H916">
        <v>61700280812</v>
      </c>
      <c r="I916">
        <v>61946574276</v>
      </c>
      <c r="J916">
        <v>56634276871</v>
      </c>
      <c r="K916">
        <v>55949603150</v>
      </c>
      <c r="L916">
        <v>54904085881</v>
      </c>
      <c r="M916">
        <v>46268981268</v>
      </c>
      <c r="N916">
        <v>34167326153</v>
      </c>
      <c r="P916">
        <v>185</v>
      </c>
      <c r="Q916" t="s">
        <v>2082</v>
      </c>
    </row>
    <row r="917" spans="1:17" x14ac:dyDescent="0.3">
      <c r="A917" t="s">
        <v>17</v>
      </c>
      <c r="B917" t="str">
        <f>"601216"</f>
        <v>601216</v>
      </c>
      <c r="C917" t="s">
        <v>2083</v>
      </c>
      <c r="D917" t="s">
        <v>175</v>
      </c>
      <c r="F917">
        <v>19294954485</v>
      </c>
      <c r="G917">
        <v>14798194688</v>
      </c>
      <c r="H917">
        <v>9790566856</v>
      </c>
      <c r="I917">
        <v>8463840596</v>
      </c>
      <c r="J917">
        <v>7738941222</v>
      </c>
      <c r="K917">
        <v>5714053652</v>
      </c>
      <c r="L917">
        <v>4833385726</v>
      </c>
      <c r="M917">
        <v>4783804311</v>
      </c>
      <c r="N917">
        <v>3461566901</v>
      </c>
      <c r="O917">
        <v>3649142671</v>
      </c>
      <c r="P917">
        <v>958</v>
      </c>
      <c r="Q917" t="s">
        <v>2084</v>
      </c>
    </row>
    <row r="918" spans="1:17" x14ac:dyDescent="0.3">
      <c r="A918" t="s">
        <v>17</v>
      </c>
      <c r="B918" t="str">
        <f>"601218"</f>
        <v>601218</v>
      </c>
      <c r="C918" t="s">
        <v>2085</v>
      </c>
      <c r="D918" t="s">
        <v>950</v>
      </c>
      <c r="F918">
        <v>1858647142</v>
      </c>
      <c r="G918">
        <v>2048770632</v>
      </c>
      <c r="H918">
        <v>1496938304</v>
      </c>
      <c r="I918">
        <v>1268669774</v>
      </c>
      <c r="J918">
        <v>1348925012</v>
      </c>
      <c r="K918">
        <v>1556931694</v>
      </c>
      <c r="L918">
        <v>1771712277</v>
      </c>
      <c r="M918">
        <v>1640032179</v>
      </c>
      <c r="N918">
        <v>1400024179</v>
      </c>
      <c r="O918">
        <v>1242721863</v>
      </c>
      <c r="P918">
        <v>146</v>
      </c>
      <c r="Q918" t="s">
        <v>2086</v>
      </c>
    </row>
    <row r="919" spans="1:17" x14ac:dyDescent="0.3">
      <c r="A919" t="s">
        <v>17</v>
      </c>
      <c r="B919" t="str">
        <f>"601222"</f>
        <v>601222</v>
      </c>
      <c r="C919" t="s">
        <v>2087</v>
      </c>
      <c r="D919" t="s">
        <v>86</v>
      </c>
      <c r="F919">
        <v>5296565111</v>
      </c>
      <c r="G919">
        <v>5799015443</v>
      </c>
      <c r="H919">
        <v>3359243789</v>
      </c>
      <c r="I919">
        <v>4016739560</v>
      </c>
      <c r="J919">
        <v>3588198202</v>
      </c>
      <c r="K919">
        <v>3114720437</v>
      </c>
      <c r="L919">
        <v>2724746641</v>
      </c>
      <c r="M919">
        <v>2206413669</v>
      </c>
      <c r="N919">
        <v>1991449620</v>
      </c>
      <c r="O919">
        <v>1913748512</v>
      </c>
      <c r="P919">
        <v>556</v>
      </c>
      <c r="Q919" t="s">
        <v>2088</v>
      </c>
    </row>
    <row r="920" spans="1:17" x14ac:dyDescent="0.3">
      <c r="A920" t="s">
        <v>17</v>
      </c>
      <c r="B920" t="str">
        <f>"601225"</f>
        <v>601225</v>
      </c>
      <c r="C920" t="s">
        <v>2089</v>
      </c>
      <c r="D920" t="s">
        <v>292</v>
      </c>
      <c r="F920">
        <v>152266423158</v>
      </c>
      <c r="G920">
        <v>94860272316</v>
      </c>
      <c r="H920">
        <v>73403443128</v>
      </c>
      <c r="I920">
        <v>57223725980</v>
      </c>
      <c r="J920">
        <v>50927001983</v>
      </c>
      <c r="K920">
        <v>33131746363</v>
      </c>
      <c r="L920">
        <v>32511200870</v>
      </c>
      <c r="M920">
        <v>41150150587</v>
      </c>
      <c r="N920">
        <v>43218522478</v>
      </c>
      <c r="O920">
        <v>44260061822</v>
      </c>
      <c r="P920">
        <v>2633</v>
      </c>
      <c r="Q920" t="s">
        <v>2090</v>
      </c>
    </row>
    <row r="921" spans="1:17" x14ac:dyDescent="0.3">
      <c r="A921" t="s">
        <v>17</v>
      </c>
      <c r="B921" t="str">
        <f>"601226"</f>
        <v>601226</v>
      </c>
      <c r="C921" t="s">
        <v>2091</v>
      </c>
      <c r="D921" t="s">
        <v>1992</v>
      </c>
      <c r="F921">
        <v>10329027186</v>
      </c>
      <c r="G921">
        <v>8906415452</v>
      </c>
      <c r="H921">
        <v>7175673469</v>
      </c>
      <c r="I921">
        <v>5835383242</v>
      </c>
      <c r="J921">
        <v>4820977364</v>
      </c>
      <c r="K921">
        <v>4083207001</v>
      </c>
      <c r="L921">
        <v>5140857609</v>
      </c>
      <c r="M921">
        <v>6216167729</v>
      </c>
      <c r="N921">
        <v>4744566539</v>
      </c>
      <c r="O921">
        <v>4426242965</v>
      </c>
      <c r="P921">
        <v>114</v>
      </c>
      <c r="Q921" t="s">
        <v>2092</v>
      </c>
    </row>
    <row r="922" spans="1:17" x14ac:dyDescent="0.3">
      <c r="A922" t="s">
        <v>17</v>
      </c>
      <c r="B922" t="str">
        <f>"601228"</f>
        <v>601228</v>
      </c>
      <c r="C922" t="s">
        <v>2093</v>
      </c>
      <c r="D922" t="s">
        <v>51</v>
      </c>
      <c r="F922">
        <v>12020347470</v>
      </c>
      <c r="G922">
        <v>11252752219</v>
      </c>
      <c r="H922">
        <v>10420340056</v>
      </c>
      <c r="I922">
        <v>8642683396</v>
      </c>
      <c r="J922">
        <v>8307740032</v>
      </c>
      <c r="K922">
        <v>7737387221</v>
      </c>
      <c r="L922">
        <v>6712608093</v>
      </c>
      <c r="M922">
        <v>6079563916</v>
      </c>
      <c r="P922">
        <v>189</v>
      </c>
      <c r="Q922" t="s">
        <v>2094</v>
      </c>
    </row>
    <row r="923" spans="1:17" x14ac:dyDescent="0.3">
      <c r="A923" t="s">
        <v>17</v>
      </c>
      <c r="B923" t="str">
        <f>"601229"</f>
        <v>601229</v>
      </c>
      <c r="C923" t="s">
        <v>2095</v>
      </c>
      <c r="D923" t="s">
        <v>1842</v>
      </c>
      <c r="F923">
        <v>56229904000</v>
      </c>
      <c r="G923">
        <v>50746123000</v>
      </c>
      <c r="H923">
        <v>49800292000</v>
      </c>
      <c r="I923">
        <v>43887822000</v>
      </c>
      <c r="J923">
        <v>33124995000</v>
      </c>
      <c r="K923">
        <v>34408813000</v>
      </c>
      <c r="L923">
        <v>33159130000</v>
      </c>
      <c r="M923">
        <v>28097560000</v>
      </c>
      <c r="N923">
        <v>21467488000</v>
      </c>
      <c r="O923">
        <v>17289973000</v>
      </c>
      <c r="P923">
        <v>1548</v>
      </c>
      <c r="Q923" t="s">
        <v>2096</v>
      </c>
    </row>
    <row r="924" spans="1:17" x14ac:dyDescent="0.3">
      <c r="A924" t="s">
        <v>17</v>
      </c>
      <c r="B924" t="str">
        <f>"601231"</f>
        <v>601231</v>
      </c>
      <c r="C924" t="s">
        <v>2097</v>
      </c>
      <c r="D924" t="s">
        <v>313</v>
      </c>
      <c r="F924">
        <v>55299654770</v>
      </c>
      <c r="G924">
        <v>47696228223</v>
      </c>
      <c r="H924">
        <v>37204188424</v>
      </c>
      <c r="I924">
        <v>33550275008</v>
      </c>
      <c r="J924">
        <v>29705684978</v>
      </c>
      <c r="K924">
        <v>23983883717</v>
      </c>
      <c r="L924">
        <v>21323077287</v>
      </c>
      <c r="M924">
        <v>15873001002</v>
      </c>
      <c r="N924">
        <v>14272346743</v>
      </c>
      <c r="O924">
        <v>13335294596</v>
      </c>
      <c r="P924">
        <v>735</v>
      </c>
      <c r="Q924" t="s">
        <v>2098</v>
      </c>
    </row>
    <row r="925" spans="1:17" x14ac:dyDescent="0.3">
      <c r="A925" t="s">
        <v>17</v>
      </c>
      <c r="B925" t="str">
        <f>"601233"</f>
        <v>601233</v>
      </c>
      <c r="C925" t="s">
        <v>2099</v>
      </c>
      <c r="D925" t="s">
        <v>1617</v>
      </c>
      <c r="F925">
        <v>59130953267</v>
      </c>
      <c r="G925">
        <v>45832692812</v>
      </c>
      <c r="H925">
        <v>50582430692</v>
      </c>
      <c r="I925">
        <v>41600748779</v>
      </c>
      <c r="J925">
        <v>32813779669</v>
      </c>
      <c r="K925">
        <v>25581572685</v>
      </c>
      <c r="L925">
        <v>21753680071</v>
      </c>
      <c r="M925">
        <v>25094916647</v>
      </c>
      <c r="N925">
        <v>22137874818</v>
      </c>
      <c r="O925">
        <v>18420572466</v>
      </c>
      <c r="P925">
        <v>808</v>
      </c>
      <c r="Q925" t="s">
        <v>2100</v>
      </c>
    </row>
    <row r="926" spans="1:17" x14ac:dyDescent="0.3">
      <c r="A926" t="s">
        <v>17</v>
      </c>
      <c r="B926" t="str">
        <f>"601236"</f>
        <v>601236</v>
      </c>
      <c r="C926" t="s">
        <v>2101</v>
      </c>
      <c r="D926" t="s">
        <v>80</v>
      </c>
      <c r="F926">
        <v>6733758206</v>
      </c>
      <c r="G926">
        <v>5585163239</v>
      </c>
      <c r="H926">
        <v>2065728508</v>
      </c>
      <c r="I926">
        <v>1201433406</v>
      </c>
      <c r="J926">
        <v>1114215786</v>
      </c>
      <c r="K926">
        <v>975655348</v>
      </c>
      <c r="L926">
        <v>1974439100</v>
      </c>
      <c r="M926">
        <v>1210725800</v>
      </c>
      <c r="N926">
        <v>764936044</v>
      </c>
      <c r="O926">
        <v>455256477</v>
      </c>
      <c r="P926">
        <v>879</v>
      </c>
      <c r="Q926" t="s">
        <v>2102</v>
      </c>
    </row>
    <row r="927" spans="1:17" x14ac:dyDescent="0.3">
      <c r="A927" t="s">
        <v>17</v>
      </c>
      <c r="B927" t="str">
        <f>"601238"</f>
        <v>601238</v>
      </c>
      <c r="C927" t="s">
        <v>2103</v>
      </c>
      <c r="D927" t="s">
        <v>247</v>
      </c>
      <c r="F927">
        <v>75110156960</v>
      </c>
      <c r="G927">
        <v>62717111384</v>
      </c>
      <c r="H927">
        <v>59233684226</v>
      </c>
      <c r="I927">
        <v>71514518876</v>
      </c>
      <c r="J927">
        <v>71143881235</v>
      </c>
      <c r="K927">
        <v>49417676151</v>
      </c>
      <c r="L927">
        <v>29418222736</v>
      </c>
      <c r="M927">
        <v>22375933918</v>
      </c>
      <c r="N927">
        <v>18824198521</v>
      </c>
      <c r="O927">
        <v>12874010550</v>
      </c>
      <c r="P927">
        <v>1300</v>
      </c>
      <c r="Q927" t="s">
        <v>2104</v>
      </c>
    </row>
    <row r="928" spans="1:17" x14ac:dyDescent="0.3">
      <c r="A928" t="s">
        <v>17</v>
      </c>
      <c r="B928" t="str">
        <f>"601258"</f>
        <v>601258</v>
      </c>
      <c r="C928" t="s">
        <v>2105</v>
      </c>
      <c r="D928" t="s">
        <v>672</v>
      </c>
      <c r="F928">
        <v>28633037006</v>
      </c>
      <c r="G928">
        <v>27385612958</v>
      </c>
      <c r="H928">
        <v>22083480779</v>
      </c>
      <c r="I928">
        <v>42033577982</v>
      </c>
      <c r="J928">
        <v>70485148223</v>
      </c>
      <c r="K928">
        <v>66009401206</v>
      </c>
      <c r="L928">
        <v>56374978176</v>
      </c>
      <c r="M928">
        <v>60314525830</v>
      </c>
      <c r="N928">
        <v>63985283179</v>
      </c>
      <c r="O928">
        <v>57796679494</v>
      </c>
      <c r="P928">
        <v>133</v>
      </c>
      <c r="Q928" t="s">
        <v>2106</v>
      </c>
    </row>
    <row r="929" spans="1:17" x14ac:dyDescent="0.3">
      <c r="A929" t="s">
        <v>17</v>
      </c>
      <c r="B929" t="str">
        <f>"601268"</f>
        <v>601268</v>
      </c>
      <c r="C929" t="s">
        <v>2107</v>
      </c>
      <c r="K929">
        <v>3301973252.7399998</v>
      </c>
      <c r="L929">
        <v>2512060396.46</v>
      </c>
      <c r="M929">
        <v>3906898501.9000001</v>
      </c>
      <c r="N929">
        <v>4897552573.7799997</v>
      </c>
      <c r="O929">
        <v>3988426294.77</v>
      </c>
      <c r="P929">
        <v>2</v>
      </c>
      <c r="Q929" t="s">
        <v>2108</v>
      </c>
    </row>
    <row r="930" spans="1:17" x14ac:dyDescent="0.3">
      <c r="A930" t="s">
        <v>17</v>
      </c>
      <c r="B930" t="str">
        <f>"601279"</f>
        <v>601279</v>
      </c>
      <c r="C930" t="s">
        <v>2109</v>
      </c>
      <c r="D930" t="s">
        <v>985</v>
      </c>
      <c r="F930">
        <v>4595391392</v>
      </c>
      <c r="G930">
        <v>5019623514</v>
      </c>
      <c r="H930">
        <v>4811862428</v>
      </c>
      <c r="I930">
        <v>4669046324</v>
      </c>
      <c r="J930">
        <v>4108263574</v>
      </c>
      <c r="K930">
        <v>3232464271</v>
      </c>
      <c r="P930">
        <v>43</v>
      </c>
      <c r="Q930" t="s">
        <v>2110</v>
      </c>
    </row>
    <row r="931" spans="1:17" x14ac:dyDescent="0.3">
      <c r="A931" t="s">
        <v>17</v>
      </c>
      <c r="B931" t="str">
        <f>"601288"</f>
        <v>601288</v>
      </c>
      <c r="C931" t="s">
        <v>2111</v>
      </c>
      <c r="D931" t="s">
        <v>2112</v>
      </c>
      <c r="F931">
        <v>719915000000</v>
      </c>
      <c r="G931">
        <v>657961000000</v>
      </c>
      <c r="H931">
        <v>627268000000</v>
      </c>
      <c r="I931">
        <v>598588000000</v>
      </c>
      <c r="J931">
        <v>537041000000</v>
      </c>
      <c r="K931">
        <v>506016000000</v>
      </c>
      <c r="L931">
        <v>536168000000</v>
      </c>
      <c r="M931">
        <v>520858000000</v>
      </c>
      <c r="N931">
        <v>462625000000</v>
      </c>
      <c r="O931">
        <v>421964000000</v>
      </c>
      <c r="P931">
        <v>9498</v>
      </c>
      <c r="Q931" t="s">
        <v>2113</v>
      </c>
    </row>
    <row r="932" spans="1:17" x14ac:dyDescent="0.3">
      <c r="A932" t="s">
        <v>17</v>
      </c>
      <c r="B932" t="str">
        <f>"601298"</f>
        <v>601298</v>
      </c>
      <c r="C932" t="s">
        <v>2114</v>
      </c>
      <c r="D932" t="s">
        <v>51</v>
      </c>
      <c r="F932">
        <v>16099181504</v>
      </c>
      <c r="G932">
        <v>13219413890</v>
      </c>
      <c r="H932">
        <v>12164080973</v>
      </c>
      <c r="I932">
        <v>11741480164</v>
      </c>
      <c r="J932">
        <v>10146225042</v>
      </c>
      <c r="K932">
        <v>8684189666</v>
      </c>
      <c r="L932">
        <v>7369237404</v>
      </c>
      <c r="P932">
        <v>431</v>
      </c>
      <c r="Q932" t="s">
        <v>2115</v>
      </c>
    </row>
    <row r="933" spans="1:17" x14ac:dyDescent="0.3">
      <c r="A933" t="s">
        <v>17</v>
      </c>
      <c r="B933" t="str">
        <f>"601299"</f>
        <v>601299</v>
      </c>
      <c r="C933" t="s">
        <v>2116</v>
      </c>
      <c r="M933">
        <v>104290492000</v>
      </c>
      <c r="N933">
        <v>97240665000</v>
      </c>
      <c r="O933">
        <v>92431301000</v>
      </c>
      <c r="P933">
        <v>12</v>
      </c>
      <c r="Q933" t="s">
        <v>2117</v>
      </c>
    </row>
    <row r="934" spans="1:17" x14ac:dyDescent="0.3">
      <c r="A934" t="s">
        <v>17</v>
      </c>
      <c r="B934" t="str">
        <f>"601311"</f>
        <v>601311</v>
      </c>
      <c r="C934" t="s">
        <v>2118</v>
      </c>
      <c r="D934" t="s">
        <v>555</v>
      </c>
      <c r="F934">
        <v>12403454518</v>
      </c>
      <c r="G934">
        <v>9639815718</v>
      </c>
      <c r="H934">
        <v>9023394228</v>
      </c>
      <c r="I934">
        <v>9223771198</v>
      </c>
      <c r="J934">
        <v>7617980447</v>
      </c>
      <c r="K934">
        <v>6301121664</v>
      </c>
      <c r="L934">
        <v>5376977765</v>
      </c>
      <c r="M934">
        <v>5167187200</v>
      </c>
      <c r="N934">
        <v>4619611192</v>
      </c>
      <c r="O934">
        <v>3972776146</v>
      </c>
      <c r="P934">
        <v>339</v>
      </c>
      <c r="Q934" t="s">
        <v>2119</v>
      </c>
    </row>
    <row r="935" spans="1:17" x14ac:dyDescent="0.3">
      <c r="A935" t="s">
        <v>17</v>
      </c>
      <c r="B935" t="str">
        <f>"601313"</f>
        <v>601313</v>
      </c>
      <c r="C935" t="s">
        <v>2120</v>
      </c>
      <c r="J935">
        <v>12238113000</v>
      </c>
      <c r="K935">
        <v>2417247297</v>
      </c>
      <c r="L935">
        <v>2661269669.9400001</v>
      </c>
      <c r="M935">
        <v>2733921624.4699998</v>
      </c>
      <c r="N935">
        <v>2423002784.8499999</v>
      </c>
      <c r="O935">
        <v>1992141751.1500001</v>
      </c>
      <c r="P935">
        <v>53</v>
      </c>
      <c r="Q935" t="s">
        <v>2121</v>
      </c>
    </row>
    <row r="936" spans="1:17" x14ac:dyDescent="0.3">
      <c r="A936" t="s">
        <v>17</v>
      </c>
      <c r="B936" t="str">
        <f>"601318"</f>
        <v>601318</v>
      </c>
      <c r="C936" t="s">
        <v>2122</v>
      </c>
      <c r="D936" t="s">
        <v>660</v>
      </c>
      <c r="F936">
        <v>1180444000000</v>
      </c>
      <c r="G936">
        <v>1218315000000</v>
      </c>
      <c r="H936">
        <v>1168867000000</v>
      </c>
      <c r="I936">
        <v>976832000000</v>
      </c>
      <c r="J936">
        <v>890882000000</v>
      </c>
      <c r="K936">
        <v>712453000000</v>
      </c>
      <c r="L936">
        <v>619990000000</v>
      </c>
      <c r="M936">
        <v>462882000000</v>
      </c>
      <c r="N936">
        <v>362631000000</v>
      </c>
      <c r="O936">
        <v>299372000000</v>
      </c>
      <c r="P936">
        <v>27844</v>
      </c>
      <c r="Q936" t="s">
        <v>2123</v>
      </c>
    </row>
    <row r="937" spans="1:17" x14ac:dyDescent="0.3">
      <c r="A937" t="s">
        <v>17</v>
      </c>
      <c r="B937" t="str">
        <f>"601319"</f>
        <v>601319</v>
      </c>
      <c r="C937" t="s">
        <v>2124</v>
      </c>
      <c r="D937" t="s">
        <v>660</v>
      </c>
      <c r="F937">
        <v>597691000000</v>
      </c>
      <c r="G937">
        <v>583696000000</v>
      </c>
      <c r="H937">
        <v>555515000000</v>
      </c>
      <c r="I937">
        <v>503799000000</v>
      </c>
      <c r="J937">
        <v>488141000000</v>
      </c>
      <c r="K937">
        <v>444672000000</v>
      </c>
      <c r="L937">
        <v>402736000000</v>
      </c>
      <c r="M937">
        <v>351496000000</v>
      </c>
      <c r="N937">
        <v>304738000000</v>
      </c>
      <c r="O937">
        <v>257349000000</v>
      </c>
      <c r="P937">
        <v>901</v>
      </c>
      <c r="Q937" t="s">
        <v>2125</v>
      </c>
    </row>
    <row r="938" spans="1:17" x14ac:dyDescent="0.3">
      <c r="A938" t="s">
        <v>17</v>
      </c>
      <c r="B938" t="str">
        <f>"601326"</f>
        <v>601326</v>
      </c>
      <c r="C938" t="s">
        <v>2126</v>
      </c>
      <c r="D938" t="s">
        <v>51</v>
      </c>
      <c r="F938">
        <v>6594861850</v>
      </c>
      <c r="G938">
        <v>6455853711</v>
      </c>
      <c r="H938">
        <v>6722730009</v>
      </c>
      <c r="I938">
        <v>6876632378</v>
      </c>
      <c r="J938">
        <v>7033248749</v>
      </c>
      <c r="K938">
        <v>4911006420</v>
      </c>
      <c r="L938">
        <v>6889894269</v>
      </c>
      <c r="M938">
        <v>7223102706</v>
      </c>
      <c r="P938">
        <v>127</v>
      </c>
      <c r="Q938" t="s">
        <v>2127</v>
      </c>
    </row>
    <row r="939" spans="1:17" x14ac:dyDescent="0.3">
      <c r="A939" t="s">
        <v>17</v>
      </c>
      <c r="B939" t="str">
        <f>"601328"</f>
        <v>601328</v>
      </c>
      <c r="C939" t="s">
        <v>2128</v>
      </c>
      <c r="D939" t="s">
        <v>2112</v>
      </c>
      <c r="F939">
        <v>269390000000</v>
      </c>
      <c r="G939">
        <v>246200000000</v>
      </c>
      <c r="H939">
        <v>232472000000</v>
      </c>
      <c r="I939">
        <v>212654000000</v>
      </c>
      <c r="J939">
        <v>196011000000</v>
      </c>
      <c r="K939">
        <v>193129000000</v>
      </c>
      <c r="L939">
        <v>193828000000</v>
      </c>
      <c r="M939">
        <v>177401000000</v>
      </c>
      <c r="N939">
        <v>164435000000</v>
      </c>
      <c r="O939">
        <v>147337000000</v>
      </c>
      <c r="P939">
        <v>4577</v>
      </c>
      <c r="Q939" t="s">
        <v>2129</v>
      </c>
    </row>
    <row r="940" spans="1:17" x14ac:dyDescent="0.3">
      <c r="A940" t="s">
        <v>17</v>
      </c>
      <c r="B940" t="str">
        <f>"601330"</f>
        <v>601330</v>
      </c>
      <c r="C940" t="s">
        <v>2130</v>
      </c>
      <c r="D940" t="s">
        <v>499</v>
      </c>
      <c r="F940">
        <v>5056889426</v>
      </c>
      <c r="G940">
        <v>2277618815</v>
      </c>
      <c r="H940">
        <v>1752449089</v>
      </c>
      <c r="I940">
        <v>1055060689</v>
      </c>
      <c r="J940">
        <v>784838548</v>
      </c>
      <c r="K940">
        <v>664334975</v>
      </c>
      <c r="L940">
        <v>518390910</v>
      </c>
      <c r="P940">
        <v>234</v>
      </c>
      <c r="Q940" t="s">
        <v>2131</v>
      </c>
    </row>
    <row r="941" spans="1:17" x14ac:dyDescent="0.3">
      <c r="A941" t="s">
        <v>17</v>
      </c>
      <c r="B941" t="str">
        <f>"601333"</f>
        <v>601333</v>
      </c>
      <c r="C941" t="s">
        <v>2132</v>
      </c>
      <c r="D941" t="s">
        <v>301</v>
      </c>
      <c r="F941">
        <v>20206156783</v>
      </c>
      <c r="G941">
        <v>16349365706</v>
      </c>
      <c r="H941">
        <v>21178351087</v>
      </c>
      <c r="I941">
        <v>19828018371</v>
      </c>
      <c r="J941">
        <v>18331422290</v>
      </c>
      <c r="K941">
        <v>17280503900</v>
      </c>
      <c r="L941">
        <v>15725308667</v>
      </c>
      <c r="M941">
        <v>14800780876</v>
      </c>
      <c r="N941">
        <v>15800677436</v>
      </c>
      <c r="O941">
        <v>15091886001</v>
      </c>
      <c r="P941">
        <v>318</v>
      </c>
      <c r="Q941" t="s">
        <v>2133</v>
      </c>
    </row>
    <row r="942" spans="1:17" x14ac:dyDescent="0.3">
      <c r="A942" t="s">
        <v>17</v>
      </c>
      <c r="B942" t="str">
        <f>"601336"</f>
        <v>601336</v>
      </c>
      <c r="C942" t="s">
        <v>2134</v>
      </c>
      <c r="D942" t="s">
        <v>660</v>
      </c>
      <c r="F942">
        <v>222380000000</v>
      </c>
      <c r="G942">
        <v>206538000000</v>
      </c>
      <c r="H942">
        <v>174566000000</v>
      </c>
      <c r="I942">
        <v>154167000000</v>
      </c>
      <c r="J942">
        <v>144132000000</v>
      </c>
      <c r="K942">
        <v>146173000000</v>
      </c>
      <c r="L942">
        <v>158453000000</v>
      </c>
      <c r="M942">
        <v>143187000000</v>
      </c>
      <c r="N942">
        <v>129594000000</v>
      </c>
      <c r="O942">
        <v>116921000000</v>
      </c>
      <c r="P942">
        <v>1856</v>
      </c>
      <c r="Q942" t="s">
        <v>2135</v>
      </c>
    </row>
    <row r="943" spans="1:17" x14ac:dyDescent="0.3">
      <c r="A943" t="s">
        <v>17</v>
      </c>
      <c r="B943" t="str">
        <f>"601339"</f>
        <v>601339</v>
      </c>
      <c r="C943" t="s">
        <v>2136</v>
      </c>
      <c r="D943" t="s">
        <v>1009</v>
      </c>
      <c r="F943">
        <v>7774077153</v>
      </c>
      <c r="G943">
        <v>6134557248</v>
      </c>
      <c r="H943">
        <v>6221786385</v>
      </c>
      <c r="I943">
        <v>5997856922</v>
      </c>
      <c r="J943">
        <v>5952213875</v>
      </c>
      <c r="K943">
        <v>5471673753</v>
      </c>
      <c r="L943">
        <v>5016038423</v>
      </c>
      <c r="M943">
        <v>4620636727</v>
      </c>
      <c r="N943">
        <v>4273361234</v>
      </c>
      <c r="O943">
        <v>4770164251</v>
      </c>
      <c r="P943">
        <v>207</v>
      </c>
      <c r="Q943" t="s">
        <v>2137</v>
      </c>
    </row>
    <row r="944" spans="1:17" x14ac:dyDescent="0.3">
      <c r="A944" t="s">
        <v>17</v>
      </c>
      <c r="B944" t="str">
        <f>"601360"</f>
        <v>601360</v>
      </c>
      <c r="C944" t="s">
        <v>2138</v>
      </c>
      <c r="D944" t="s">
        <v>1189</v>
      </c>
      <c r="F944">
        <v>10885832000</v>
      </c>
      <c r="G944">
        <v>11614731000</v>
      </c>
      <c r="H944">
        <v>12841095000</v>
      </c>
      <c r="I944">
        <v>13129263000</v>
      </c>
      <c r="J944">
        <v>2184521591</v>
      </c>
      <c r="K944">
        <v>2417247297</v>
      </c>
      <c r="L944">
        <v>2661269670</v>
      </c>
      <c r="M944">
        <v>2733921624</v>
      </c>
      <c r="N944">
        <v>2423002785</v>
      </c>
      <c r="O944">
        <v>1992141751</v>
      </c>
      <c r="P944">
        <v>1010</v>
      </c>
      <c r="Q944" t="s">
        <v>2139</v>
      </c>
    </row>
    <row r="945" spans="1:17" x14ac:dyDescent="0.3">
      <c r="A945" t="s">
        <v>17</v>
      </c>
      <c r="B945" t="str">
        <f>"601366"</f>
        <v>601366</v>
      </c>
      <c r="C945" t="s">
        <v>2140</v>
      </c>
      <c r="D945" t="s">
        <v>1404</v>
      </c>
      <c r="F945">
        <v>8083644410</v>
      </c>
      <c r="G945">
        <v>8389187376</v>
      </c>
      <c r="H945">
        <v>12441176211</v>
      </c>
      <c r="I945">
        <v>11413916206</v>
      </c>
      <c r="J945">
        <v>10553770053</v>
      </c>
      <c r="K945">
        <v>10292600194</v>
      </c>
      <c r="L945">
        <v>10587875755</v>
      </c>
      <c r="M945">
        <v>10599895139</v>
      </c>
      <c r="P945">
        <v>132</v>
      </c>
      <c r="Q945" t="s">
        <v>2141</v>
      </c>
    </row>
    <row r="946" spans="1:17" x14ac:dyDescent="0.3">
      <c r="A946" t="s">
        <v>17</v>
      </c>
      <c r="B946" t="str">
        <f>"601368"</f>
        <v>601368</v>
      </c>
      <c r="C946" t="s">
        <v>2142</v>
      </c>
      <c r="D946" t="s">
        <v>33</v>
      </c>
      <c r="F946">
        <v>2081489329</v>
      </c>
      <c r="G946">
        <v>1543083503</v>
      </c>
      <c r="H946">
        <v>1522972728</v>
      </c>
      <c r="I946">
        <v>1336528729</v>
      </c>
      <c r="J946">
        <v>1243957604</v>
      </c>
      <c r="K946">
        <v>1195129056</v>
      </c>
      <c r="L946">
        <v>1130339898</v>
      </c>
      <c r="M946">
        <v>985518475</v>
      </c>
      <c r="N946">
        <v>914660468</v>
      </c>
      <c r="O946">
        <v>852440924</v>
      </c>
      <c r="P946">
        <v>109</v>
      </c>
      <c r="Q946" t="s">
        <v>2143</v>
      </c>
    </row>
    <row r="947" spans="1:17" x14ac:dyDescent="0.3">
      <c r="A947" t="s">
        <v>17</v>
      </c>
      <c r="B947" t="str">
        <f>"601369"</f>
        <v>601369</v>
      </c>
      <c r="C947" t="s">
        <v>2144</v>
      </c>
      <c r="D947" t="s">
        <v>560</v>
      </c>
      <c r="F947">
        <v>10360915321</v>
      </c>
      <c r="G947">
        <v>8064929035</v>
      </c>
      <c r="H947">
        <v>7303968264</v>
      </c>
      <c r="I947">
        <v>5038835610</v>
      </c>
      <c r="J947">
        <v>3957902807</v>
      </c>
      <c r="K947">
        <v>3607139820</v>
      </c>
      <c r="L947">
        <v>4221488659</v>
      </c>
      <c r="M947">
        <v>4860782204</v>
      </c>
      <c r="N947">
        <v>6288527425</v>
      </c>
      <c r="O947">
        <v>6041744665</v>
      </c>
      <c r="P947">
        <v>215</v>
      </c>
      <c r="Q947" t="s">
        <v>2145</v>
      </c>
    </row>
    <row r="948" spans="1:17" x14ac:dyDescent="0.3">
      <c r="A948" t="s">
        <v>17</v>
      </c>
      <c r="B948" t="str">
        <f>"601375"</f>
        <v>601375</v>
      </c>
      <c r="C948" t="s">
        <v>2146</v>
      </c>
      <c r="D948" t="s">
        <v>80</v>
      </c>
      <c r="F948">
        <v>4420848498</v>
      </c>
      <c r="G948">
        <v>3103301697</v>
      </c>
      <c r="H948">
        <v>2372526991</v>
      </c>
      <c r="I948">
        <v>1649661562</v>
      </c>
      <c r="J948">
        <v>2147620089</v>
      </c>
      <c r="K948">
        <v>2026810961</v>
      </c>
      <c r="L948">
        <v>4004355252</v>
      </c>
      <c r="M948">
        <v>1808216779</v>
      </c>
      <c r="N948">
        <v>1165234691</v>
      </c>
      <c r="O948">
        <v>1007875475.42</v>
      </c>
      <c r="P948">
        <v>690</v>
      </c>
      <c r="Q948" t="s">
        <v>2147</v>
      </c>
    </row>
    <row r="949" spans="1:17" x14ac:dyDescent="0.3">
      <c r="A949" t="s">
        <v>17</v>
      </c>
      <c r="B949" t="str">
        <f>"601377"</f>
        <v>601377</v>
      </c>
      <c r="C949" t="s">
        <v>2148</v>
      </c>
      <c r="D949" t="s">
        <v>80</v>
      </c>
      <c r="F949">
        <v>18972168755</v>
      </c>
      <c r="G949">
        <v>17579687209</v>
      </c>
      <c r="H949">
        <v>14249535861</v>
      </c>
      <c r="I949">
        <v>6499373437</v>
      </c>
      <c r="J949">
        <v>8818781468</v>
      </c>
      <c r="K949">
        <v>7589066884</v>
      </c>
      <c r="L949">
        <v>11540612658</v>
      </c>
      <c r="M949">
        <v>5609064896</v>
      </c>
      <c r="N949">
        <v>3103553412</v>
      </c>
      <c r="O949">
        <v>2539445287</v>
      </c>
      <c r="P949">
        <v>1731</v>
      </c>
      <c r="Q949" t="s">
        <v>2149</v>
      </c>
    </row>
    <row r="950" spans="1:17" x14ac:dyDescent="0.3">
      <c r="A950" t="s">
        <v>17</v>
      </c>
      <c r="B950" t="str">
        <f>"601388"</f>
        <v>601388</v>
      </c>
      <c r="C950" t="s">
        <v>2150</v>
      </c>
      <c r="D950" t="s">
        <v>504</v>
      </c>
      <c r="F950">
        <v>8282934845</v>
      </c>
      <c r="G950">
        <v>5627025863</v>
      </c>
      <c r="H950">
        <v>5448473369</v>
      </c>
      <c r="I950">
        <v>6296541934</v>
      </c>
      <c r="J950">
        <v>5384040136</v>
      </c>
      <c r="K950">
        <v>3766844813</v>
      </c>
      <c r="L950">
        <v>3490388949</v>
      </c>
      <c r="M950">
        <v>4313953663</v>
      </c>
      <c r="N950">
        <v>4877044912</v>
      </c>
      <c r="O950">
        <v>5295178562</v>
      </c>
      <c r="P950">
        <v>206</v>
      </c>
      <c r="Q950" t="s">
        <v>2151</v>
      </c>
    </row>
    <row r="951" spans="1:17" x14ac:dyDescent="0.3">
      <c r="A951" t="s">
        <v>17</v>
      </c>
      <c r="B951" t="str">
        <f>"601390"</f>
        <v>601390</v>
      </c>
      <c r="C951" t="s">
        <v>2152</v>
      </c>
      <c r="D951" t="s">
        <v>101</v>
      </c>
      <c r="F951">
        <v>1070417452000</v>
      </c>
      <c r="G951">
        <v>971404889000</v>
      </c>
      <c r="H951">
        <v>848440346000</v>
      </c>
      <c r="I951">
        <v>737713851000</v>
      </c>
      <c r="J951">
        <v>689944860000</v>
      </c>
      <c r="K951">
        <v>639406523000</v>
      </c>
      <c r="L951">
        <v>621088314000</v>
      </c>
      <c r="M951">
        <v>610328055000</v>
      </c>
      <c r="N951">
        <v>558798663000</v>
      </c>
      <c r="O951">
        <v>482688400000</v>
      </c>
      <c r="P951">
        <v>1323</v>
      </c>
      <c r="Q951" t="s">
        <v>2153</v>
      </c>
    </row>
    <row r="952" spans="1:17" x14ac:dyDescent="0.3">
      <c r="A952" t="s">
        <v>17</v>
      </c>
      <c r="B952" t="str">
        <f>"601398"</f>
        <v>601398</v>
      </c>
      <c r="C952" t="s">
        <v>2154</v>
      </c>
      <c r="D952" t="s">
        <v>2112</v>
      </c>
      <c r="F952">
        <v>942762000000</v>
      </c>
      <c r="G952">
        <v>882665000000</v>
      </c>
      <c r="H952">
        <v>855164000000</v>
      </c>
      <c r="I952">
        <v>773789000000</v>
      </c>
      <c r="J952">
        <v>726502000000</v>
      </c>
      <c r="K952">
        <v>675891000000</v>
      </c>
      <c r="L952">
        <v>697647000000</v>
      </c>
      <c r="M952">
        <v>658892000000</v>
      </c>
      <c r="N952">
        <v>589637000000</v>
      </c>
      <c r="O952">
        <v>536945000000</v>
      </c>
      <c r="P952">
        <v>20387</v>
      </c>
      <c r="Q952" t="s">
        <v>2155</v>
      </c>
    </row>
    <row r="953" spans="1:17" x14ac:dyDescent="0.3">
      <c r="A953" t="s">
        <v>17</v>
      </c>
      <c r="B953" t="str">
        <f>"601399"</f>
        <v>601399</v>
      </c>
      <c r="C953" t="s">
        <v>2156</v>
      </c>
      <c r="D953" t="s">
        <v>395</v>
      </c>
      <c r="F953">
        <v>9508218107</v>
      </c>
      <c r="G953">
        <v>8824448387</v>
      </c>
      <c r="H953">
        <v>9265430254</v>
      </c>
      <c r="I953">
        <v>9522792198</v>
      </c>
      <c r="J953">
        <v>7187048060</v>
      </c>
      <c r="N953">
        <v>4897552574</v>
      </c>
      <c r="O953">
        <v>3988426295</v>
      </c>
      <c r="P953">
        <v>53</v>
      </c>
      <c r="Q953" t="s">
        <v>2157</v>
      </c>
    </row>
    <row r="954" spans="1:17" x14ac:dyDescent="0.3">
      <c r="A954" t="s">
        <v>17</v>
      </c>
      <c r="B954" t="str">
        <f>"601456"</f>
        <v>601456</v>
      </c>
      <c r="C954" t="s">
        <v>2158</v>
      </c>
      <c r="D954" t="s">
        <v>80</v>
      </c>
      <c r="F954">
        <v>2966631401</v>
      </c>
      <c r="G954">
        <v>1876340313</v>
      </c>
      <c r="H954">
        <v>1619381000</v>
      </c>
      <c r="I954">
        <v>989719000</v>
      </c>
      <c r="J954">
        <v>1262535000</v>
      </c>
      <c r="P954">
        <v>310</v>
      </c>
      <c r="Q954" t="s">
        <v>2159</v>
      </c>
    </row>
    <row r="955" spans="1:17" x14ac:dyDescent="0.3">
      <c r="A955" t="s">
        <v>17</v>
      </c>
      <c r="B955" t="str">
        <f>"601500"</f>
        <v>601500</v>
      </c>
      <c r="C955" t="s">
        <v>2160</v>
      </c>
      <c r="D955" t="s">
        <v>422</v>
      </c>
      <c r="F955">
        <v>4255523700</v>
      </c>
      <c r="G955">
        <v>3447718251</v>
      </c>
      <c r="H955">
        <v>3335484684</v>
      </c>
      <c r="I955">
        <v>3846881806</v>
      </c>
      <c r="J955">
        <v>3765492537</v>
      </c>
      <c r="K955">
        <v>3361227286</v>
      </c>
      <c r="L955">
        <v>3214961247</v>
      </c>
      <c r="M955">
        <v>3502072582</v>
      </c>
      <c r="N955">
        <v>3717110219</v>
      </c>
      <c r="P955">
        <v>85</v>
      </c>
      <c r="Q955" t="s">
        <v>2161</v>
      </c>
    </row>
    <row r="956" spans="1:17" x14ac:dyDescent="0.3">
      <c r="A956" t="s">
        <v>17</v>
      </c>
      <c r="B956" t="str">
        <f>"601512"</f>
        <v>601512</v>
      </c>
      <c r="C956" t="s">
        <v>2162</v>
      </c>
      <c r="D956" t="s">
        <v>194</v>
      </c>
      <c r="F956">
        <v>3917236556</v>
      </c>
      <c r="G956">
        <v>3414113631</v>
      </c>
      <c r="H956">
        <v>5310784512</v>
      </c>
      <c r="I956">
        <v>3458785165</v>
      </c>
      <c r="J956">
        <v>4045695202</v>
      </c>
      <c r="K956">
        <v>6507446384</v>
      </c>
      <c r="P956">
        <v>103</v>
      </c>
      <c r="Q956" t="s">
        <v>2163</v>
      </c>
    </row>
    <row r="957" spans="1:17" x14ac:dyDescent="0.3">
      <c r="A957" t="s">
        <v>17</v>
      </c>
      <c r="B957" t="str">
        <f>"601515"</f>
        <v>601515</v>
      </c>
      <c r="C957" t="s">
        <v>2164</v>
      </c>
      <c r="D957" t="s">
        <v>2165</v>
      </c>
      <c r="F957">
        <v>3805071242</v>
      </c>
      <c r="G957">
        <v>3069393915</v>
      </c>
      <c r="H957">
        <v>3172922273</v>
      </c>
      <c r="I957">
        <v>3328049360</v>
      </c>
      <c r="J957">
        <v>2802347109</v>
      </c>
      <c r="K957">
        <v>2341636906</v>
      </c>
      <c r="L957">
        <v>2219442083</v>
      </c>
      <c r="M957">
        <v>2002045778</v>
      </c>
      <c r="N957">
        <v>1801526695</v>
      </c>
      <c r="O957">
        <v>1765097369</v>
      </c>
      <c r="P957">
        <v>28151</v>
      </c>
      <c r="Q957" t="s">
        <v>2166</v>
      </c>
    </row>
    <row r="958" spans="1:17" x14ac:dyDescent="0.3">
      <c r="A958" t="s">
        <v>17</v>
      </c>
      <c r="B958" t="str">
        <f>"601518"</f>
        <v>601518</v>
      </c>
      <c r="C958" t="s">
        <v>2167</v>
      </c>
      <c r="D958" t="s">
        <v>44</v>
      </c>
      <c r="F958">
        <v>1272016931</v>
      </c>
      <c r="G958">
        <v>850389011</v>
      </c>
      <c r="H958">
        <v>780866926</v>
      </c>
      <c r="I958">
        <v>851383331</v>
      </c>
      <c r="J958">
        <v>973620167</v>
      </c>
      <c r="K958">
        <v>774886453</v>
      </c>
      <c r="L958">
        <v>561507252</v>
      </c>
      <c r="M958">
        <v>604155053</v>
      </c>
      <c r="N958">
        <v>785732811</v>
      </c>
      <c r="O958">
        <v>762084659</v>
      </c>
      <c r="P958">
        <v>113</v>
      </c>
      <c r="Q958" t="s">
        <v>2168</v>
      </c>
    </row>
    <row r="959" spans="1:17" x14ac:dyDescent="0.3">
      <c r="A959" t="s">
        <v>17</v>
      </c>
      <c r="B959" t="str">
        <f>"601519"</f>
        <v>601519</v>
      </c>
      <c r="C959" t="s">
        <v>2169</v>
      </c>
      <c r="D959" t="s">
        <v>945</v>
      </c>
      <c r="F959">
        <v>818661644</v>
      </c>
      <c r="G959">
        <v>707762419</v>
      </c>
      <c r="H959">
        <v>683339179</v>
      </c>
      <c r="I959">
        <v>593638132</v>
      </c>
      <c r="J959">
        <v>638236192</v>
      </c>
      <c r="K959">
        <v>1130563778</v>
      </c>
      <c r="L959">
        <v>654171250</v>
      </c>
      <c r="M959">
        <v>924561518</v>
      </c>
      <c r="N959">
        <v>785623928</v>
      </c>
      <c r="O959">
        <v>470138437</v>
      </c>
      <c r="P959">
        <v>209</v>
      </c>
      <c r="Q959" t="s">
        <v>2170</v>
      </c>
    </row>
    <row r="960" spans="1:17" x14ac:dyDescent="0.3">
      <c r="A960" t="s">
        <v>17</v>
      </c>
      <c r="B960" t="str">
        <f>"601528"</f>
        <v>601528</v>
      </c>
      <c r="C960" t="s">
        <v>2171</v>
      </c>
      <c r="D960" t="s">
        <v>1831</v>
      </c>
      <c r="F960">
        <v>3310241000</v>
      </c>
      <c r="G960">
        <v>3008718967</v>
      </c>
      <c r="H960">
        <v>2860399483</v>
      </c>
      <c r="I960">
        <v>2640710007</v>
      </c>
      <c r="K960">
        <v>2484825000</v>
      </c>
      <c r="L960">
        <v>2336151000</v>
      </c>
      <c r="M960">
        <v>2342650000</v>
      </c>
      <c r="P960">
        <v>49</v>
      </c>
      <c r="Q960" t="s">
        <v>2172</v>
      </c>
    </row>
    <row r="961" spans="1:17" x14ac:dyDescent="0.3">
      <c r="A961" t="s">
        <v>17</v>
      </c>
      <c r="B961" t="str">
        <f>"601555"</f>
        <v>601555</v>
      </c>
      <c r="C961" t="s">
        <v>2173</v>
      </c>
      <c r="D961" t="s">
        <v>80</v>
      </c>
      <c r="F961">
        <v>9245491796</v>
      </c>
      <c r="G961">
        <v>7356492441</v>
      </c>
      <c r="H961">
        <v>5130373463</v>
      </c>
      <c r="I961">
        <v>4161925425</v>
      </c>
      <c r="J961">
        <v>4144240488</v>
      </c>
      <c r="K961">
        <v>4645225994</v>
      </c>
      <c r="L961">
        <v>6830161925</v>
      </c>
      <c r="M961">
        <v>3240982528</v>
      </c>
      <c r="N961">
        <v>1598708590</v>
      </c>
      <c r="O961">
        <v>1398348948</v>
      </c>
      <c r="P961">
        <v>937</v>
      </c>
      <c r="Q961" t="s">
        <v>2174</v>
      </c>
    </row>
    <row r="962" spans="1:17" x14ac:dyDescent="0.3">
      <c r="A962" t="s">
        <v>17</v>
      </c>
      <c r="B962" t="str">
        <f>"601558"</f>
        <v>601558</v>
      </c>
      <c r="C962" t="s">
        <v>2175</v>
      </c>
      <c r="H962">
        <v>628656373</v>
      </c>
      <c r="I962">
        <v>569910431</v>
      </c>
      <c r="J962">
        <v>140690927</v>
      </c>
      <c r="K962">
        <v>944658761</v>
      </c>
      <c r="L962">
        <v>1392711891</v>
      </c>
      <c r="M962">
        <v>3619880770</v>
      </c>
      <c r="N962">
        <v>3661874681</v>
      </c>
      <c r="O962">
        <v>4018145229</v>
      </c>
      <c r="P962">
        <v>47</v>
      </c>
      <c r="Q962" t="s">
        <v>2176</v>
      </c>
    </row>
    <row r="963" spans="1:17" x14ac:dyDescent="0.3">
      <c r="A963" t="s">
        <v>17</v>
      </c>
      <c r="B963" t="str">
        <f>"601566"</f>
        <v>601566</v>
      </c>
      <c r="C963" t="s">
        <v>2177</v>
      </c>
      <c r="D963" t="s">
        <v>255</v>
      </c>
      <c r="F963">
        <v>3050421828</v>
      </c>
      <c r="G963">
        <v>2672212633</v>
      </c>
      <c r="H963">
        <v>2857040778</v>
      </c>
      <c r="I963">
        <v>2733217140</v>
      </c>
      <c r="J963">
        <v>2565133744</v>
      </c>
      <c r="K963">
        <v>2271328527</v>
      </c>
      <c r="L963">
        <v>2256601194</v>
      </c>
      <c r="M963">
        <v>2067819142</v>
      </c>
      <c r="N963">
        <v>2501539270</v>
      </c>
      <c r="O963">
        <v>2600556841</v>
      </c>
      <c r="P963">
        <v>426</v>
      </c>
      <c r="Q963" t="s">
        <v>2178</v>
      </c>
    </row>
    <row r="964" spans="1:17" x14ac:dyDescent="0.3">
      <c r="A964" t="s">
        <v>17</v>
      </c>
      <c r="B964" t="str">
        <f>"601567"</f>
        <v>601567</v>
      </c>
      <c r="C964" t="s">
        <v>2179</v>
      </c>
      <c r="D964" t="s">
        <v>2180</v>
      </c>
      <c r="F964">
        <v>7022902469</v>
      </c>
      <c r="G964">
        <v>7092708995</v>
      </c>
      <c r="H964">
        <v>6739129855</v>
      </c>
      <c r="I964">
        <v>5870471517</v>
      </c>
      <c r="J964">
        <v>5368397770</v>
      </c>
      <c r="K964">
        <v>4921721348</v>
      </c>
      <c r="L964">
        <v>4158057001</v>
      </c>
      <c r="M964">
        <v>2873831012</v>
      </c>
      <c r="N964">
        <v>2246683130</v>
      </c>
      <c r="O964">
        <v>2561751343</v>
      </c>
      <c r="P964">
        <v>325</v>
      </c>
      <c r="Q964" t="s">
        <v>2181</v>
      </c>
    </row>
    <row r="965" spans="1:17" x14ac:dyDescent="0.3">
      <c r="A965" t="s">
        <v>17</v>
      </c>
      <c r="B965" t="str">
        <f>"601568"</f>
        <v>601568</v>
      </c>
      <c r="C965" t="s">
        <v>2182</v>
      </c>
      <c r="D965" t="s">
        <v>175</v>
      </c>
      <c r="F965">
        <v>13153768326</v>
      </c>
      <c r="G965">
        <v>9853511687</v>
      </c>
      <c r="H965">
        <v>10046374422</v>
      </c>
      <c r="I965">
        <v>9603519453</v>
      </c>
      <c r="J965">
        <v>9550269949</v>
      </c>
      <c r="K965">
        <v>7676931820</v>
      </c>
      <c r="P965">
        <v>121</v>
      </c>
      <c r="Q965" t="s">
        <v>2183</v>
      </c>
    </row>
    <row r="966" spans="1:17" x14ac:dyDescent="0.3">
      <c r="A966" t="s">
        <v>17</v>
      </c>
      <c r="B966" t="str">
        <f>"601577"</f>
        <v>601577</v>
      </c>
      <c r="C966" t="s">
        <v>2184</v>
      </c>
      <c r="D966" t="s">
        <v>1842</v>
      </c>
      <c r="F966">
        <v>20867848000</v>
      </c>
      <c r="G966">
        <v>18022145000</v>
      </c>
      <c r="H966">
        <v>17016938000</v>
      </c>
      <c r="I966">
        <v>13940826000</v>
      </c>
      <c r="J966">
        <v>12127559000</v>
      </c>
      <c r="K966">
        <v>10040280000</v>
      </c>
      <c r="L966">
        <v>8336645000</v>
      </c>
      <c r="M966">
        <v>6426893000</v>
      </c>
      <c r="N966">
        <v>5146904000</v>
      </c>
      <c r="O966">
        <v>4208297000</v>
      </c>
      <c r="P966">
        <v>929</v>
      </c>
      <c r="Q966" t="s">
        <v>2185</v>
      </c>
    </row>
    <row r="967" spans="1:17" x14ac:dyDescent="0.3">
      <c r="A967" t="s">
        <v>17</v>
      </c>
      <c r="B967" t="str">
        <f>"601579"</f>
        <v>601579</v>
      </c>
      <c r="C967" t="s">
        <v>2186</v>
      </c>
      <c r="D967" t="s">
        <v>134</v>
      </c>
      <c r="F967">
        <v>1250206872</v>
      </c>
      <c r="G967">
        <v>1108216797</v>
      </c>
      <c r="H967">
        <v>1171037168</v>
      </c>
      <c r="I967">
        <v>1193949893</v>
      </c>
      <c r="J967">
        <v>1288874712</v>
      </c>
      <c r="K967">
        <v>1048642259</v>
      </c>
      <c r="L967">
        <v>914892062</v>
      </c>
      <c r="M967">
        <v>859129968</v>
      </c>
      <c r="N967">
        <v>933814251</v>
      </c>
      <c r="O967">
        <v>974821052</v>
      </c>
      <c r="P967">
        <v>186</v>
      </c>
      <c r="Q967" t="s">
        <v>2187</v>
      </c>
    </row>
    <row r="968" spans="1:17" x14ac:dyDescent="0.3">
      <c r="A968" t="s">
        <v>17</v>
      </c>
      <c r="B968" t="str">
        <f>"601588"</f>
        <v>601588</v>
      </c>
      <c r="C968" t="s">
        <v>2188</v>
      </c>
      <c r="D968" t="s">
        <v>104</v>
      </c>
      <c r="F968">
        <v>22094296248</v>
      </c>
      <c r="G968">
        <v>17995982446</v>
      </c>
      <c r="H968">
        <v>20122363737</v>
      </c>
      <c r="I968">
        <v>17864162781</v>
      </c>
      <c r="J968">
        <v>15456514443</v>
      </c>
      <c r="K968">
        <v>9829779247</v>
      </c>
      <c r="L968">
        <v>7185973192</v>
      </c>
      <c r="M968">
        <v>6233622611</v>
      </c>
      <c r="N968">
        <v>5504990841</v>
      </c>
      <c r="O968">
        <v>5735903865</v>
      </c>
      <c r="P968">
        <v>536</v>
      </c>
      <c r="Q968" t="s">
        <v>2189</v>
      </c>
    </row>
    <row r="969" spans="1:17" x14ac:dyDescent="0.3">
      <c r="A969" t="s">
        <v>17</v>
      </c>
      <c r="B969" t="str">
        <f>"601595"</f>
        <v>601595</v>
      </c>
      <c r="C969" t="s">
        <v>2190</v>
      </c>
      <c r="D969" t="s">
        <v>113</v>
      </c>
      <c r="F969">
        <v>731083519</v>
      </c>
      <c r="G969">
        <v>309299178</v>
      </c>
      <c r="H969">
        <v>1106517765</v>
      </c>
      <c r="I969">
        <v>1055902865</v>
      </c>
      <c r="J969">
        <v>1122446842</v>
      </c>
      <c r="K969">
        <v>1045711166</v>
      </c>
      <c r="L969">
        <v>900178555</v>
      </c>
      <c r="M969">
        <v>702949152</v>
      </c>
      <c r="N969">
        <v>594304436</v>
      </c>
      <c r="P969">
        <v>158</v>
      </c>
      <c r="Q969" t="s">
        <v>2191</v>
      </c>
    </row>
    <row r="970" spans="1:17" x14ac:dyDescent="0.3">
      <c r="A970" t="s">
        <v>17</v>
      </c>
      <c r="B970" t="str">
        <f>"601598"</f>
        <v>601598</v>
      </c>
      <c r="C970" t="s">
        <v>2192</v>
      </c>
      <c r="D970" t="s">
        <v>287</v>
      </c>
      <c r="F970">
        <v>124345530850</v>
      </c>
      <c r="G970">
        <v>84536841379</v>
      </c>
      <c r="H970">
        <v>77650091275</v>
      </c>
      <c r="I970">
        <v>77311836515</v>
      </c>
      <c r="J970">
        <v>73157512700</v>
      </c>
      <c r="K970">
        <v>60252933100</v>
      </c>
      <c r="L970">
        <v>45934827600</v>
      </c>
      <c r="P970">
        <v>316</v>
      </c>
      <c r="Q970" t="s">
        <v>2193</v>
      </c>
    </row>
    <row r="971" spans="1:17" x14ac:dyDescent="0.3">
      <c r="A971" t="s">
        <v>17</v>
      </c>
      <c r="B971" t="str">
        <f>"601599"</f>
        <v>601599</v>
      </c>
      <c r="C971" t="s">
        <v>2194</v>
      </c>
      <c r="D971" t="s">
        <v>366</v>
      </c>
      <c r="F971">
        <v>2452098003</v>
      </c>
      <c r="G971">
        <v>1692687910</v>
      </c>
      <c r="H971">
        <v>3035439713</v>
      </c>
      <c r="I971">
        <v>4779655548</v>
      </c>
      <c r="J971">
        <v>4110976803</v>
      </c>
      <c r="K971">
        <v>3588832218</v>
      </c>
      <c r="L971">
        <v>2369836377</v>
      </c>
      <c r="M971">
        <v>2233142925</v>
      </c>
      <c r="N971">
        <v>1844192075</v>
      </c>
      <c r="O971">
        <v>1671269357</v>
      </c>
      <c r="P971">
        <v>60</v>
      </c>
      <c r="Q971" t="s">
        <v>2195</v>
      </c>
    </row>
    <row r="972" spans="1:17" x14ac:dyDescent="0.3">
      <c r="A972" t="s">
        <v>17</v>
      </c>
      <c r="B972" t="str">
        <f>"601600"</f>
        <v>601600</v>
      </c>
      <c r="C972" t="s">
        <v>2196</v>
      </c>
      <c r="D972" t="s">
        <v>504</v>
      </c>
      <c r="F972">
        <v>269748232000</v>
      </c>
      <c r="G972">
        <v>185994253000</v>
      </c>
      <c r="H972">
        <v>190074161000</v>
      </c>
      <c r="I972">
        <v>180240154000</v>
      </c>
      <c r="J972">
        <v>180080750000</v>
      </c>
      <c r="K972">
        <v>144065518000</v>
      </c>
      <c r="L972">
        <v>123445872000</v>
      </c>
      <c r="M972">
        <v>141772292000</v>
      </c>
      <c r="N972">
        <v>173038099000</v>
      </c>
      <c r="O972">
        <v>149478821000</v>
      </c>
      <c r="P972">
        <v>743</v>
      </c>
      <c r="Q972" t="s">
        <v>2197</v>
      </c>
    </row>
    <row r="973" spans="1:17" x14ac:dyDescent="0.3">
      <c r="A973" t="s">
        <v>17</v>
      </c>
      <c r="B973" t="str">
        <f>"601601"</f>
        <v>601601</v>
      </c>
      <c r="C973" t="s">
        <v>2198</v>
      </c>
      <c r="D973" t="s">
        <v>660</v>
      </c>
      <c r="F973">
        <v>440643000000</v>
      </c>
      <c r="G973">
        <v>422182000000</v>
      </c>
      <c r="H973">
        <v>385489000000</v>
      </c>
      <c r="I973">
        <v>354363000000</v>
      </c>
      <c r="J973">
        <v>319809000000</v>
      </c>
      <c r="K973">
        <v>267014000000</v>
      </c>
      <c r="L973">
        <v>247202000000</v>
      </c>
      <c r="M973">
        <v>219778000000</v>
      </c>
      <c r="N973">
        <v>193137000000</v>
      </c>
      <c r="O973">
        <v>171451000000</v>
      </c>
      <c r="P973">
        <v>2648</v>
      </c>
      <c r="Q973" t="s">
        <v>2199</v>
      </c>
    </row>
    <row r="974" spans="1:17" x14ac:dyDescent="0.3">
      <c r="A974" t="s">
        <v>17</v>
      </c>
      <c r="B974" t="str">
        <f>"601606"</f>
        <v>601606</v>
      </c>
      <c r="C974" t="s">
        <v>2200</v>
      </c>
      <c r="D974" t="s">
        <v>428</v>
      </c>
      <c r="F974">
        <v>1696262654</v>
      </c>
      <c r="G974">
        <v>1585943855</v>
      </c>
      <c r="H974">
        <v>1498764960</v>
      </c>
      <c r="I974">
        <v>1430475859</v>
      </c>
      <c r="J974">
        <v>1490031861</v>
      </c>
      <c r="K974">
        <v>1300277279</v>
      </c>
      <c r="L974">
        <v>1538796175</v>
      </c>
      <c r="P974">
        <v>180</v>
      </c>
      <c r="Q974" t="s">
        <v>2201</v>
      </c>
    </row>
    <row r="975" spans="1:17" x14ac:dyDescent="0.3">
      <c r="A975" t="s">
        <v>17</v>
      </c>
      <c r="B975" t="str">
        <f>"601607"</f>
        <v>601607</v>
      </c>
      <c r="C975" t="s">
        <v>1716</v>
      </c>
      <c r="D975" t="s">
        <v>125</v>
      </c>
      <c r="F975">
        <v>215824259035</v>
      </c>
      <c r="G975">
        <v>191909156161</v>
      </c>
      <c r="H975">
        <v>186565796464</v>
      </c>
      <c r="I975">
        <v>159084396948</v>
      </c>
      <c r="J975">
        <v>130847181885</v>
      </c>
      <c r="K975">
        <v>120764660340</v>
      </c>
      <c r="L975">
        <v>105516587303</v>
      </c>
      <c r="M975">
        <v>92398893627</v>
      </c>
      <c r="N975">
        <v>78222817357</v>
      </c>
      <c r="O975">
        <v>68078117819</v>
      </c>
      <c r="P975">
        <v>1369</v>
      </c>
      <c r="Q975" t="s">
        <v>2202</v>
      </c>
    </row>
    <row r="976" spans="1:17" x14ac:dyDescent="0.3">
      <c r="A976" t="s">
        <v>17</v>
      </c>
      <c r="B976" t="str">
        <f>"601608"</f>
        <v>601608</v>
      </c>
      <c r="C976" t="s">
        <v>2203</v>
      </c>
      <c r="D976" t="s">
        <v>395</v>
      </c>
      <c r="F976">
        <v>7550019887</v>
      </c>
      <c r="G976">
        <v>6318222990</v>
      </c>
      <c r="H976">
        <v>5239949098</v>
      </c>
      <c r="I976">
        <v>5200537404</v>
      </c>
      <c r="J976">
        <v>4620579934</v>
      </c>
      <c r="K976">
        <v>3771394044</v>
      </c>
      <c r="L976">
        <v>4020522567</v>
      </c>
      <c r="M976">
        <v>5286294883</v>
      </c>
      <c r="N976">
        <v>5083111074</v>
      </c>
      <c r="O976">
        <v>7235808059</v>
      </c>
      <c r="P976">
        <v>178</v>
      </c>
      <c r="Q976" t="s">
        <v>2204</v>
      </c>
    </row>
    <row r="977" spans="1:17" x14ac:dyDescent="0.3">
      <c r="A977" t="s">
        <v>17</v>
      </c>
      <c r="B977" t="str">
        <f>"601609"</f>
        <v>601609</v>
      </c>
      <c r="C977" t="s">
        <v>2205</v>
      </c>
      <c r="D977" t="s">
        <v>263</v>
      </c>
      <c r="F977">
        <v>81158824665</v>
      </c>
      <c r="G977">
        <v>46829256195</v>
      </c>
      <c r="H977">
        <v>40984013194</v>
      </c>
      <c r="I977">
        <v>40646165517</v>
      </c>
      <c r="J977">
        <v>35993275131</v>
      </c>
      <c r="P977">
        <v>106</v>
      </c>
      <c r="Q977" t="s">
        <v>2206</v>
      </c>
    </row>
    <row r="978" spans="1:17" x14ac:dyDescent="0.3">
      <c r="A978" t="s">
        <v>17</v>
      </c>
      <c r="B978" t="str">
        <f>"601611"</f>
        <v>601611</v>
      </c>
      <c r="C978" t="s">
        <v>2207</v>
      </c>
      <c r="D978" t="s">
        <v>101</v>
      </c>
      <c r="F978">
        <v>83719933515</v>
      </c>
      <c r="G978">
        <v>72800462976</v>
      </c>
      <c r="H978">
        <v>63593477323</v>
      </c>
      <c r="I978">
        <v>51355057844</v>
      </c>
      <c r="J978">
        <v>45333636090</v>
      </c>
      <c r="K978">
        <v>41404995796</v>
      </c>
      <c r="L978">
        <v>40970021983</v>
      </c>
      <c r="M978">
        <v>44800752867</v>
      </c>
      <c r="N978">
        <v>37436135168</v>
      </c>
      <c r="P978">
        <v>345</v>
      </c>
      <c r="Q978" t="s">
        <v>2208</v>
      </c>
    </row>
    <row r="979" spans="1:17" x14ac:dyDescent="0.3">
      <c r="A979" t="s">
        <v>17</v>
      </c>
      <c r="B979" t="str">
        <f>"601615"</f>
        <v>601615</v>
      </c>
      <c r="C979" t="s">
        <v>2209</v>
      </c>
      <c r="D979" t="s">
        <v>895</v>
      </c>
      <c r="F979">
        <v>27158048361</v>
      </c>
      <c r="G979">
        <v>22456987361</v>
      </c>
      <c r="H979">
        <v>10493157034</v>
      </c>
      <c r="I979">
        <v>6902147193</v>
      </c>
      <c r="J979">
        <v>5298198943</v>
      </c>
      <c r="K979">
        <v>6520364486</v>
      </c>
      <c r="L979">
        <v>6939626027</v>
      </c>
      <c r="P979">
        <v>1067</v>
      </c>
      <c r="Q979" t="s">
        <v>2210</v>
      </c>
    </row>
    <row r="980" spans="1:17" x14ac:dyDescent="0.3">
      <c r="A980" t="s">
        <v>17</v>
      </c>
      <c r="B980" t="str">
        <f>"601616"</f>
        <v>601616</v>
      </c>
      <c r="C980" t="s">
        <v>2211</v>
      </c>
      <c r="D980" t="s">
        <v>657</v>
      </c>
      <c r="F980">
        <v>1004696406</v>
      </c>
      <c r="G980">
        <v>1038304415</v>
      </c>
      <c r="H980">
        <v>698968611</v>
      </c>
      <c r="I980">
        <v>595796626</v>
      </c>
      <c r="J980">
        <v>645205425</v>
      </c>
      <c r="K980">
        <v>687008457</v>
      </c>
      <c r="L980">
        <v>776972388</v>
      </c>
      <c r="M980">
        <v>892197187</v>
      </c>
      <c r="N980">
        <v>1106751627</v>
      </c>
      <c r="O980">
        <v>914525234</v>
      </c>
      <c r="P980">
        <v>72</v>
      </c>
      <c r="Q980" t="s">
        <v>2212</v>
      </c>
    </row>
    <row r="981" spans="1:17" x14ac:dyDescent="0.3">
      <c r="A981" t="s">
        <v>17</v>
      </c>
      <c r="B981" t="str">
        <f>"601618"</f>
        <v>601618</v>
      </c>
      <c r="C981" t="s">
        <v>2213</v>
      </c>
      <c r="D981" t="s">
        <v>1992</v>
      </c>
      <c r="F981">
        <v>500571647000</v>
      </c>
      <c r="G981">
        <v>400114623000</v>
      </c>
      <c r="H981">
        <v>338637609000</v>
      </c>
      <c r="I981">
        <v>289534523000</v>
      </c>
      <c r="J981">
        <v>243999864000</v>
      </c>
      <c r="K981">
        <v>219557579000</v>
      </c>
      <c r="L981">
        <v>217323972000</v>
      </c>
      <c r="M981">
        <v>215785772000</v>
      </c>
      <c r="N981">
        <v>202690241000</v>
      </c>
      <c r="O981">
        <v>221119698000</v>
      </c>
      <c r="P981">
        <v>584</v>
      </c>
      <c r="Q981" t="s">
        <v>2214</v>
      </c>
    </row>
    <row r="982" spans="1:17" x14ac:dyDescent="0.3">
      <c r="A982" t="s">
        <v>17</v>
      </c>
      <c r="B982" t="str">
        <f>"601619"</f>
        <v>601619</v>
      </c>
      <c r="C982" t="s">
        <v>2215</v>
      </c>
      <c r="D982" t="s">
        <v>383</v>
      </c>
      <c r="F982">
        <v>1422609106</v>
      </c>
      <c r="G982">
        <v>1011659256</v>
      </c>
      <c r="H982">
        <v>1115526822</v>
      </c>
      <c r="I982">
        <v>1069087657</v>
      </c>
      <c r="J982">
        <v>831694425</v>
      </c>
      <c r="K982">
        <v>691717047</v>
      </c>
      <c r="L982">
        <v>375698401</v>
      </c>
      <c r="M982">
        <v>389245194</v>
      </c>
      <c r="P982">
        <v>184</v>
      </c>
      <c r="Q982" t="s">
        <v>2216</v>
      </c>
    </row>
    <row r="983" spans="1:17" x14ac:dyDescent="0.3">
      <c r="A983" t="s">
        <v>17</v>
      </c>
      <c r="B983" t="str">
        <f>"601628"</f>
        <v>601628</v>
      </c>
      <c r="C983" t="s">
        <v>2217</v>
      </c>
      <c r="D983" t="s">
        <v>660</v>
      </c>
      <c r="F983">
        <v>858505000000</v>
      </c>
      <c r="G983">
        <v>824961000000</v>
      </c>
      <c r="H983">
        <v>745165000000</v>
      </c>
      <c r="I983">
        <v>643101000000</v>
      </c>
      <c r="J983">
        <v>653195000000</v>
      </c>
      <c r="K983">
        <v>549771000000</v>
      </c>
      <c r="L983">
        <v>511367000000</v>
      </c>
      <c r="M983">
        <v>445773000000</v>
      </c>
      <c r="N983">
        <v>423613000000</v>
      </c>
      <c r="O983">
        <v>405379000000</v>
      </c>
      <c r="P983">
        <v>1729</v>
      </c>
      <c r="Q983" t="s">
        <v>2218</v>
      </c>
    </row>
    <row r="984" spans="1:17" x14ac:dyDescent="0.3">
      <c r="A984" t="s">
        <v>17</v>
      </c>
      <c r="B984" t="str">
        <f>"601633"</f>
        <v>601633</v>
      </c>
      <c r="C984" t="s">
        <v>2219</v>
      </c>
      <c r="D984" t="s">
        <v>247</v>
      </c>
      <c r="F984">
        <v>136404663039</v>
      </c>
      <c r="G984">
        <v>103307607210</v>
      </c>
      <c r="H984">
        <v>95108078640</v>
      </c>
      <c r="I984">
        <v>97799859205</v>
      </c>
      <c r="J984">
        <v>100491618179</v>
      </c>
      <c r="K984">
        <v>98443665116</v>
      </c>
      <c r="L984">
        <v>75954585965</v>
      </c>
      <c r="M984">
        <v>62590772605</v>
      </c>
      <c r="N984">
        <v>56784314344</v>
      </c>
      <c r="O984">
        <v>43159966648</v>
      </c>
      <c r="P984">
        <v>2066</v>
      </c>
      <c r="Q984" t="s">
        <v>2220</v>
      </c>
    </row>
    <row r="985" spans="1:17" x14ac:dyDescent="0.3">
      <c r="A985" t="s">
        <v>17</v>
      </c>
      <c r="B985" t="str">
        <f>"601636"</f>
        <v>601636</v>
      </c>
      <c r="C985" t="s">
        <v>2221</v>
      </c>
      <c r="D985" t="s">
        <v>666</v>
      </c>
      <c r="F985">
        <v>14572723016</v>
      </c>
      <c r="G985">
        <v>9644088854</v>
      </c>
      <c r="H985">
        <v>9305764518</v>
      </c>
      <c r="I985">
        <v>8378307427</v>
      </c>
      <c r="J985">
        <v>7585004069</v>
      </c>
      <c r="K985">
        <v>6960960745</v>
      </c>
      <c r="L985">
        <v>5169461537</v>
      </c>
      <c r="M985">
        <v>3716619607</v>
      </c>
      <c r="N985">
        <v>3525953682</v>
      </c>
      <c r="O985">
        <v>2684535646</v>
      </c>
      <c r="P985">
        <v>1517</v>
      </c>
      <c r="Q985" t="s">
        <v>2222</v>
      </c>
    </row>
    <row r="986" spans="1:17" x14ac:dyDescent="0.3">
      <c r="A986" t="s">
        <v>17</v>
      </c>
      <c r="B986" t="str">
        <f>"601658"</f>
        <v>601658</v>
      </c>
      <c r="C986" t="s">
        <v>2223</v>
      </c>
      <c r="D986" t="s">
        <v>2112</v>
      </c>
      <c r="F986">
        <v>318762000000</v>
      </c>
      <c r="G986">
        <v>286202000000</v>
      </c>
      <c r="H986">
        <v>276809000000</v>
      </c>
      <c r="I986">
        <v>260995000000</v>
      </c>
      <c r="J986">
        <v>224572000000</v>
      </c>
      <c r="K986">
        <v>188809000000</v>
      </c>
      <c r="L986">
        <v>189707000000</v>
      </c>
      <c r="M986">
        <v>173379000000</v>
      </c>
      <c r="N986">
        <v>144714000000</v>
      </c>
      <c r="O986">
        <v>126679000000</v>
      </c>
      <c r="P986">
        <v>1193</v>
      </c>
      <c r="Q986" t="s">
        <v>2224</v>
      </c>
    </row>
    <row r="987" spans="1:17" x14ac:dyDescent="0.3">
      <c r="A987" t="s">
        <v>17</v>
      </c>
      <c r="B987" t="str">
        <f>"601665"</f>
        <v>601665</v>
      </c>
      <c r="C987" t="s">
        <v>2225</v>
      </c>
      <c r="D987" t="s">
        <v>1842</v>
      </c>
      <c r="F987">
        <v>10166983000</v>
      </c>
      <c r="G987">
        <v>7936407000</v>
      </c>
      <c r="H987">
        <v>7407192000</v>
      </c>
      <c r="I987">
        <v>6402410000</v>
      </c>
      <c r="J987">
        <v>5425826000</v>
      </c>
      <c r="K987">
        <v>5153986000</v>
      </c>
      <c r="P987">
        <v>52</v>
      </c>
      <c r="Q987" t="s">
        <v>2226</v>
      </c>
    </row>
    <row r="988" spans="1:17" x14ac:dyDescent="0.3">
      <c r="A988" t="s">
        <v>17</v>
      </c>
      <c r="B988" t="str">
        <f>"601666"</f>
        <v>601666</v>
      </c>
      <c r="C988" t="s">
        <v>2227</v>
      </c>
      <c r="D988" t="s">
        <v>298</v>
      </c>
      <c r="F988">
        <v>29698819714</v>
      </c>
      <c r="G988">
        <v>22397484725</v>
      </c>
      <c r="H988">
        <v>23635389266</v>
      </c>
      <c r="I988">
        <v>20153419873</v>
      </c>
      <c r="J988">
        <v>20741502359</v>
      </c>
      <c r="K988">
        <v>14712794613</v>
      </c>
      <c r="L988">
        <v>12443499378</v>
      </c>
      <c r="M988">
        <v>16119446585</v>
      </c>
      <c r="N988">
        <v>19151972462</v>
      </c>
      <c r="O988">
        <v>22169353721</v>
      </c>
      <c r="P988">
        <v>401</v>
      </c>
      <c r="Q988" t="s">
        <v>2228</v>
      </c>
    </row>
    <row r="989" spans="1:17" x14ac:dyDescent="0.3">
      <c r="A989" t="s">
        <v>17</v>
      </c>
      <c r="B989" t="str">
        <f>"601668"</f>
        <v>601668</v>
      </c>
      <c r="C989" t="s">
        <v>2229</v>
      </c>
      <c r="D989" t="s">
        <v>398</v>
      </c>
      <c r="F989">
        <v>1891338970000</v>
      </c>
      <c r="G989">
        <v>1615023327000</v>
      </c>
      <c r="H989">
        <v>1419836588000</v>
      </c>
      <c r="I989">
        <v>1199324525000</v>
      </c>
      <c r="J989">
        <v>1054106503000</v>
      </c>
      <c r="K989">
        <v>959765486000</v>
      </c>
      <c r="L989">
        <v>880577134000</v>
      </c>
      <c r="M989">
        <v>800028753000</v>
      </c>
      <c r="N989">
        <v>681047990000</v>
      </c>
      <c r="O989">
        <v>571515835000</v>
      </c>
      <c r="P989">
        <v>10290</v>
      </c>
      <c r="Q989" t="s">
        <v>2230</v>
      </c>
    </row>
    <row r="990" spans="1:17" x14ac:dyDescent="0.3">
      <c r="A990" t="s">
        <v>17</v>
      </c>
      <c r="B990" t="str">
        <f>"601669"</f>
        <v>601669</v>
      </c>
      <c r="C990" t="s">
        <v>2231</v>
      </c>
      <c r="D990" t="s">
        <v>101</v>
      </c>
      <c r="F990">
        <v>448325490624</v>
      </c>
      <c r="G990">
        <v>401180654966</v>
      </c>
      <c r="H990">
        <v>347712701074</v>
      </c>
      <c r="I990">
        <v>294677944549</v>
      </c>
      <c r="J990">
        <v>266090431821</v>
      </c>
      <c r="K990">
        <v>238695896844</v>
      </c>
      <c r="L990">
        <v>210921291493</v>
      </c>
      <c r="M990">
        <v>167091187009</v>
      </c>
      <c r="N990">
        <v>144837008532</v>
      </c>
      <c r="O990">
        <v>127036572408</v>
      </c>
      <c r="P990">
        <v>752</v>
      </c>
      <c r="Q990" t="s">
        <v>2232</v>
      </c>
    </row>
    <row r="991" spans="1:17" x14ac:dyDescent="0.3">
      <c r="A991" t="s">
        <v>17</v>
      </c>
      <c r="B991" t="str">
        <f>"601677"</f>
        <v>601677</v>
      </c>
      <c r="C991" t="s">
        <v>2233</v>
      </c>
      <c r="D991" t="s">
        <v>504</v>
      </c>
      <c r="F991">
        <v>24612616451</v>
      </c>
      <c r="G991">
        <v>16333422819</v>
      </c>
      <c r="H991">
        <v>14147624639</v>
      </c>
      <c r="I991">
        <v>13321580855</v>
      </c>
      <c r="J991">
        <v>10363322727</v>
      </c>
      <c r="K991">
        <v>7479103490</v>
      </c>
      <c r="L991">
        <v>6281709797</v>
      </c>
      <c r="M991">
        <v>6492164868</v>
      </c>
      <c r="N991">
        <v>5652618453</v>
      </c>
      <c r="O991">
        <v>5263595867</v>
      </c>
      <c r="P991">
        <v>370</v>
      </c>
      <c r="Q991" t="s">
        <v>2234</v>
      </c>
    </row>
    <row r="992" spans="1:17" x14ac:dyDescent="0.3">
      <c r="A992" t="s">
        <v>17</v>
      </c>
      <c r="B992" t="str">
        <f>"601678"</f>
        <v>601678</v>
      </c>
      <c r="C992" t="s">
        <v>2235</v>
      </c>
      <c r="D992" t="s">
        <v>175</v>
      </c>
      <c r="F992">
        <v>9268141593</v>
      </c>
      <c r="G992">
        <v>6457141558</v>
      </c>
      <c r="H992">
        <v>6164258481</v>
      </c>
      <c r="I992">
        <v>6751403407</v>
      </c>
      <c r="J992">
        <v>6465007896</v>
      </c>
      <c r="K992">
        <v>4862376362</v>
      </c>
      <c r="L992">
        <v>4816142283</v>
      </c>
      <c r="M992">
        <v>4888811075</v>
      </c>
      <c r="N992">
        <v>4100238916</v>
      </c>
      <c r="O992">
        <v>4210389235</v>
      </c>
      <c r="P992">
        <v>353</v>
      </c>
      <c r="Q992" t="s">
        <v>2236</v>
      </c>
    </row>
    <row r="993" spans="1:17" x14ac:dyDescent="0.3">
      <c r="A993" t="s">
        <v>17</v>
      </c>
      <c r="B993" t="str">
        <f>"601686"</f>
        <v>601686</v>
      </c>
      <c r="C993" t="s">
        <v>2237</v>
      </c>
      <c r="D993" t="s">
        <v>2238</v>
      </c>
      <c r="F993">
        <v>66866023311</v>
      </c>
      <c r="G993">
        <v>48418704741</v>
      </c>
      <c r="H993">
        <v>44749217205</v>
      </c>
      <c r="I993">
        <v>37705056125</v>
      </c>
      <c r="J993">
        <v>31355482537</v>
      </c>
      <c r="K993">
        <v>19714732684</v>
      </c>
      <c r="P993">
        <v>57</v>
      </c>
      <c r="Q993" t="s">
        <v>2239</v>
      </c>
    </row>
    <row r="994" spans="1:17" x14ac:dyDescent="0.3">
      <c r="A994" t="s">
        <v>17</v>
      </c>
      <c r="B994" t="str">
        <f>"601688"</f>
        <v>601688</v>
      </c>
      <c r="C994" t="s">
        <v>2240</v>
      </c>
      <c r="D994" t="s">
        <v>80</v>
      </c>
      <c r="F994">
        <v>37905443652</v>
      </c>
      <c r="G994">
        <v>31444546120</v>
      </c>
      <c r="H994">
        <v>24863012026</v>
      </c>
      <c r="I994">
        <v>16108262272</v>
      </c>
      <c r="J994">
        <v>21108534071</v>
      </c>
      <c r="K994">
        <v>16917019401</v>
      </c>
      <c r="L994">
        <v>26261939871</v>
      </c>
      <c r="M994">
        <v>12062303844</v>
      </c>
      <c r="N994">
        <v>7166536336</v>
      </c>
      <c r="O994">
        <v>5883199399</v>
      </c>
      <c r="P994">
        <v>6874</v>
      </c>
      <c r="Q994" t="s">
        <v>2241</v>
      </c>
    </row>
    <row r="995" spans="1:17" x14ac:dyDescent="0.3">
      <c r="A995" t="s">
        <v>17</v>
      </c>
      <c r="B995" t="str">
        <f>"601689"</f>
        <v>601689</v>
      </c>
      <c r="C995" t="s">
        <v>2242</v>
      </c>
      <c r="D995" t="s">
        <v>348</v>
      </c>
      <c r="F995">
        <v>11462693680</v>
      </c>
      <c r="G995">
        <v>6511094914</v>
      </c>
      <c r="H995">
        <v>5358953814</v>
      </c>
      <c r="I995">
        <v>5984017662</v>
      </c>
      <c r="J995">
        <v>5090219716</v>
      </c>
      <c r="K995">
        <v>3937723917</v>
      </c>
      <c r="L995">
        <v>3007211918</v>
      </c>
      <c r="M995">
        <v>2736861661</v>
      </c>
      <c r="N995">
        <v>2308772934</v>
      </c>
      <c r="O995">
        <v>1874988924</v>
      </c>
      <c r="P995">
        <v>664</v>
      </c>
      <c r="Q995" t="s">
        <v>2243</v>
      </c>
    </row>
    <row r="996" spans="1:17" x14ac:dyDescent="0.3">
      <c r="A996" t="s">
        <v>17</v>
      </c>
      <c r="B996" t="str">
        <f>"601696"</f>
        <v>601696</v>
      </c>
      <c r="C996" t="s">
        <v>2244</v>
      </c>
      <c r="D996" t="s">
        <v>80</v>
      </c>
      <c r="F996">
        <v>3333518749</v>
      </c>
      <c r="G996">
        <v>3244172277</v>
      </c>
      <c r="H996">
        <v>2907667568</v>
      </c>
      <c r="I996">
        <v>2755098099</v>
      </c>
      <c r="J996">
        <v>3067525846</v>
      </c>
      <c r="K996">
        <v>2830493648</v>
      </c>
      <c r="L996">
        <v>4947783600</v>
      </c>
      <c r="M996">
        <v>2578182508</v>
      </c>
      <c r="N996">
        <v>1289202881</v>
      </c>
      <c r="O996">
        <v>1413700401</v>
      </c>
      <c r="P996">
        <v>516</v>
      </c>
      <c r="Q996" t="s">
        <v>2245</v>
      </c>
    </row>
    <row r="997" spans="1:17" x14ac:dyDescent="0.3">
      <c r="A997" t="s">
        <v>17</v>
      </c>
      <c r="B997" t="str">
        <f>"601698"</f>
        <v>601698</v>
      </c>
      <c r="C997" t="s">
        <v>2246</v>
      </c>
      <c r="D997" t="s">
        <v>284</v>
      </c>
      <c r="F997">
        <v>2634240069</v>
      </c>
      <c r="G997">
        <v>2710300290</v>
      </c>
      <c r="H997">
        <v>2734192646</v>
      </c>
      <c r="I997">
        <v>2693985489</v>
      </c>
      <c r="J997">
        <v>2620834739</v>
      </c>
      <c r="K997">
        <v>2475936522</v>
      </c>
      <c r="P997">
        <v>316</v>
      </c>
      <c r="Q997" t="s">
        <v>2247</v>
      </c>
    </row>
    <row r="998" spans="1:17" x14ac:dyDescent="0.3">
      <c r="A998" t="s">
        <v>17</v>
      </c>
      <c r="B998" t="str">
        <f>"601699"</f>
        <v>601699</v>
      </c>
      <c r="C998" t="s">
        <v>2248</v>
      </c>
      <c r="D998" t="s">
        <v>298</v>
      </c>
      <c r="F998">
        <v>45147436486</v>
      </c>
      <c r="G998">
        <v>25972437267</v>
      </c>
      <c r="H998">
        <v>26791159017</v>
      </c>
      <c r="I998">
        <v>25139575484</v>
      </c>
      <c r="J998">
        <v>23543556035</v>
      </c>
      <c r="K998">
        <v>14229368335</v>
      </c>
      <c r="L998">
        <v>11155397237</v>
      </c>
      <c r="M998">
        <v>16030317622</v>
      </c>
      <c r="N998">
        <v>19199966280</v>
      </c>
      <c r="O998">
        <v>20065299075</v>
      </c>
      <c r="P998">
        <v>789</v>
      </c>
      <c r="Q998" t="s">
        <v>2249</v>
      </c>
    </row>
    <row r="999" spans="1:17" x14ac:dyDescent="0.3">
      <c r="A999" t="s">
        <v>17</v>
      </c>
      <c r="B999" t="str">
        <f>"601700"</f>
        <v>601700</v>
      </c>
      <c r="C999" t="s">
        <v>2250</v>
      </c>
      <c r="D999" t="s">
        <v>1164</v>
      </c>
      <c r="F999">
        <v>3197631035</v>
      </c>
      <c r="G999">
        <v>2600522073</v>
      </c>
      <c r="H999">
        <v>2940367596</v>
      </c>
      <c r="I999">
        <v>1993834407</v>
      </c>
      <c r="J999">
        <v>2206938468</v>
      </c>
      <c r="K999">
        <v>2514066688</v>
      </c>
      <c r="L999">
        <v>2781438795</v>
      </c>
      <c r="M999">
        <v>2353518540</v>
      </c>
      <c r="N999">
        <v>1830281156</v>
      </c>
      <c r="O999">
        <v>1652058169</v>
      </c>
      <c r="P999">
        <v>126</v>
      </c>
      <c r="Q999" t="s">
        <v>2251</v>
      </c>
    </row>
    <row r="1000" spans="1:17" x14ac:dyDescent="0.3">
      <c r="A1000" t="s">
        <v>17</v>
      </c>
      <c r="B1000" t="str">
        <f>"601702"</f>
        <v>601702</v>
      </c>
      <c r="C1000" t="s">
        <v>2252</v>
      </c>
      <c r="D1000" t="s">
        <v>504</v>
      </c>
      <c r="F1000">
        <v>6448633971</v>
      </c>
      <c r="G1000">
        <v>4066889854</v>
      </c>
      <c r="H1000">
        <v>3590436564</v>
      </c>
      <c r="I1000">
        <v>3416328473</v>
      </c>
      <c r="J1000">
        <v>3229468283</v>
      </c>
      <c r="P1000">
        <v>116</v>
      </c>
      <c r="Q1000" t="s">
        <v>2253</v>
      </c>
    </row>
    <row r="1001" spans="1:17" x14ac:dyDescent="0.3">
      <c r="A1001" t="s">
        <v>17</v>
      </c>
      <c r="B1001" t="str">
        <f>"601717"</f>
        <v>601717</v>
      </c>
      <c r="C1001" t="s">
        <v>2254</v>
      </c>
      <c r="D1001" t="s">
        <v>395</v>
      </c>
      <c r="F1001">
        <v>29274621160</v>
      </c>
      <c r="G1001">
        <v>26508663495</v>
      </c>
      <c r="H1001">
        <v>25721227170</v>
      </c>
      <c r="I1001">
        <v>26011729866</v>
      </c>
      <c r="J1001">
        <v>7547671228</v>
      </c>
      <c r="K1001">
        <v>3628529681</v>
      </c>
      <c r="L1001">
        <v>4510857762</v>
      </c>
      <c r="M1001">
        <v>6124456872</v>
      </c>
      <c r="N1001">
        <v>8055310630</v>
      </c>
      <c r="O1001">
        <v>10212853802</v>
      </c>
      <c r="P1001">
        <v>318</v>
      </c>
      <c r="Q1001" t="s">
        <v>2255</v>
      </c>
    </row>
    <row r="1002" spans="1:17" x14ac:dyDescent="0.3">
      <c r="A1002" t="s">
        <v>17</v>
      </c>
      <c r="B1002" t="str">
        <f>"601718"</f>
        <v>601718</v>
      </c>
      <c r="C1002" t="s">
        <v>2256</v>
      </c>
      <c r="D1002" t="s">
        <v>255</v>
      </c>
      <c r="F1002">
        <v>15494007305</v>
      </c>
      <c r="G1002">
        <v>14953715999</v>
      </c>
      <c r="H1002">
        <v>21153516464</v>
      </c>
      <c r="I1002">
        <v>22677038175</v>
      </c>
      <c r="J1002">
        <v>25439989780</v>
      </c>
      <c r="K1002">
        <v>27155336327</v>
      </c>
      <c r="L1002">
        <v>22437561341</v>
      </c>
      <c r="M1002">
        <v>22241228833</v>
      </c>
      <c r="N1002">
        <v>26717965434</v>
      </c>
      <c r="O1002">
        <v>26486387352</v>
      </c>
      <c r="P1002">
        <v>180</v>
      </c>
      <c r="Q1002" t="s">
        <v>2257</v>
      </c>
    </row>
    <row r="1003" spans="1:17" x14ac:dyDescent="0.3">
      <c r="A1003" t="s">
        <v>17</v>
      </c>
      <c r="B1003" t="str">
        <f>"601727"</f>
        <v>601727</v>
      </c>
      <c r="C1003" t="s">
        <v>2258</v>
      </c>
      <c r="D1003" t="s">
        <v>973</v>
      </c>
      <c r="F1003">
        <v>130681450000</v>
      </c>
      <c r="G1003">
        <v>136540320000</v>
      </c>
      <c r="H1003">
        <v>126647718000</v>
      </c>
      <c r="I1003">
        <v>101157525000</v>
      </c>
      <c r="J1003">
        <v>79543794000</v>
      </c>
      <c r="K1003">
        <v>79078361000</v>
      </c>
      <c r="L1003">
        <v>78009448000</v>
      </c>
      <c r="M1003">
        <v>76784516000</v>
      </c>
      <c r="N1003">
        <v>79214931000</v>
      </c>
      <c r="O1003">
        <v>77076743000</v>
      </c>
      <c r="P1003">
        <v>551</v>
      </c>
      <c r="Q1003" t="s">
        <v>2259</v>
      </c>
    </row>
    <row r="1004" spans="1:17" x14ac:dyDescent="0.3">
      <c r="A1004" t="s">
        <v>17</v>
      </c>
      <c r="B1004" t="str">
        <f>"601728"</f>
        <v>601728</v>
      </c>
      <c r="C1004" t="s">
        <v>2260</v>
      </c>
      <c r="D1004" t="s">
        <v>107</v>
      </c>
      <c r="F1004">
        <v>434158923222</v>
      </c>
      <c r="G1004">
        <v>389939000000</v>
      </c>
      <c r="H1004">
        <v>372200000000</v>
      </c>
      <c r="I1004">
        <v>374929000000</v>
      </c>
      <c r="P1004">
        <v>144</v>
      </c>
      <c r="Q1004" t="s">
        <v>2261</v>
      </c>
    </row>
    <row r="1005" spans="1:17" x14ac:dyDescent="0.3">
      <c r="A1005" t="s">
        <v>17</v>
      </c>
      <c r="B1005" t="str">
        <f>"601766"</f>
        <v>601766</v>
      </c>
      <c r="C1005" t="s">
        <v>2262</v>
      </c>
      <c r="D1005" t="s">
        <v>1012</v>
      </c>
      <c r="F1005">
        <v>225731755000</v>
      </c>
      <c r="G1005">
        <v>227656041000</v>
      </c>
      <c r="H1005">
        <v>229010833000</v>
      </c>
      <c r="I1005">
        <v>219082641000</v>
      </c>
      <c r="J1005">
        <v>211012560000</v>
      </c>
      <c r="K1005">
        <v>229722154000</v>
      </c>
      <c r="L1005">
        <v>241912636000</v>
      </c>
      <c r="M1005">
        <v>119724268768</v>
      </c>
      <c r="N1005">
        <v>97886299540</v>
      </c>
      <c r="O1005">
        <v>90456242248</v>
      </c>
      <c r="P1005">
        <v>1205</v>
      </c>
      <c r="Q1005" t="s">
        <v>2263</v>
      </c>
    </row>
    <row r="1006" spans="1:17" x14ac:dyDescent="0.3">
      <c r="A1006" t="s">
        <v>17</v>
      </c>
      <c r="B1006" t="str">
        <f>"601777"</f>
        <v>601777</v>
      </c>
      <c r="C1006" t="s">
        <v>2264</v>
      </c>
      <c r="D1006" t="s">
        <v>1656</v>
      </c>
      <c r="F1006">
        <v>3977224819</v>
      </c>
      <c r="G1006">
        <v>3637106063</v>
      </c>
      <c r="H1006">
        <v>7449773247</v>
      </c>
      <c r="I1006">
        <v>11013014456</v>
      </c>
      <c r="J1006">
        <v>12600443527</v>
      </c>
      <c r="K1006">
        <v>11046668574</v>
      </c>
      <c r="L1006">
        <v>12411109766</v>
      </c>
      <c r="M1006">
        <v>11416748433</v>
      </c>
      <c r="N1006">
        <v>10073236943</v>
      </c>
      <c r="O1006">
        <v>8678739437</v>
      </c>
      <c r="P1006">
        <v>154</v>
      </c>
      <c r="Q1006" t="s">
        <v>2265</v>
      </c>
    </row>
    <row r="1007" spans="1:17" x14ac:dyDescent="0.3">
      <c r="A1007" t="s">
        <v>17</v>
      </c>
      <c r="B1007" t="str">
        <f>"601778"</f>
        <v>601778</v>
      </c>
      <c r="C1007" t="s">
        <v>2266</v>
      </c>
      <c r="D1007" t="s">
        <v>86</v>
      </c>
      <c r="F1007">
        <v>3674953567</v>
      </c>
      <c r="G1007">
        <v>3587511364</v>
      </c>
      <c r="H1007">
        <v>5339804503</v>
      </c>
      <c r="I1007">
        <v>7066146820</v>
      </c>
      <c r="J1007">
        <v>4053108785</v>
      </c>
      <c r="K1007">
        <v>1858062898</v>
      </c>
      <c r="P1007">
        <v>221</v>
      </c>
      <c r="Q1007" t="s">
        <v>2267</v>
      </c>
    </row>
    <row r="1008" spans="1:17" x14ac:dyDescent="0.3">
      <c r="A1008" t="s">
        <v>17</v>
      </c>
      <c r="B1008" t="str">
        <f>"601788"</f>
        <v>601788</v>
      </c>
      <c r="C1008" t="s">
        <v>2268</v>
      </c>
      <c r="D1008" t="s">
        <v>80</v>
      </c>
      <c r="F1008">
        <v>16706575061</v>
      </c>
      <c r="G1008">
        <v>15866343426</v>
      </c>
      <c r="H1008">
        <v>10057362379</v>
      </c>
      <c r="I1008">
        <v>7712277102</v>
      </c>
      <c r="J1008">
        <v>9838147762</v>
      </c>
      <c r="K1008">
        <v>9164639103</v>
      </c>
      <c r="L1008">
        <v>16571087247</v>
      </c>
      <c r="M1008">
        <v>6601422930</v>
      </c>
      <c r="N1008">
        <v>4019544555</v>
      </c>
      <c r="O1008">
        <v>3651701016</v>
      </c>
      <c r="P1008">
        <v>1151</v>
      </c>
      <c r="Q1008" t="s">
        <v>2269</v>
      </c>
    </row>
    <row r="1009" spans="1:17" x14ac:dyDescent="0.3">
      <c r="A1009" t="s">
        <v>17</v>
      </c>
      <c r="B1009" t="str">
        <f>"601789"</f>
        <v>601789</v>
      </c>
      <c r="C1009" t="s">
        <v>2270</v>
      </c>
      <c r="D1009" t="s">
        <v>398</v>
      </c>
      <c r="F1009">
        <v>21320191631</v>
      </c>
      <c r="G1009">
        <v>19796854241</v>
      </c>
      <c r="H1009">
        <v>18555432816</v>
      </c>
      <c r="I1009">
        <v>15541863955</v>
      </c>
      <c r="J1009">
        <v>14746271174</v>
      </c>
      <c r="K1009">
        <v>13695796803</v>
      </c>
      <c r="L1009">
        <v>13276230505</v>
      </c>
      <c r="M1009">
        <v>13644421864</v>
      </c>
      <c r="N1009">
        <v>13499325426</v>
      </c>
      <c r="O1009">
        <v>9476811282</v>
      </c>
      <c r="P1009">
        <v>147</v>
      </c>
      <c r="Q1009" t="s">
        <v>2271</v>
      </c>
    </row>
    <row r="1010" spans="1:17" x14ac:dyDescent="0.3">
      <c r="A1010" t="s">
        <v>17</v>
      </c>
      <c r="B1010" t="str">
        <f>"601798"</f>
        <v>601798</v>
      </c>
      <c r="C1010" t="s">
        <v>2272</v>
      </c>
      <c r="D1010" t="s">
        <v>395</v>
      </c>
      <c r="F1010">
        <v>831883166</v>
      </c>
      <c r="G1010">
        <v>1180110913</v>
      </c>
      <c r="H1010">
        <v>1079406129</v>
      </c>
      <c r="I1010">
        <v>804271663</v>
      </c>
      <c r="J1010">
        <v>752320304</v>
      </c>
      <c r="K1010">
        <v>554760691</v>
      </c>
      <c r="L1010">
        <v>735213196</v>
      </c>
      <c r="M1010">
        <v>864670986</v>
      </c>
      <c r="N1010">
        <v>917383538</v>
      </c>
      <c r="O1010">
        <v>847892938</v>
      </c>
      <c r="P1010">
        <v>77</v>
      </c>
      <c r="Q1010" t="s">
        <v>2273</v>
      </c>
    </row>
    <row r="1011" spans="1:17" x14ac:dyDescent="0.3">
      <c r="A1011" t="s">
        <v>17</v>
      </c>
      <c r="B1011" t="str">
        <f>"601799"</f>
        <v>601799</v>
      </c>
      <c r="C1011" t="s">
        <v>2274</v>
      </c>
      <c r="D1011" t="s">
        <v>1415</v>
      </c>
      <c r="F1011">
        <v>7909449648</v>
      </c>
      <c r="G1011">
        <v>7322715090</v>
      </c>
      <c r="H1011">
        <v>6091798417</v>
      </c>
      <c r="I1011">
        <v>5074067281</v>
      </c>
      <c r="J1011">
        <v>4255416130</v>
      </c>
      <c r="K1011">
        <v>3346892487</v>
      </c>
      <c r="L1011">
        <v>2467518343</v>
      </c>
      <c r="M1011">
        <v>2016023653</v>
      </c>
      <c r="N1011">
        <v>1632303141</v>
      </c>
      <c r="O1011">
        <v>1318161828</v>
      </c>
      <c r="P1011">
        <v>1012</v>
      </c>
      <c r="Q1011" t="s">
        <v>2275</v>
      </c>
    </row>
    <row r="1012" spans="1:17" x14ac:dyDescent="0.3">
      <c r="A1012" t="s">
        <v>17</v>
      </c>
      <c r="B1012" t="str">
        <f>"601800"</f>
        <v>601800</v>
      </c>
      <c r="C1012" t="s">
        <v>2276</v>
      </c>
      <c r="D1012" t="s">
        <v>101</v>
      </c>
      <c r="F1012">
        <v>685638999783</v>
      </c>
      <c r="G1012">
        <v>627586194472</v>
      </c>
      <c r="H1012">
        <v>554792365252</v>
      </c>
      <c r="I1012">
        <v>490872128295</v>
      </c>
      <c r="J1012">
        <v>482804341572</v>
      </c>
      <c r="K1012">
        <v>431743429819</v>
      </c>
      <c r="L1012">
        <v>404420451987</v>
      </c>
      <c r="M1012">
        <v>366673233953</v>
      </c>
      <c r="N1012">
        <v>332486765232</v>
      </c>
      <c r="O1012">
        <v>296227385321</v>
      </c>
      <c r="P1012">
        <v>899</v>
      </c>
      <c r="Q1012" t="s">
        <v>2277</v>
      </c>
    </row>
    <row r="1013" spans="1:17" x14ac:dyDescent="0.3">
      <c r="A1013" t="s">
        <v>17</v>
      </c>
      <c r="B1013" t="str">
        <f>"601801"</f>
        <v>601801</v>
      </c>
      <c r="C1013" t="s">
        <v>2278</v>
      </c>
      <c r="D1013" t="s">
        <v>525</v>
      </c>
      <c r="F1013">
        <v>10111755212</v>
      </c>
      <c r="G1013">
        <v>8850886617</v>
      </c>
      <c r="H1013">
        <v>8832683701</v>
      </c>
      <c r="I1013">
        <v>9831955517</v>
      </c>
      <c r="J1013">
        <v>8709511777</v>
      </c>
      <c r="K1013">
        <v>7593532197</v>
      </c>
      <c r="L1013">
        <v>6581342430</v>
      </c>
      <c r="M1013">
        <v>5744678576</v>
      </c>
      <c r="N1013">
        <v>4595756211</v>
      </c>
      <c r="O1013">
        <v>3643115128</v>
      </c>
      <c r="P1013">
        <v>267</v>
      </c>
      <c r="Q1013" t="s">
        <v>2279</v>
      </c>
    </row>
    <row r="1014" spans="1:17" x14ac:dyDescent="0.3">
      <c r="A1014" t="s">
        <v>17</v>
      </c>
      <c r="B1014" t="str">
        <f>"601808"</f>
        <v>601808</v>
      </c>
      <c r="C1014" t="s">
        <v>2280</v>
      </c>
      <c r="D1014" t="s">
        <v>1762</v>
      </c>
      <c r="F1014">
        <v>29203002067</v>
      </c>
      <c r="G1014">
        <v>28959198513</v>
      </c>
      <c r="H1014">
        <v>31135149996</v>
      </c>
      <c r="I1014">
        <v>21945877580</v>
      </c>
      <c r="J1014">
        <v>17436414048</v>
      </c>
      <c r="K1014">
        <v>15152185410</v>
      </c>
      <c r="L1014">
        <v>23653980112</v>
      </c>
      <c r="M1014">
        <v>33720185311</v>
      </c>
      <c r="N1014">
        <v>27957934826</v>
      </c>
      <c r="O1014">
        <v>22628517876</v>
      </c>
      <c r="P1014">
        <v>411</v>
      </c>
      <c r="Q1014" t="s">
        <v>2281</v>
      </c>
    </row>
    <row r="1015" spans="1:17" x14ac:dyDescent="0.3">
      <c r="A1015" t="s">
        <v>17</v>
      </c>
      <c r="B1015" t="str">
        <f>"601811"</f>
        <v>601811</v>
      </c>
      <c r="C1015" t="s">
        <v>2282</v>
      </c>
      <c r="D1015" t="s">
        <v>1536</v>
      </c>
      <c r="F1015">
        <v>10460363984</v>
      </c>
      <c r="G1015">
        <v>9008056554</v>
      </c>
      <c r="H1015">
        <v>8842457724</v>
      </c>
      <c r="I1015">
        <v>8186582967</v>
      </c>
      <c r="J1015">
        <v>7345882958</v>
      </c>
      <c r="K1015">
        <v>6356168113</v>
      </c>
      <c r="L1015">
        <v>5732693142</v>
      </c>
      <c r="M1015">
        <v>5415704309</v>
      </c>
      <c r="N1015">
        <v>5298262276</v>
      </c>
      <c r="P1015">
        <v>276</v>
      </c>
      <c r="Q1015" t="s">
        <v>2283</v>
      </c>
    </row>
    <row r="1016" spans="1:17" x14ac:dyDescent="0.3">
      <c r="A1016" t="s">
        <v>17</v>
      </c>
      <c r="B1016" t="str">
        <f>"601816"</f>
        <v>601816</v>
      </c>
      <c r="C1016" t="s">
        <v>2284</v>
      </c>
      <c r="D1016" t="s">
        <v>301</v>
      </c>
      <c r="F1016">
        <v>29304780634</v>
      </c>
      <c r="G1016">
        <v>25238431431</v>
      </c>
      <c r="H1016">
        <v>32942166555</v>
      </c>
      <c r="I1016">
        <v>31158421590</v>
      </c>
      <c r="J1016">
        <v>29555409435</v>
      </c>
      <c r="K1016">
        <v>26257617160</v>
      </c>
      <c r="P1016">
        <v>977</v>
      </c>
      <c r="Q1016" t="s">
        <v>2285</v>
      </c>
    </row>
    <row r="1017" spans="1:17" x14ac:dyDescent="0.3">
      <c r="A1017" t="s">
        <v>17</v>
      </c>
      <c r="B1017" t="str">
        <f>"601818"</f>
        <v>601818</v>
      </c>
      <c r="C1017" t="s">
        <v>2286</v>
      </c>
      <c r="D1017" t="s">
        <v>19</v>
      </c>
      <c r="F1017">
        <v>152751000000</v>
      </c>
      <c r="G1017">
        <v>142479000000</v>
      </c>
      <c r="H1017">
        <v>132812000000</v>
      </c>
      <c r="I1017">
        <v>110244000000</v>
      </c>
      <c r="J1017">
        <v>91850000000</v>
      </c>
      <c r="K1017">
        <v>94037000000</v>
      </c>
      <c r="L1017">
        <v>93159000000</v>
      </c>
      <c r="M1017">
        <v>78531000000</v>
      </c>
      <c r="N1017">
        <v>65306000000</v>
      </c>
      <c r="O1017">
        <v>59916000000</v>
      </c>
      <c r="P1017">
        <v>15856</v>
      </c>
      <c r="Q1017" t="s">
        <v>2287</v>
      </c>
    </row>
    <row r="1018" spans="1:17" x14ac:dyDescent="0.3">
      <c r="A1018" t="s">
        <v>17</v>
      </c>
      <c r="B1018" t="str">
        <f>"601825"</f>
        <v>601825</v>
      </c>
      <c r="C1018" t="s">
        <v>2288</v>
      </c>
      <c r="D1018" t="s">
        <v>1831</v>
      </c>
      <c r="F1018">
        <v>24164319000</v>
      </c>
      <c r="G1018">
        <v>22039556000</v>
      </c>
      <c r="H1018">
        <v>21271299000</v>
      </c>
      <c r="I1018">
        <v>20145482000</v>
      </c>
      <c r="J1018">
        <v>17920775000</v>
      </c>
      <c r="P1018">
        <v>57</v>
      </c>
      <c r="Q1018" t="s">
        <v>2289</v>
      </c>
    </row>
    <row r="1019" spans="1:17" x14ac:dyDescent="0.3">
      <c r="A1019" t="s">
        <v>17</v>
      </c>
      <c r="B1019" t="str">
        <f>"601827"</f>
        <v>601827</v>
      </c>
      <c r="C1019" t="s">
        <v>2290</v>
      </c>
      <c r="D1019" t="s">
        <v>499</v>
      </c>
      <c r="F1019">
        <v>5873816417</v>
      </c>
      <c r="G1019">
        <v>4929218765</v>
      </c>
      <c r="H1019">
        <v>4363985032</v>
      </c>
      <c r="I1019">
        <v>3432770954</v>
      </c>
      <c r="J1019">
        <v>2969990577</v>
      </c>
      <c r="P1019">
        <v>143</v>
      </c>
      <c r="Q1019" t="s">
        <v>2291</v>
      </c>
    </row>
    <row r="1020" spans="1:17" x14ac:dyDescent="0.3">
      <c r="A1020" t="s">
        <v>17</v>
      </c>
      <c r="B1020" t="str">
        <f>"601828"</f>
        <v>601828</v>
      </c>
      <c r="C1020" t="s">
        <v>2292</v>
      </c>
      <c r="D1020" t="s">
        <v>271</v>
      </c>
      <c r="F1020">
        <v>15512792216</v>
      </c>
      <c r="G1020">
        <v>14236460099</v>
      </c>
      <c r="H1020">
        <v>16469237789</v>
      </c>
      <c r="I1020">
        <v>14239792500</v>
      </c>
      <c r="J1020">
        <v>10959512670</v>
      </c>
      <c r="K1020">
        <v>9436081755</v>
      </c>
      <c r="L1020">
        <v>9178569367</v>
      </c>
      <c r="M1020">
        <v>8332036060</v>
      </c>
      <c r="P1020">
        <v>351</v>
      </c>
      <c r="Q1020" t="s">
        <v>2293</v>
      </c>
    </row>
    <row r="1021" spans="1:17" x14ac:dyDescent="0.3">
      <c r="A1021" t="s">
        <v>17</v>
      </c>
      <c r="B1021" t="str">
        <f>"601838"</f>
        <v>601838</v>
      </c>
      <c r="C1021" t="s">
        <v>2294</v>
      </c>
      <c r="D1021" t="s">
        <v>1842</v>
      </c>
      <c r="F1021">
        <v>17890495000</v>
      </c>
      <c r="G1021">
        <v>14599609000</v>
      </c>
      <c r="H1021">
        <v>12725060000</v>
      </c>
      <c r="I1021">
        <v>11590132000</v>
      </c>
      <c r="J1021">
        <v>9654118000</v>
      </c>
      <c r="K1021">
        <v>8610388000</v>
      </c>
      <c r="L1021">
        <v>8958755000</v>
      </c>
      <c r="M1021">
        <v>9131291000</v>
      </c>
      <c r="N1021">
        <v>7068263000</v>
      </c>
      <c r="O1021">
        <v>5621215000</v>
      </c>
      <c r="P1021">
        <v>1326</v>
      </c>
      <c r="Q1021" t="s">
        <v>2295</v>
      </c>
    </row>
    <row r="1022" spans="1:17" x14ac:dyDescent="0.3">
      <c r="A1022" t="s">
        <v>17</v>
      </c>
      <c r="B1022" t="str">
        <f>"601857"</f>
        <v>601857</v>
      </c>
      <c r="C1022" t="s">
        <v>2296</v>
      </c>
      <c r="D1022" t="s">
        <v>74</v>
      </c>
      <c r="F1022">
        <v>2614349000000</v>
      </c>
      <c r="G1022">
        <v>1933836000000</v>
      </c>
      <c r="H1022">
        <v>2516810000000</v>
      </c>
      <c r="I1022">
        <v>2353588000000</v>
      </c>
      <c r="J1022">
        <v>2015890000000</v>
      </c>
      <c r="K1022">
        <v>1616903000000</v>
      </c>
      <c r="L1022">
        <v>1725428000000</v>
      </c>
      <c r="M1022">
        <v>2282962000000</v>
      </c>
      <c r="N1022">
        <v>2258124000000</v>
      </c>
      <c r="O1022">
        <v>2195296000000</v>
      </c>
      <c r="P1022">
        <v>1280</v>
      </c>
      <c r="Q1022" t="s">
        <v>2297</v>
      </c>
    </row>
    <row r="1023" spans="1:17" x14ac:dyDescent="0.3">
      <c r="A1023" t="s">
        <v>17</v>
      </c>
      <c r="B1023" t="str">
        <f>"601858"</f>
        <v>601858</v>
      </c>
      <c r="C1023" t="s">
        <v>2298</v>
      </c>
      <c r="D1023" t="s">
        <v>525</v>
      </c>
      <c r="F1023">
        <v>2633173119</v>
      </c>
      <c r="G1023">
        <v>2523935648</v>
      </c>
      <c r="H1023">
        <v>2508101676</v>
      </c>
      <c r="I1023">
        <v>2224796995</v>
      </c>
      <c r="J1023">
        <v>2010570725</v>
      </c>
      <c r="K1023">
        <v>1797557361</v>
      </c>
      <c r="L1023">
        <v>1603138399</v>
      </c>
      <c r="M1023">
        <v>1424349413</v>
      </c>
      <c r="N1023">
        <v>1354478461</v>
      </c>
      <c r="P1023">
        <v>178</v>
      </c>
      <c r="Q1023" t="s">
        <v>2299</v>
      </c>
    </row>
    <row r="1024" spans="1:17" x14ac:dyDescent="0.3">
      <c r="A1024" t="s">
        <v>17</v>
      </c>
      <c r="B1024" t="str">
        <f>"601860"</f>
        <v>601860</v>
      </c>
      <c r="C1024" t="s">
        <v>2300</v>
      </c>
      <c r="D1024" t="s">
        <v>1831</v>
      </c>
      <c r="F1024">
        <v>4502101000</v>
      </c>
      <c r="G1024">
        <v>4476750000</v>
      </c>
      <c r="H1024">
        <v>4675227000</v>
      </c>
      <c r="I1024">
        <v>4229564584</v>
      </c>
      <c r="J1024">
        <v>3622064274</v>
      </c>
      <c r="K1024">
        <v>3441666593</v>
      </c>
      <c r="L1024">
        <v>2942586970</v>
      </c>
      <c r="M1024">
        <v>2486356000</v>
      </c>
      <c r="N1024">
        <v>2154421000</v>
      </c>
      <c r="O1024">
        <v>1922804889</v>
      </c>
      <c r="P1024">
        <v>332</v>
      </c>
      <c r="Q1024" t="s">
        <v>2301</v>
      </c>
    </row>
    <row r="1025" spans="1:17" x14ac:dyDescent="0.3">
      <c r="A1025" t="s">
        <v>17</v>
      </c>
      <c r="B1025" t="str">
        <f>"601865"</f>
        <v>601865</v>
      </c>
      <c r="C1025" t="s">
        <v>2302</v>
      </c>
      <c r="D1025" t="s">
        <v>478</v>
      </c>
      <c r="F1025">
        <v>8713228066</v>
      </c>
      <c r="G1025">
        <v>6260417792</v>
      </c>
      <c r="H1025">
        <v>4806804021</v>
      </c>
      <c r="I1025">
        <v>3063802709</v>
      </c>
      <c r="J1025">
        <v>2991497044</v>
      </c>
      <c r="K1025">
        <v>2967520842</v>
      </c>
      <c r="L1025">
        <v>2924294395</v>
      </c>
      <c r="P1025">
        <v>925</v>
      </c>
      <c r="Q1025" t="s">
        <v>2303</v>
      </c>
    </row>
    <row r="1026" spans="1:17" x14ac:dyDescent="0.3">
      <c r="A1026" t="s">
        <v>17</v>
      </c>
      <c r="B1026" t="str">
        <f>"601866"</f>
        <v>601866</v>
      </c>
      <c r="C1026" t="s">
        <v>2304</v>
      </c>
      <c r="D1026" t="s">
        <v>69</v>
      </c>
      <c r="F1026">
        <v>37118371040</v>
      </c>
      <c r="G1026">
        <v>18941312104</v>
      </c>
      <c r="H1026">
        <v>14189172790</v>
      </c>
      <c r="I1026">
        <v>16337862936</v>
      </c>
      <c r="J1026">
        <v>15940338737</v>
      </c>
      <c r="K1026">
        <v>15636333570</v>
      </c>
      <c r="L1026">
        <v>31861468555</v>
      </c>
      <c r="M1026">
        <v>36233482180</v>
      </c>
      <c r="N1026">
        <v>34341019224</v>
      </c>
      <c r="O1026">
        <v>32581264253</v>
      </c>
      <c r="P1026">
        <v>335</v>
      </c>
      <c r="Q1026" t="s">
        <v>2305</v>
      </c>
    </row>
    <row r="1027" spans="1:17" x14ac:dyDescent="0.3">
      <c r="A1027" t="s">
        <v>17</v>
      </c>
      <c r="B1027" t="str">
        <f>"601868"</f>
        <v>601868</v>
      </c>
      <c r="C1027" t="s">
        <v>2306</v>
      </c>
      <c r="D1027" t="s">
        <v>101</v>
      </c>
      <c r="F1027">
        <v>322318565000</v>
      </c>
      <c r="P1027">
        <v>152</v>
      </c>
      <c r="Q1027" t="s">
        <v>2307</v>
      </c>
    </row>
    <row r="1028" spans="1:17" x14ac:dyDescent="0.3">
      <c r="A1028" t="s">
        <v>17</v>
      </c>
      <c r="B1028" t="str">
        <f>"601869"</f>
        <v>601869</v>
      </c>
      <c r="C1028" t="s">
        <v>2308</v>
      </c>
      <c r="D1028" t="s">
        <v>250</v>
      </c>
      <c r="F1028">
        <v>9536075578</v>
      </c>
      <c r="G1028">
        <v>8221542967</v>
      </c>
      <c r="H1028">
        <v>7769175495</v>
      </c>
      <c r="I1028">
        <v>11359764086</v>
      </c>
      <c r="J1028">
        <v>10366083659</v>
      </c>
      <c r="K1028">
        <v>8111495124</v>
      </c>
      <c r="L1028">
        <v>6737836235</v>
      </c>
      <c r="P1028">
        <v>403</v>
      </c>
      <c r="Q1028" t="s">
        <v>2309</v>
      </c>
    </row>
    <row r="1029" spans="1:17" x14ac:dyDescent="0.3">
      <c r="A1029" t="s">
        <v>17</v>
      </c>
      <c r="B1029" t="str">
        <f>"601872"</f>
        <v>601872</v>
      </c>
      <c r="C1029" t="s">
        <v>2310</v>
      </c>
      <c r="D1029" t="s">
        <v>69</v>
      </c>
      <c r="F1029">
        <v>24412230326</v>
      </c>
      <c r="G1029">
        <v>18072932622</v>
      </c>
      <c r="H1029">
        <v>14556413048</v>
      </c>
      <c r="I1029">
        <v>10931097410</v>
      </c>
      <c r="J1029">
        <v>6095349579</v>
      </c>
      <c r="K1029">
        <v>6025067279</v>
      </c>
      <c r="L1029">
        <v>6157025503</v>
      </c>
      <c r="M1029">
        <v>2602150349</v>
      </c>
      <c r="N1029">
        <v>2566876947</v>
      </c>
      <c r="O1029">
        <v>2869584030</v>
      </c>
      <c r="P1029">
        <v>572</v>
      </c>
      <c r="Q1029" t="s">
        <v>2311</v>
      </c>
    </row>
    <row r="1030" spans="1:17" x14ac:dyDescent="0.3">
      <c r="A1030" t="s">
        <v>17</v>
      </c>
      <c r="B1030" t="str">
        <f>"601877"</f>
        <v>601877</v>
      </c>
      <c r="C1030" t="s">
        <v>2312</v>
      </c>
      <c r="D1030" t="s">
        <v>657</v>
      </c>
      <c r="F1030">
        <v>38864623648</v>
      </c>
      <c r="G1030">
        <v>33253062099</v>
      </c>
      <c r="H1030">
        <v>30225906278</v>
      </c>
      <c r="I1030">
        <v>27420832738</v>
      </c>
      <c r="J1030">
        <v>23416550017</v>
      </c>
      <c r="K1030">
        <v>20164545253</v>
      </c>
      <c r="L1030">
        <v>12026466468</v>
      </c>
      <c r="M1030">
        <v>12767230041</v>
      </c>
      <c r="N1030">
        <v>11956507239</v>
      </c>
      <c r="O1030">
        <v>10703163376</v>
      </c>
      <c r="P1030">
        <v>34820</v>
      </c>
      <c r="Q1030" t="s">
        <v>2313</v>
      </c>
    </row>
    <row r="1031" spans="1:17" x14ac:dyDescent="0.3">
      <c r="A1031" t="s">
        <v>17</v>
      </c>
      <c r="B1031" t="str">
        <f>"601878"</f>
        <v>601878</v>
      </c>
      <c r="C1031" t="s">
        <v>2314</v>
      </c>
      <c r="D1031" t="s">
        <v>80</v>
      </c>
      <c r="F1031">
        <v>16418113013</v>
      </c>
      <c r="G1031">
        <v>10636513832</v>
      </c>
      <c r="H1031">
        <v>5659478638</v>
      </c>
      <c r="I1031">
        <v>3694801371</v>
      </c>
      <c r="J1031">
        <v>4610612404</v>
      </c>
      <c r="K1031">
        <v>4594902988</v>
      </c>
      <c r="L1031">
        <v>6188903157</v>
      </c>
      <c r="M1031">
        <v>3226844444</v>
      </c>
      <c r="N1031">
        <v>1914709864.7</v>
      </c>
      <c r="O1031">
        <v>1240110612.3599999</v>
      </c>
      <c r="P1031">
        <v>842</v>
      </c>
      <c r="Q1031" t="s">
        <v>2315</v>
      </c>
    </row>
    <row r="1032" spans="1:17" x14ac:dyDescent="0.3">
      <c r="A1032" t="s">
        <v>17</v>
      </c>
      <c r="B1032" t="str">
        <f>"601880"</f>
        <v>601880</v>
      </c>
      <c r="C1032" t="s">
        <v>2316</v>
      </c>
      <c r="D1032" t="s">
        <v>51</v>
      </c>
      <c r="F1032">
        <v>12347554608</v>
      </c>
      <c r="G1032">
        <v>6657457294</v>
      </c>
      <c r="H1032">
        <v>6645907276</v>
      </c>
      <c r="I1032">
        <v>6754444902</v>
      </c>
      <c r="J1032">
        <v>9031643350</v>
      </c>
      <c r="K1032">
        <v>12814483861</v>
      </c>
      <c r="L1032">
        <v>8886167093</v>
      </c>
      <c r="M1032">
        <v>7942456229</v>
      </c>
      <c r="N1032">
        <v>6981980218</v>
      </c>
      <c r="O1032">
        <v>4644558995</v>
      </c>
      <c r="P1032">
        <v>189</v>
      </c>
      <c r="Q1032" t="s">
        <v>2317</v>
      </c>
    </row>
    <row r="1033" spans="1:17" x14ac:dyDescent="0.3">
      <c r="A1033" t="s">
        <v>17</v>
      </c>
      <c r="B1033" t="str">
        <f>"601881"</f>
        <v>601881</v>
      </c>
      <c r="C1033" t="s">
        <v>2318</v>
      </c>
      <c r="D1033" t="s">
        <v>80</v>
      </c>
      <c r="F1033">
        <v>35983985285</v>
      </c>
      <c r="G1033">
        <v>23749151575</v>
      </c>
      <c r="H1033">
        <v>17040817296</v>
      </c>
      <c r="I1033">
        <v>9925406079</v>
      </c>
      <c r="J1033">
        <v>11344192280</v>
      </c>
      <c r="K1033">
        <v>13239917401</v>
      </c>
      <c r="L1033">
        <v>26259945241</v>
      </c>
      <c r="M1033">
        <v>11412328515</v>
      </c>
      <c r="N1033">
        <v>7482309387</v>
      </c>
      <c r="O1033">
        <v>5552170900</v>
      </c>
      <c r="P1033">
        <v>1598</v>
      </c>
      <c r="Q1033" t="s">
        <v>2319</v>
      </c>
    </row>
    <row r="1034" spans="1:17" x14ac:dyDescent="0.3">
      <c r="A1034" t="s">
        <v>17</v>
      </c>
      <c r="B1034" t="str">
        <f>"601882"</f>
        <v>601882</v>
      </c>
      <c r="C1034" t="s">
        <v>2320</v>
      </c>
      <c r="D1034" t="s">
        <v>2321</v>
      </c>
      <c r="F1034">
        <v>2730486728</v>
      </c>
      <c r="G1034">
        <v>1632063155</v>
      </c>
      <c r="H1034">
        <v>1164725504</v>
      </c>
      <c r="I1034">
        <v>1272301684</v>
      </c>
      <c r="J1034">
        <v>1280873412</v>
      </c>
      <c r="K1034">
        <v>1008009637</v>
      </c>
      <c r="L1034">
        <v>991386707</v>
      </c>
      <c r="M1034">
        <v>1013940824</v>
      </c>
      <c r="N1034">
        <v>882035527</v>
      </c>
      <c r="P1034">
        <v>188</v>
      </c>
      <c r="Q1034" t="s">
        <v>2322</v>
      </c>
    </row>
    <row r="1035" spans="1:17" x14ac:dyDescent="0.3">
      <c r="A1035" t="s">
        <v>17</v>
      </c>
      <c r="B1035" t="str">
        <f>"601886"</f>
        <v>601886</v>
      </c>
      <c r="C1035" t="s">
        <v>2323</v>
      </c>
      <c r="D1035" t="s">
        <v>450</v>
      </c>
      <c r="F1035">
        <v>20789389104</v>
      </c>
      <c r="G1035">
        <v>18049964772</v>
      </c>
      <c r="H1035">
        <v>18805181164</v>
      </c>
      <c r="I1035">
        <v>16037261681</v>
      </c>
      <c r="J1035">
        <v>15296572512</v>
      </c>
      <c r="K1035">
        <v>15239585545</v>
      </c>
      <c r="L1035">
        <v>16156589575</v>
      </c>
      <c r="M1035">
        <v>15904276749</v>
      </c>
      <c r="N1035">
        <v>11902047874</v>
      </c>
      <c r="O1035">
        <v>8989204511</v>
      </c>
      <c r="P1035">
        <v>177</v>
      </c>
      <c r="Q1035" t="s">
        <v>2324</v>
      </c>
    </row>
    <row r="1036" spans="1:17" x14ac:dyDescent="0.3">
      <c r="A1036" t="s">
        <v>17</v>
      </c>
      <c r="B1036" t="str">
        <f>"601888"</f>
        <v>601888</v>
      </c>
      <c r="C1036" t="s">
        <v>2325</v>
      </c>
      <c r="D1036" t="s">
        <v>2326</v>
      </c>
      <c r="F1036">
        <v>67675515093</v>
      </c>
      <c r="G1036">
        <v>52596837908</v>
      </c>
      <c r="H1036">
        <v>47966495034</v>
      </c>
      <c r="I1036">
        <v>47007321221</v>
      </c>
      <c r="J1036">
        <v>28282286666</v>
      </c>
      <c r="K1036">
        <v>22389793667</v>
      </c>
      <c r="L1036">
        <v>21291878165</v>
      </c>
      <c r="M1036">
        <v>19935938241</v>
      </c>
      <c r="N1036">
        <v>17448188232</v>
      </c>
      <c r="O1036">
        <v>16133919928</v>
      </c>
      <c r="P1036">
        <v>6131</v>
      </c>
      <c r="Q1036" t="s">
        <v>2327</v>
      </c>
    </row>
    <row r="1037" spans="1:17" x14ac:dyDescent="0.3">
      <c r="A1037" t="s">
        <v>17</v>
      </c>
      <c r="B1037" t="str">
        <f>"601890"</f>
        <v>601890</v>
      </c>
      <c r="C1037" t="s">
        <v>2328</v>
      </c>
      <c r="D1037" t="s">
        <v>167</v>
      </c>
      <c r="F1037">
        <v>1319528496</v>
      </c>
      <c r="G1037">
        <v>1108893178</v>
      </c>
      <c r="H1037">
        <v>1284082820</v>
      </c>
      <c r="I1037">
        <v>1037512425</v>
      </c>
      <c r="J1037">
        <v>1019141117</v>
      </c>
      <c r="K1037">
        <v>1022330572</v>
      </c>
      <c r="L1037">
        <v>1499754815</v>
      </c>
      <c r="M1037">
        <v>1528029810</v>
      </c>
      <c r="N1037">
        <v>1408816717</v>
      </c>
      <c r="O1037">
        <v>1864202176</v>
      </c>
      <c r="P1037">
        <v>144</v>
      </c>
      <c r="Q1037" t="s">
        <v>2329</v>
      </c>
    </row>
    <row r="1038" spans="1:17" x14ac:dyDescent="0.3">
      <c r="A1038" t="s">
        <v>17</v>
      </c>
      <c r="B1038" t="str">
        <f>"601898"</f>
        <v>601898</v>
      </c>
      <c r="C1038" t="s">
        <v>2330</v>
      </c>
      <c r="D1038" t="s">
        <v>292</v>
      </c>
      <c r="F1038">
        <v>231127302000</v>
      </c>
      <c r="G1038">
        <v>140961304000</v>
      </c>
      <c r="H1038">
        <v>129293733000</v>
      </c>
      <c r="I1038">
        <v>104140066000</v>
      </c>
      <c r="J1038">
        <v>81123232000</v>
      </c>
      <c r="K1038">
        <v>60631613000</v>
      </c>
      <c r="L1038">
        <v>59270865000</v>
      </c>
      <c r="M1038">
        <v>70663840000</v>
      </c>
      <c r="N1038">
        <v>82316482000</v>
      </c>
      <c r="O1038">
        <v>87291670000</v>
      </c>
      <c r="P1038">
        <v>446</v>
      </c>
      <c r="Q1038" t="s">
        <v>2331</v>
      </c>
    </row>
    <row r="1039" spans="1:17" x14ac:dyDescent="0.3">
      <c r="A1039" t="s">
        <v>17</v>
      </c>
      <c r="B1039" t="str">
        <f>"601899"</f>
        <v>601899</v>
      </c>
      <c r="C1039" t="s">
        <v>2332</v>
      </c>
      <c r="D1039" t="s">
        <v>263</v>
      </c>
      <c r="F1039">
        <v>225102488592</v>
      </c>
      <c r="G1039">
        <v>171501338490</v>
      </c>
      <c r="H1039">
        <v>136097978018</v>
      </c>
      <c r="I1039">
        <v>105994246123</v>
      </c>
      <c r="J1039">
        <v>94548619098</v>
      </c>
      <c r="K1039">
        <v>78851137811</v>
      </c>
      <c r="L1039">
        <v>74303573739</v>
      </c>
      <c r="M1039">
        <v>58760533928</v>
      </c>
      <c r="N1039">
        <v>49771511898</v>
      </c>
      <c r="O1039">
        <v>48414719206</v>
      </c>
      <c r="P1039">
        <v>2402</v>
      </c>
      <c r="Q1039" t="s">
        <v>2333</v>
      </c>
    </row>
    <row r="1040" spans="1:17" x14ac:dyDescent="0.3">
      <c r="A1040" t="s">
        <v>17</v>
      </c>
      <c r="B1040" t="str">
        <f>"601900"</f>
        <v>601900</v>
      </c>
      <c r="C1040" t="s">
        <v>2334</v>
      </c>
      <c r="D1040" t="s">
        <v>1536</v>
      </c>
      <c r="F1040">
        <v>7598084561</v>
      </c>
      <c r="G1040">
        <v>6896898389</v>
      </c>
      <c r="H1040">
        <v>6525318525</v>
      </c>
      <c r="I1040">
        <v>5597419438</v>
      </c>
      <c r="J1040">
        <v>5251046867</v>
      </c>
      <c r="K1040">
        <v>4917856609</v>
      </c>
      <c r="L1040">
        <v>4601786434</v>
      </c>
      <c r="M1040">
        <v>4414481852</v>
      </c>
      <c r="N1040">
        <v>3800523095</v>
      </c>
      <c r="O1040">
        <v>3178444325</v>
      </c>
      <c r="P1040">
        <v>244</v>
      </c>
      <c r="Q1040" t="s">
        <v>2335</v>
      </c>
    </row>
    <row r="1041" spans="1:17" x14ac:dyDescent="0.3">
      <c r="A1041" t="s">
        <v>17</v>
      </c>
      <c r="B1041" t="str">
        <f>"601901"</f>
        <v>601901</v>
      </c>
      <c r="C1041" t="s">
        <v>2336</v>
      </c>
      <c r="D1041" t="s">
        <v>80</v>
      </c>
      <c r="F1041">
        <v>8621202072</v>
      </c>
      <c r="G1041">
        <v>7541809241</v>
      </c>
      <c r="H1041">
        <v>6594941981</v>
      </c>
      <c r="I1041">
        <v>5722593357</v>
      </c>
      <c r="J1041">
        <v>5952987245</v>
      </c>
      <c r="K1041">
        <v>7759896839</v>
      </c>
      <c r="L1041">
        <v>10914989707</v>
      </c>
      <c r="M1041">
        <v>4899699230</v>
      </c>
      <c r="N1041">
        <v>3441541413</v>
      </c>
      <c r="O1041">
        <v>2331624078</v>
      </c>
      <c r="P1041">
        <v>933</v>
      </c>
      <c r="Q1041" t="s">
        <v>2337</v>
      </c>
    </row>
    <row r="1042" spans="1:17" x14ac:dyDescent="0.3">
      <c r="A1042" t="s">
        <v>17</v>
      </c>
      <c r="B1042" t="str">
        <f>"601908"</f>
        <v>601908</v>
      </c>
      <c r="C1042" t="s">
        <v>2338</v>
      </c>
      <c r="D1042" t="s">
        <v>86</v>
      </c>
      <c r="F1042">
        <v>5525603628</v>
      </c>
      <c r="G1042">
        <v>4056197809</v>
      </c>
      <c r="H1042">
        <v>2057403280</v>
      </c>
      <c r="I1042">
        <v>2034043143</v>
      </c>
      <c r="J1042">
        <v>1917286735</v>
      </c>
      <c r="K1042">
        <v>1812992136</v>
      </c>
      <c r="L1042">
        <v>1582602745</v>
      </c>
      <c r="M1042">
        <v>694816342</v>
      </c>
      <c r="N1042">
        <v>465867126</v>
      </c>
      <c r="O1042">
        <v>568533025</v>
      </c>
      <c r="P1042">
        <v>318</v>
      </c>
      <c r="Q1042" t="s">
        <v>2339</v>
      </c>
    </row>
    <row r="1043" spans="1:17" x14ac:dyDescent="0.3">
      <c r="A1043" t="s">
        <v>17</v>
      </c>
      <c r="B1043" t="str">
        <f>"601916"</f>
        <v>601916</v>
      </c>
      <c r="C1043" t="s">
        <v>2340</v>
      </c>
      <c r="D1043" t="s">
        <v>19</v>
      </c>
      <c r="F1043">
        <v>54471000000</v>
      </c>
      <c r="G1043">
        <v>47703000000</v>
      </c>
      <c r="H1043">
        <v>46363909000</v>
      </c>
      <c r="I1043">
        <v>38943092000</v>
      </c>
      <c r="J1043">
        <v>34221741000</v>
      </c>
      <c r="K1043">
        <v>33501579000</v>
      </c>
      <c r="L1043">
        <v>25005488000</v>
      </c>
      <c r="M1043">
        <v>17279885000</v>
      </c>
      <c r="N1043">
        <v>13432490000</v>
      </c>
      <c r="O1043">
        <v>10421807000</v>
      </c>
      <c r="P1043">
        <v>537</v>
      </c>
      <c r="Q1043" t="s">
        <v>2341</v>
      </c>
    </row>
    <row r="1044" spans="1:17" x14ac:dyDescent="0.3">
      <c r="A1044" t="s">
        <v>17</v>
      </c>
      <c r="B1044" t="str">
        <f>"601918"</f>
        <v>601918</v>
      </c>
      <c r="C1044" t="s">
        <v>2342</v>
      </c>
      <c r="D1044" t="s">
        <v>292</v>
      </c>
      <c r="F1044">
        <v>12488590186</v>
      </c>
      <c r="G1044">
        <v>8354965441</v>
      </c>
      <c r="H1044">
        <v>9223580390</v>
      </c>
      <c r="I1044">
        <v>8750260795</v>
      </c>
      <c r="J1044">
        <v>7467475835</v>
      </c>
      <c r="K1044">
        <v>5404181016</v>
      </c>
      <c r="L1044">
        <v>4779256772</v>
      </c>
      <c r="M1044">
        <v>6562499638</v>
      </c>
      <c r="N1044">
        <v>7812147260</v>
      </c>
      <c r="O1044">
        <v>8852058531</v>
      </c>
      <c r="P1044">
        <v>237</v>
      </c>
      <c r="Q1044" t="s">
        <v>2343</v>
      </c>
    </row>
    <row r="1045" spans="1:17" x14ac:dyDescent="0.3">
      <c r="A1045" t="s">
        <v>17</v>
      </c>
      <c r="B1045" t="str">
        <f>"601919"</f>
        <v>601919</v>
      </c>
      <c r="C1045" t="s">
        <v>2344</v>
      </c>
      <c r="D1045" t="s">
        <v>69</v>
      </c>
      <c r="F1045">
        <v>333693610751</v>
      </c>
      <c r="G1045">
        <v>171258833814</v>
      </c>
      <c r="H1045">
        <v>151056682120</v>
      </c>
      <c r="I1045">
        <v>120829528788</v>
      </c>
      <c r="J1045">
        <v>90463957861</v>
      </c>
      <c r="K1045">
        <v>71160180860</v>
      </c>
      <c r="L1045">
        <v>57489919046</v>
      </c>
      <c r="M1045">
        <v>64374456246</v>
      </c>
      <c r="N1045">
        <v>61934136540</v>
      </c>
      <c r="O1045">
        <v>72056802569</v>
      </c>
      <c r="P1045">
        <v>1357</v>
      </c>
      <c r="Q1045" t="s">
        <v>2345</v>
      </c>
    </row>
    <row r="1046" spans="1:17" x14ac:dyDescent="0.3">
      <c r="A1046" t="s">
        <v>17</v>
      </c>
      <c r="B1046" t="str">
        <f>"601921"</f>
        <v>601921</v>
      </c>
      <c r="C1046" t="s">
        <v>2346</v>
      </c>
      <c r="D1046" t="s">
        <v>1536</v>
      </c>
      <c r="F1046">
        <v>11394880163</v>
      </c>
      <c r="G1046">
        <v>9807725347</v>
      </c>
      <c r="H1046">
        <v>10182774456</v>
      </c>
      <c r="I1046">
        <v>9861332071</v>
      </c>
      <c r="J1046">
        <v>9439648900</v>
      </c>
      <c r="P1046">
        <v>28</v>
      </c>
      <c r="Q1046" t="s">
        <v>2347</v>
      </c>
    </row>
    <row r="1047" spans="1:17" x14ac:dyDescent="0.3">
      <c r="A1047" t="s">
        <v>17</v>
      </c>
      <c r="B1047" t="str">
        <f>"601928"</f>
        <v>601928</v>
      </c>
      <c r="C1047" t="s">
        <v>2348</v>
      </c>
      <c r="D1047" t="s">
        <v>1536</v>
      </c>
      <c r="F1047">
        <v>12516939241</v>
      </c>
      <c r="G1047">
        <v>12134886280</v>
      </c>
      <c r="H1047">
        <v>12585443624</v>
      </c>
      <c r="I1047">
        <v>11788703231</v>
      </c>
      <c r="J1047">
        <v>11050483085</v>
      </c>
      <c r="K1047">
        <v>10546505809</v>
      </c>
      <c r="L1047">
        <v>10045840077</v>
      </c>
      <c r="M1047">
        <v>9618235544</v>
      </c>
      <c r="N1047">
        <v>7315871143</v>
      </c>
      <c r="O1047">
        <v>6705802283</v>
      </c>
      <c r="P1047">
        <v>553</v>
      </c>
      <c r="Q1047" t="s">
        <v>2349</v>
      </c>
    </row>
    <row r="1048" spans="1:17" x14ac:dyDescent="0.3">
      <c r="A1048" t="s">
        <v>17</v>
      </c>
      <c r="B1048" t="str">
        <f>"601929"</f>
        <v>601929</v>
      </c>
      <c r="C1048" t="s">
        <v>2350</v>
      </c>
      <c r="D1048" t="s">
        <v>95</v>
      </c>
      <c r="F1048">
        <v>2079765157</v>
      </c>
      <c r="G1048">
        <v>1971042781</v>
      </c>
      <c r="H1048">
        <v>1927661633</v>
      </c>
      <c r="I1048">
        <v>2012031526</v>
      </c>
      <c r="J1048">
        <v>2047177787</v>
      </c>
      <c r="K1048">
        <v>2214702429</v>
      </c>
      <c r="L1048">
        <v>2175808940</v>
      </c>
      <c r="M1048">
        <v>2049804116</v>
      </c>
      <c r="N1048">
        <v>1921271412</v>
      </c>
      <c r="O1048">
        <v>1763603530</v>
      </c>
      <c r="P1048">
        <v>159</v>
      </c>
      <c r="Q1048" t="s">
        <v>2351</v>
      </c>
    </row>
    <row r="1049" spans="1:17" x14ac:dyDescent="0.3">
      <c r="A1049" t="s">
        <v>17</v>
      </c>
      <c r="B1049" t="str">
        <f>"601933"</f>
        <v>601933</v>
      </c>
      <c r="C1049" t="s">
        <v>2352</v>
      </c>
      <c r="D1049" t="s">
        <v>798</v>
      </c>
      <c r="F1049">
        <v>91061894312</v>
      </c>
      <c r="G1049">
        <v>93199107664</v>
      </c>
      <c r="H1049">
        <v>84876960044</v>
      </c>
      <c r="I1049">
        <v>70516654453</v>
      </c>
      <c r="J1049">
        <v>58591343430</v>
      </c>
      <c r="K1049">
        <v>49231645818</v>
      </c>
      <c r="L1049">
        <v>42144829562</v>
      </c>
      <c r="M1049">
        <v>36726802955</v>
      </c>
      <c r="N1049">
        <v>30542816684</v>
      </c>
      <c r="O1049">
        <v>24684317980</v>
      </c>
      <c r="P1049">
        <v>2444</v>
      </c>
      <c r="Q1049" t="s">
        <v>2353</v>
      </c>
    </row>
    <row r="1050" spans="1:17" x14ac:dyDescent="0.3">
      <c r="A1050" t="s">
        <v>17</v>
      </c>
      <c r="B1050" t="str">
        <f>"601939"</f>
        <v>601939</v>
      </c>
      <c r="C1050" t="s">
        <v>2354</v>
      </c>
      <c r="D1050" t="s">
        <v>2112</v>
      </c>
      <c r="F1050">
        <v>824246000000</v>
      </c>
      <c r="G1050">
        <v>755858000000</v>
      </c>
      <c r="H1050">
        <v>705629000000</v>
      </c>
      <c r="I1050">
        <v>658891000000</v>
      </c>
      <c r="J1050">
        <v>621659000000</v>
      </c>
      <c r="K1050">
        <v>605090000000</v>
      </c>
      <c r="L1050">
        <v>605197000000</v>
      </c>
      <c r="M1050">
        <v>570470000000</v>
      </c>
      <c r="N1050">
        <v>508608000000</v>
      </c>
      <c r="O1050">
        <v>460746000000</v>
      </c>
      <c r="P1050">
        <v>19332</v>
      </c>
      <c r="Q1050" t="s">
        <v>2355</v>
      </c>
    </row>
    <row r="1051" spans="1:17" x14ac:dyDescent="0.3">
      <c r="A1051" t="s">
        <v>17</v>
      </c>
      <c r="B1051" t="str">
        <f>"601949"</f>
        <v>601949</v>
      </c>
      <c r="C1051" t="s">
        <v>2356</v>
      </c>
      <c r="D1051" t="s">
        <v>525</v>
      </c>
      <c r="F1051">
        <v>6304337219</v>
      </c>
      <c r="G1051">
        <v>5958814282</v>
      </c>
      <c r="H1051">
        <v>6314649832</v>
      </c>
      <c r="I1051">
        <v>5331409977</v>
      </c>
      <c r="J1051">
        <v>4696556404</v>
      </c>
      <c r="K1051">
        <v>4156501687</v>
      </c>
      <c r="L1051">
        <v>4100371985</v>
      </c>
      <c r="M1051">
        <v>3466158459</v>
      </c>
      <c r="P1051">
        <v>160</v>
      </c>
      <c r="Q1051" t="s">
        <v>2357</v>
      </c>
    </row>
    <row r="1052" spans="1:17" x14ac:dyDescent="0.3">
      <c r="A1052" t="s">
        <v>17</v>
      </c>
      <c r="B1052" t="str">
        <f>"601952"</f>
        <v>601952</v>
      </c>
      <c r="C1052" t="s">
        <v>2358</v>
      </c>
      <c r="D1052" t="s">
        <v>1210</v>
      </c>
      <c r="F1052">
        <v>10639526241</v>
      </c>
      <c r="G1052">
        <v>8620080031</v>
      </c>
      <c r="H1052">
        <v>8027819758</v>
      </c>
      <c r="I1052">
        <v>4883604777</v>
      </c>
      <c r="J1052">
        <v>4315517646</v>
      </c>
      <c r="K1052">
        <v>4084206653</v>
      </c>
      <c r="L1052">
        <v>4178352091</v>
      </c>
      <c r="M1052">
        <v>3508255712</v>
      </c>
      <c r="P1052">
        <v>313</v>
      </c>
      <c r="Q1052" t="s">
        <v>2359</v>
      </c>
    </row>
    <row r="1053" spans="1:17" x14ac:dyDescent="0.3">
      <c r="A1053" t="s">
        <v>17</v>
      </c>
      <c r="B1053" t="str">
        <f>"601956"</f>
        <v>601956</v>
      </c>
      <c r="C1053" t="s">
        <v>2360</v>
      </c>
      <c r="D1053" t="s">
        <v>1253</v>
      </c>
      <c r="F1053">
        <v>6059536690</v>
      </c>
      <c r="G1053">
        <v>5211242710</v>
      </c>
      <c r="H1053">
        <v>4928711194</v>
      </c>
      <c r="P1053">
        <v>23</v>
      </c>
      <c r="Q1053" t="s">
        <v>2361</v>
      </c>
    </row>
    <row r="1054" spans="1:17" x14ac:dyDescent="0.3">
      <c r="A1054" t="s">
        <v>17</v>
      </c>
      <c r="B1054" t="str">
        <f>"601958"</f>
        <v>601958</v>
      </c>
      <c r="C1054" t="s">
        <v>2362</v>
      </c>
      <c r="D1054" t="s">
        <v>2363</v>
      </c>
      <c r="F1054">
        <v>7973827046</v>
      </c>
      <c r="G1054">
        <v>7576927322</v>
      </c>
      <c r="H1054">
        <v>9151479191</v>
      </c>
      <c r="I1054">
        <v>8778435930</v>
      </c>
      <c r="J1054">
        <v>10206051861</v>
      </c>
      <c r="K1054">
        <v>10164995152</v>
      </c>
      <c r="L1054">
        <v>9553045595</v>
      </c>
      <c r="M1054">
        <v>8526371829</v>
      </c>
      <c r="N1054">
        <v>8616010088</v>
      </c>
      <c r="O1054">
        <v>8573880680</v>
      </c>
      <c r="P1054">
        <v>244</v>
      </c>
      <c r="Q1054" t="s">
        <v>2364</v>
      </c>
    </row>
    <row r="1055" spans="1:17" x14ac:dyDescent="0.3">
      <c r="A1055" t="s">
        <v>17</v>
      </c>
      <c r="B1055" t="str">
        <f>"601963"</f>
        <v>601963</v>
      </c>
      <c r="C1055" t="s">
        <v>2365</v>
      </c>
      <c r="D1055" t="s">
        <v>1842</v>
      </c>
      <c r="F1055">
        <v>14515230000</v>
      </c>
      <c r="G1055">
        <v>13048351000</v>
      </c>
      <c r="H1055">
        <v>11947994000</v>
      </c>
      <c r="I1055">
        <v>10839774000</v>
      </c>
      <c r="J1055">
        <v>10145055000</v>
      </c>
      <c r="K1055">
        <v>9583070000</v>
      </c>
      <c r="L1055">
        <v>8549427000</v>
      </c>
      <c r="M1055">
        <v>7469182000</v>
      </c>
      <c r="N1055">
        <v>5874500000</v>
      </c>
      <c r="O1055">
        <v>4636538000</v>
      </c>
      <c r="P1055">
        <v>149</v>
      </c>
      <c r="Q1055" t="s">
        <v>2366</v>
      </c>
    </row>
    <row r="1056" spans="1:17" x14ac:dyDescent="0.3">
      <c r="A1056" t="s">
        <v>17</v>
      </c>
      <c r="B1056" t="str">
        <f>"601965"</f>
        <v>601965</v>
      </c>
      <c r="C1056" t="s">
        <v>2367</v>
      </c>
      <c r="D1056" t="s">
        <v>2368</v>
      </c>
      <c r="F1056">
        <v>3835074037</v>
      </c>
      <c r="G1056">
        <v>3417913185</v>
      </c>
      <c r="H1056">
        <v>2754523115</v>
      </c>
      <c r="I1056">
        <v>2758009245</v>
      </c>
      <c r="J1056">
        <v>2400796001</v>
      </c>
      <c r="K1056">
        <v>1654689490</v>
      </c>
      <c r="L1056">
        <v>1202892486</v>
      </c>
      <c r="M1056">
        <v>1568891927</v>
      </c>
      <c r="N1056">
        <v>1500234527</v>
      </c>
      <c r="O1056">
        <v>1143196464</v>
      </c>
      <c r="P1056">
        <v>307</v>
      </c>
      <c r="Q1056" t="s">
        <v>2369</v>
      </c>
    </row>
    <row r="1057" spans="1:17" x14ac:dyDescent="0.3">
      <c r="A1057" t="s">
        <v>17</v>
      </c>
      <c r="B1057" t="str">
        <f>"601966"</f>
        <v>601966</v>
      </c>
      <c r="C1057" t="s">
        <v>2370</v>
      </c>
      <c r="D1057" t="s">
        <v>422</v>
      </c>
      <c r="F1057">
        <v>18579219822</v>
      </c>
      <c r="G1057">
        <v>18382721153</v>
      </c>
      <c r="H1057">
        <v>17164162965</v>
      </c>
      <c r="I1057">
        <v>15301583236</v>
      </c>
      <c r="J1057">
        <v>13918072572</v>
      </c>
      <c r="K1057">
        <v>10517808295</v>
      </c>
      <c r="L1057">
        <v>8733701227</v>
      </c>
      <c r="M1057">
        <v>10278185270</v>
      </c>
      <c r="N1057">
        <v>11547979257</v>
      </c>
      <c r="P1057">
        <v>927</v>
      </c>
      <c r="Q1057" t="s">
        <v>2371</v>
      </c>
    </row>
    <row r="1058" spans="1:17" x14ac:dyDescent="0.3">
      <c r="A1058" t="s">
        <v>17</v>
      </c>
      <c r="B1058" t="str">
        <f>"601968"</f>
        <v>601968</v>
      </c>
      <c r="C1058" t="s">
        <v>2372</v>
      </c>
      <c r="D1058" t="s">
        <v>2373</v>
      </c>
      <c r="F1058">
        <v>6968283101</v>
      </c>
      <c r="G1058">
        <v>5785506867</v>
      </c>
      <c r="H1058">
        <v>5769886231</v>
      </c>
      <c r="I1058">
        <v>4977403120</v>
      </c>
      <c r="J1058">
        <v>4546360160</v>
      </c>
      <c r="K1058">
        <v>4001028307</v>
      </c>
      <c r="L1058">
        <v>3299993906</v>
      </c>
      <c r="M1058">
        <v>3464065719</v>
      </c>
      <c r="N1058">
        <v>2912889188</v>
      </c>
      <c r="O1058">
        <v>2583353298</v>
      </c>
      <c r="P1058">
        <v>108</v>
      </c>
      <c r="Q1058" t="s">
        <v>2374</v>
      </c>
    </row>
    <row r="1059" spans="1:17" x14ac:dyDescent="0.3">
      <c r="A1059" t="s">
        <v>17</v>
      </c>
      <c r="B1059" t="str">
        <f>"601969"</f>
        <v>601969</v>
      </c>
      <c r="C1059" t="s">
        <v>2375</v>
      </c>
      <c r="D1059" t="s">
        <v>2376</v>
      </c>
      <c r="F1059">
        <v>4119023700</v>
      </c>
      <c r="G1059">
        <v>2763664400</v>
      </c>
      <c r="H1059">
        <v>3718283310</v>
      </c>
      <c r="I1059">
        <v>1386602814</v>
      </c>
      <c r="J1059">
        <v>2756164501</v>
      </c>
      <c r="K1059">
        <v>907665418</v>
      </c>
      <c r="L1059">
        <v>1050584568</v>
      </c>
      <c r="M1059">
        <v>1768011155</v>
      </c>
      <c r="N1059">
        <v>2921017732</v>
      </c>
      <c r="O1059">
        <v>2415348298</v>
      </c>
      <c r="P1059">
        <v>154</v>
      </c>
      <c r="Q1059" t="s">
        <v>2377</v>
      </c>
    </row>
    <row r="1060" spans="1:17" x14ac:dyDescent="0.3">
      <c r="A1060" t="s">
        <v>17</v>
      </c>
      <c r="B1060" t="str">
        <f>"601975"</f>
        <v>601975</v>
      </c>
      <c r="C1060" t="s">
        <v>2378</v>
      </c>
      <c r="D1060" t="s">
        <v>69</v>
      </c>
      <c r="F1060">
        <v>3862235612</v>
      </c>
      <c r="G1060">
        <v>4031588403</v>
      </c>
      <c r="H1060">
        <v>4038798841</v>
      </c>
      <c r="I1060">
        <v>3378241081</v>
      </c>
      <c r="J1060">
        <v>3729215900</v>
      </c>
      <c r="K1060">
        <v>5781236500</v>
      </c>
      <c r="L1060">
        <v>5479296400</v>
      </c>
      <c r="N1060">
        <v>7306808611</v>
      </c>
      <c r="O1060">
        <v>6629180995</v>
      </c>
      <c r="P1060">
        <v>270</v>
      </c>
      <c r="Q1060" t="s">
        <v>2379</v>
      </c>
    </row>
    <row r="1061" spans="1:17" x14ac:dyDescent="0.3">
      <c r="A1061" t="s">
        <v>17</v>
      </c>
      <c r="B1061" t="str">
        <f>"601985"</f>
        <v>601985</v>
      </c>
      <c r="C1061" t="s">
        <v>2380</v>
      </c>
      <c r="D1061" t="s">
        <v>2381</v>
      </c>
      <c r="F1061">
        <v>62367217532</v>
      </c>
      <c r="G1061">
        <v>52276451960</v>
      </c>
      <c r="H1061">
        <v>46067155091</v>
      </c>
      <c r="I1061">
        <v>39305402287</v>
      </c>
      <c r="J1061">
        <v>33589908934</v>
      </c>
      <c r="K1061">
        <v>30008741671</v>
      </c>
      <c r="L1061">
        <v>26202031122</v>
      </c>
      <c r="M1061">
        <v>18800743681</v>
      </c>
      <c r="N1061">
        <v>18080929984</v>
      </c>
      <c r="O1061">
        <v>17750431902</v>
      </c>
      <c r="P1061">
        <v>998</v>
      </c>
      <c r="Q1061" t="s">
        <v>2382</v>
      </c>
    </row>
    <row r="1062" spans="1:17" x14ac:dyDescent="0.3">
      <c r="A1062" t="s">
        <v>17</v>
      </c>
      <c r="B1062" t="str">
        <f>"601988"</f>
        <v>601988</v>
      </c>
      <c r="C1062" t="s">
        <v>2383</v>
      </c>
      <c r="D1062" t="s">
        <v>2112</v>
      </c>
      <c r="F1062">
        <v>605559000000</v>
      </c>
      <c r="G1062">
        <v>565531000000</v>
      </c>
      <c r="H1062">
        <v>549182000000</v>
      </c>
      <c r="I1062">
        <v>504107000000</v>
      </c>
      <c r="J1062">
        <v>483278000000</v>
      </c>
      <c r="K1062">
        <v>483630000000</v>
      </c>
      <c r="L1062">
        <v>474321000000</v>
      </c>
      <c r="M1062">
        <v>456331000000</v>
      </c>
      <c r="N1062">
        <v>407508000000</v>
      </c>
      <c r="O1062">
        <v>366091000000</v>
      </c>
      <c r="P1062">
        <v>4259</v>
      </c>
      <c r="Q1062" t="s">
        <v>2384</v>
      </c>
    </row>
    <row r="1063" spans="1:17" x14ac:dyDescent="0.3">
      <c r="A1063" t="s">
        <v>17</v>
      </c>
      <c r="B1063" t="str">
        <f>"601989"</f>
        <v>601989</v>
      </c>
      <c r="C1063" t="s">
        <v>2385</v>
      </c>
      <c r="D1063" t="s">
        <v>167</v>
      </c>
      <c r="F1063">
        <v>39539359088</v>
      </c>
      <c r="G1063">
        <v>34906187574</v>
      </c>
      <c r="H1063">
        <v>38056548507</v>
      </c>
      <c r="I1063">
        <v>44483528278</v>
      </c>
      <c r="J1063">
        <v>38775769733</v>
      </c>
      <c r="K1063">
        <v>52064131242</v>
      </c>
      <c r="L1063">
        <v>59810801372</v>
      </c>
      <c r="M1063">
        <v>60972048816</v>
      </c>
      <c r="N1063">
        <v>51269178124</v>
      </c>
      <c r="O1063">
        <v>58501381871</v>
      </c>
      <c r="P1063">
        <v>669</v>
      </c>
      <c r="Q1063" t="s">
        <v>2386</v>
      </c>
    </row>
    <row r="1064" spans="1:17" x14ac:dyDescent="0.3">
      <c r="A1064" t="s">
        <v>17</v>
      </c>
      <c r="B1064" t="str">
        <f>"601990"</f>
        <v>601990</v>
      </c>
      <c r="C1064" t="s">
        <v>2387</v>
      </c>
      <c r="D1064" t="s">
        <v>80</v>
      </c>
      <c r="F1064">
        <v>2741633843</v>
      </c>
      <c r="G1064">
        <v>2365296802</v>
      </c>
      <c r="H1064">
        <v>2201777266</v>
      </c>
      <c r="I1064">
        <v>1233927908</v>
      </c>
      <c r="J1064">
        <v>1384562681</v>
      </c>
      <c r="K1064">
        <v>1499611313</v>
      </c>
      <c r="L1064">
        <v>3000069643</v>
      </c>
      <c r="M1064">
        <v>1421284600</v>
      </c>
      <c r="N1064">
        <v>1014937100</v>
      </c>
      <c r="O1064">
        <v>856028100</v>
      </c>
      <c r="P1064">
        <v>722</v>
      </c>
      <c r="Q1064" t="s">
        <v>2388</v>
      </c>
    </row>
    <row r="1065" spans="1:17" x14ac:dyDescent="0.3">
      <c r="A1065" t="s">
        <v>17</v>
      </c>
      <c r="B1065" t="str">
        <f>"601991"</f>
        <v>601991</v>
      </c>
      <c r="C1065" t="s">
        <v>2389</v>
      </c>
      <c r="D1065" t="s">
        <v>41</v>
      </c>
      <c r="F1065">
        <v>103411958000</v>
      </c>
      <c r="G1065">
        <v>95614422000</v>
      </c>
      <c r="H1065">
        <v>95453055000</v>
      </c>
      <c r="I1065">
        <v>93389625000</v>
      </c>
      <c r="J1065">
        <v>64607755000</v>
      </c>
      <c r="K1065">
        <v>59124319000</v>
      </c>
      <c r="L1065">
        <v>61890285000</v>
      </c>
      <c r="M1065">
        <v>70194327000</v>
      </c>
      <c r="N1065">
        <v>75227458000</v>
      </c>
      <c r="O1065">
        <v>77598143000</v>
      </c>
      <c r="P1065">
        <v>283</v>
      </c>
      <c r="Q1065" t="s">
        <v>2390</v>
      </c>
    </row>
    <row r="1066" spans="1:17" x14ac:dyDescent="0.3">
      <c r="A1066" t="s">
        <v>17</v>
      </c>
      <c r="B1066" t="str">
        <f>"601992"</f>
        <v>601992</v>
      </c>
      <c r="C1066" t="s">
        <v>2391</v>
      </c>
      <c r="D1066" t="s">
        <v>731</v>
      </c>
      <c r="F1066">
        <v>123634448112</v>
      </c>
      <c r="G1066">
        <v>108004884351</v>
      </c>
      <c r="H1066">
        <v>91829311097</v>
      </c>
      <c r="I1066">
        <v>83116733092</v>
      </c>
      <c r="J1066">
        <v>63678330932</v>
      </c>
      <c r="K1066">
        <v>47738772727</v>
      </c>
      <c r="L1066">
        <v>40925340861</v>
      </c>
      <c r="M1066">
        <v>41241473854</v>
      </c>
      <c r="N1066">
        <v>44789759262</v>
      </c>
      <c r="O1066">
        <v>34054096003</v>
      </c>
      <c r="P1066">
        <v>368</v>
      </c>
      <c r="Q1066" t="s">
        <v>2392</v>
      </c>
    </row>
    <row r="1067" spans="1:17" x14ac:dyDescent="0.3">
      <c r="A1067" t="s">
        <v>17</v>
      </c>
      <c r="B1067" t="str">
        <f>"601995"</f>
        <v>601995</v>
      </c>
      <c r="C1067" t="s">
        <v>2393</v>
      </c>
      <c r="D1067" t="s">
        <v>80</v>
      </c>
      <c r="F1067">
        <v>30131054236</v>
      </c>
      <c r="G1067">
        <v>23659525301</v>
      </c>
      <c r="H1067">
        <v>15755274593</v>
      </c>
      <c r="I1067">
        <v>12914080694</v>
      </c>
      <c r="J1067">
        <v>11209141853</v>
      </c>
      <c r="K1067">
        <v>7322336526</v>
      </c>
      <c r="L1067">
        <v>8122239195</v>
      </c>
      <c r="M1067">
        <v>5228477052</v>
      </c>
      <c r="N1067">
        <v>3261500503</v>
      </c>
      <c r="O1067">
        <v>3430767676</v>
      </c>
      <c r="P1067">
        <v>986</v>
      </c>
      <c r="Q1067" t="s">
        <v>2394</v>
      </c>
    </row>
    <row r="1068" spans="1:17" x14ac:dyDescent="0.3">
      <c r="A1068" t="s">
        <v>17</v>
      </c>
      <c r="B1068" t="str">
        <f>"601996"</f>
        <v>601996</v>
      </c>
      <c r="C1068" t="s">
        <v>2395</v>
      </c>
      <c r="D1068" t="s">
        <v>178</v>
      </c>
      <c r="F1068">
        <v>2066287372</v>
      </c>
      <c r="G1068">
        <v>1740378744</v>
      </c>
      <c r="H1068">
        <v>1942722798</v>
      </c>
      <c r="I1068">
        <v>1597217258</v>
      </c>
      <c r="J1068">
        <v>1301689975</v>
      </c>
      <c r="K1068">
        <v>1249087821</v>
      </c>
      <c r="L1068">
        <v>1156231821</v>
      </c>
      <c r="M1068">
        <v>1199474213</v>
      </c>
      <c r="N1068">
        <v>903157003</v>
      </c>
      <c r="O1068">
        <v>857334841</v>
      </c>
      <c r="P1068">
        <v>143</v>
      </c>
      <c r="Q1068" t="s">
        <v>2396</v>
      </c>
    </row>
    <row r="1069" spans="1:17" x14ac:dyDescent="0.3">
      <c r="A1069" t="s">
        <v>17</v>
      </c>
      <c r="B1069" t="str">
        <f>"601997"</f>
        <v>601997</v>
      </c>
      <c r="C1069" t="s">
        <v>2397</v>
      </c>
      <c r="D1069" t="s">
        <v>1842</v>
      </c>
      <c r="F1069">
        <v>15004111000</v>
      </c>
      <c r="G1069">
        <v>16081403000</v>
      </c>
      <c r="H1069">
        <v>14668044000</v>
      </c>
      <c r="I1069">
        <v>12645284000</v>
      </c>
      <c r="J1069">
        <v>12477022000</v>
      </c>
      <c r="K1069">
        <v>10159448000</v>
      </c>
      <c r="L1069">
        <v>7705192000</v>
      </c>
      <c r="M1069">
        <v>5742986000</v>
      </c>
      <c r="N1069">
        <v>3821793000</v>
      </c>
      <c r="O1069">
        <v>3468915000</v>
      </c>
      <c r="P1069">
        <v>2050</v>
      </c>
      <c r="Q1069" t="s">
        <v>2398</v>
      </c>
    </row>
    <row r="1070" spans="1:17" x14ac:dyDescent="0.3">
      <c r="A1070" t="s">
        <v>17</v>
      </c>
      <c r="B1070" t="str">
        <f>"601998"</f>
        <v>601998</v>
      </c>
      <c r="C1070" t="s">
        <v>2399</v>
      </c>
      <c r="D1070" t="s">
        <v>19</v>
      </c>
      <c r="F1070">
        <v>204557000000</v>
      </c>
      <c r="G1070">
        <v>194731000000</v>
      </c>
      <c r="H1070">
        <v>187584000000</v>
      </c>
      <c r="I1070">
        <v>164854000000</v>
      </c>
      <c r="J1070">
        <v>156708000000</v>
      </c>
      <c r="K1070">
        <v>153781000000</v>
      </c>
      <c r="L1070">
        <v>145134000000</v>
      </c>
      <c r="M1070">
        <v>124716000000</v>
      </c>
      <c r="N1070">
        <v>104558000000</v>
      </c>
      <c r="O1070">
        <v>89435000000</v>
      </c>
      <c r="P1070">
        <v>1903</v>
      </c>
      <c r="Q1070" t="s">
        <v>2400</v>
      </c>
    </row>
    <row r="1071" spans="1:17" x14ac:dyDescent="0.3">
      <c r="A1071" t="s">
        <v>17</v>
      </c>
      <c r="B1071" t="str">
        <f>"601999"</f>
        <v>601999</v>
      </c>
      <c r="C1071" t="s">
        <v>2401</v>
      </c>
      <c r="D1071" t="s">
        <v>525</v>
      </c>
      <c r="F1071">
        <v>2868652079</v>
      </c>
      <c r="G1071">
        <v>2541948467</v>
      </c>
      <c r="H1071">
        <v>2710639546</v>
      </c>
      <c r="I1071">
        <v>2338007562</v>
      </c>
      <c r="J1071">
        <v>1930889624</v>
      </c>
      <c r="K1071">
        <v>1639254894</v>
      </c>
      <c r="L1071">
        <v>1537753630</v>
      </c>
      <c r="M1071">
        <v>1496265197</v>
      </c>
      <c r="N1071">
        <v>1327869523</v>
      </c>
      <c r="O1071">
        <v>1268057998</v>
      </c>
      <c r="P1071">
        <v>82</v>
      </c>
      <c r="Q1071" t="s">
        <v>2402</v>
      </c>
    </row>
    <row r="1072" spans="1:17" x14ac:dyDescent="0.3">
      <c r="A1072" t="s">
        <v>17</v>
      </c>
      <c r="B1072" t="str">
        <f>"603000"</f>
        <v>603000</v>
      </c>
      <c r="C1072" t="s">
        <v>2403</v>
      </c>
      <c r="D1072" t="s">
        <v>522</v>
      </c>
      <c r="F1072">
        <v>2183020110</v>
      </c>
      <c r="G1072">
        <v>2100411079</v>
      </c>
      <c r="H1072">
        <v>2150120013</v>
      </c>
      <c r="I1072">
        <v>1693704754</v>
      </c>
      <c r="J1072">
        <v>1400642260</v>
      </c>
      <c r="K1072">
        <v>1431792604</v>
      </c>
      <c r="L1072">
        <v>1604762289</v>
      </c>
      <c r="M1072">
        <v>1584059382</v>
      </c>
      <c r="N1072">
        <v>1027906694</v>
      </c>
      <c r="O1072">
        <v>708023609</v>
      </c>
      <c r="P1072">
        <v>323</v>
      </c>
      <c r="Q1072" t="s">
        <v>2404</v>
      </c>
    </row>
    <row r="1073" spans="1:17" x14ac:dyDescent="0.3">
      <c r="A1073" t="s">
        <v>17</v>
      </c>
      <c r="B1073" t="str">
        <f>"603001"</f>
        <v>603001</v>
      </c>
      <c r="C1073" t="s">
        <v>2405</v>
      </c>
      <c r="D1073" t="s">
        <v>330</v>
      </c>
      <c r="F1073">
        <v>2958569640</v>
      </c>
      <c r="G1073">
        <v>2737859879</v>
      </c>
      <c r="H1073">
        <v>2726480726</v>
      </c>
      <c r="I1073">
        <v>3043138243</v>
      </c>
      <c r="J1073">
        <v>3261683206</v>
      </c>
      <c r="K1073">
        <v>3249978122</v>
      </c>
      <c r="L1073">
        <v>3318818013</v>
      </c>
      <c r="M1073">
        <v>2965300755</v>
      </c>
      <c r="N1073">
        <v>2796208977</v>
      </c>
      <c r="O1073">
        <v>3455109497</v>
      </c>
      <c r="P1073">
        <v>148</v>
      </c>
      <c r="Q1073" t="s">
        <v>2406</v>
      </c>
    </row>
    <row r="1074" spans="1:17" x14ac:dyDescent="0.3">
      <c r="A1074" t="s">
        <v>17</v>
      </c>
      <c r="B1074" t="str">
        <f>"603002"</f>
        <v>603002</v>
      </c>
      <c r="C1074" t="s">
        <v>2407</v>
      </c>
      <c r="D1074" t="s">
        <v>2408</v>
      </c>
      <c r="F1074">
        <v>4452711902</v>
      </c>
      <c r="G1074">
        <v>2504199868</v>
      </c>
      <c r="H1074">
        <v>1635597484</v>
      </c>
      <c r="I1074">
        <v>1803943408</v>
      </c>
      <c r="J1074">
        <v>1237094652</v>
      </c>
      <c r="K1074">
        <v>909889780</v>
      </c>
      <c r="L1074">
        <v>950913681</v>
      </c>
      <c r="M1074">
        <v>1216256763</v>
      </c>
      <c r="N1074">
        <v>1207385292</v>
      </c>
      <c r="O1074">
        <v>1230485104</v>
      </c>
      <c r="P1074">
        <v>117</v>
      </c>
      <c r="Q1074" t="s">
        <v>2409</v>
      </c>
    </row>
    <row r="1075" spans="1:17" x14ac:dyDescent="0.3">
      <c r="A1075" t="s">
        <v>17</v>
      </c>
      <c r="B1075" t="str">
        <f>"603003"</f>
        <v>603003</v>
      </c>
      <c r="C1075" t="s">
        <v>2410</v>
      </c>
      <c r="D1075" t="s">
        <v>316</v>
      </c>
      <c r="F1075">
        <v>7975757437</v>
      </c>
      <c r="G1075">
        <v>8943468998</v>
      </c>
      <c r="H1075">
        <v>13497955666</v>
      </c>
      <c r="I1075">
        <v>16035871982</v>
      </c>
      <c r="J1075">
        <v>16831959291</v>
      </c>
      <c r="K1075">
        <v>15882395345</v>
      </c>
      <c r="L1075">
        <v>10870277326</v>
      </c>
      <c r="M1075">
        <v>5278808985</v>
      </c>
      <c r="N1075">
        <v>4501274275</v>
      </c>
      <c r="O1075">
        <v>7771748042</v>
      </c>
      <c r="P1075">
        <v>88</v>
      </c>
      <c r="Q1075" t="s">
        <v>2411</v>
      </c>
    </row>
    <row r="1076" spans="1:17" x14ac:dyDescent="0.3">
      <c r="A1076" t="s">
        <v>17</v>
      </c>
      <c r="B1076" t="str">
        <f>"603005"</f>
        <v>603005</v>
      </c>
      <c r="C1076" t="s">
        <v>2412</v>
      </c>
      <c r="D1076" t="s">
        <v>1180</v>
      </c>
      <c r="F1076">
        <v>1411173857</v>
      </c>
      <c r="G1076">
        <v>1103528758</v>
      </c>
      <c r="H1076">
        <v>560367355</v>
      </c>
      <c r="I1076">
        <v>566233702</v>
      </c>
      <c r="J1076">
        <v>628779608</v>
      </c>
      <c r="K1076">
        <v>512390369</v>
      </c>
      <c r="L1076">
        <v>575718355</v>
      </c>
      <c r="M1076">
        <v>615810322</v>
      </c>
      <c r="N1076">
        <v>450433206</v>
      </c>
      <c r="O1076">
        <v>337332771</v>
      </c>
      <c r="P1076">
        <v>3663</v>
      </c>
      <c r="Q1076" t="s">
        <v>2413</v>
      </c>
    </row>
    <row r="1077" spans="1:17" x14ac:dyDescent="0.3">
      <c r="A1077" t="s">
        <v>17</v>
      </c>
      <c r="B1077" t="str">
        <f>"603006"</f>
        <v>603006</v>
      </c>
      <c r="C1077" t="s">
        <v>2414</v>
      </c>
      <c r="D1077" t="s">
        <v>985</v>
      </c>
      <c r="F1077">
        <v>1219618069</v>
      </c>
      <c r="G1077">
        <v>910782116</v>
      </c>
      <c r="H1077">
        <v>1036010524</v>
      </c>
      <c r="I1077">
        <v>1025505519</v>
      </c>
      <c r="J1077">
        <v>1015508408</v>
      </c>
      <c r="K1077">
        <v>922576868</v>
      </c>
      <c r="L1077">
        <v>683635158</v>
      </c>
      <c r="M1077">
        <v>527836433</v>
      </c>
      <c r="N1077">
        <v>404991908</v>
      </c>
      <c r="O1077">
        <v>357025423</v>
      </c>
      <c r="P1077">
        <v>106</v>
      </c>
      <c r="Q1077" t="s">
        <v>2415</v>
      </c>
    </row>
    <row r="1078" spans="1:17" x14ac:dyDescent="0.3">
      <c r="A1078" t="s">
        <v>17</v>
      </c>
      <c r="B1078" t="str">
        <f>"603007"</f>
        <v>603007</v>
      </c>
      <c r="C1078" t="s">
        <v>2416</v>
      </c>
      <c r="D1078" t="s">
        <v>2417</v>
      </c>
      <c r="F1078">
        <v>166221467</v>
      </c>
      <c r="G1078">
        <v>572030487</v>
      </c>
      <c r="H1078">
        <v>1234675416</v>
      </c>
      <c r="I1078">
        <v>1264340914</v>
      </c>
      <c r="J1078">
        <v>1036783488</v>
      </c>
      <c r="K1078">
        <v>510883535</v>
      </c>
      <c r="L1078">
        <v>538792901</v>
      </c>
      <c r="M1078">
        <v>510424673</v>
      </c>
      <c r="N1078">
        <v>572937846</v>
      </c>
      <c r="P1078">
        <v>81</v>
      </c>
      <c r="Q1078" t="s">
        <v>2418</v>
      </c>
    </row>
    <row r="1079" spans="1:17" x14ac:dyDescent="0.3">
      <c r="A1079" t="s">
        <v>17</v>
      </c>
      <c r="B1079" t="str">
        <f>"603008"</f>
        <v>603008</v>
      </c>
      <c r="C1079" t="s">
        <v>2419</v>
      </c>
      <c r="D1079" t="s">
        <v>757</v>
      </c>
      <c r="F1079">
        <v>7771839700</v>
      </c>
      <c r="G1079">
        <v>5623291035</v>
      </c>
      <c r="H1079">
        <v>4871398276</v>
      </c>
      <c r="I1079">
        <v>4210934502</v>
      </c>
      <c r="J1079">
        <v>3187357908</v>
      </c>
      <c r="K1079">
        <v>2217115498</v>
      </c>
      <c r="L1079">
        <v>1687437126</v>
      </c>
      <c r="M1079">
        <v>1290552950</v>
      </c>
      <c r="N1079">
        <v>1021894172</v>
      </c>
      <c r="O1079">
        <v>897116078</v>
      </c>
      <c r="P1079">
        <v>302</v>
      </c>
      <c r="Q1079" t="s">
        <v>2420</v>
      </c>
    </row>
    <row r="1080" spans="1:17" x14ac:dyDescent="0.3">
      <c r="A1080" t="s">
        <v>17</v>
      </c>
      <c r="B1080" t="str">
        <f>"603009"</f>
        <v>603009</v>
      </c>
      <c r="C1080" t="s">
        <v>2421</v>
      </c>
      <c r="D1080" t="s">
        <v>348</v>
      </c>
      <c r="F1080">
        <v>1737863038</v>
      </c>
      <c r="G1080">
        <v>1470479133</v>
      </c>
      <c r="H1080">
        <v>1271709048</v>
      </c>
      <c r="I1080">
        <v>1248453016</v>
      </c>
      <c r="J1080">
        <v>912968934</v>
      </c>
      <c r="K1080">
        <v>800512601</v>
      </c>
      <c r="L1080">
        <v>706624841</v>
      </c>
      <c r="M1080">
        <v>634446370</v>
      </c>
      <c r="N1080">
        <v>531112948</v>
      </c>
      <c r="O1080">
        <v>419417369</v>
      </c>
      <c r="P1080">
        <v>84</v>
      </c>
      <c r="Q1080" t="s">
        <v>2422</v>
      </c>
    </row>
    <row r="1081" spans="1:17" x14ac:dyDescent="0.3">
      <c r="A1081" t="s">
        <v>17</v>
      </c>
      <c r="B1081" t="str">
        <f>"603010"</f>
        <v>603010</v>
      </c>
      <c r="C1081" t="s">
        <v>2423</v>
      </c>
      <c r="D1081" t="s">
        <v>1192</v>
      </c>
      <c r="F1081">
        <v>4114603534</v>
      </c>
      <c r="G1081">
        <v>2329927464</v>
      </c>
      <c r="H1081">
        <v>1929602282</v>
      </c>
      <c r="I1081">
        <v>1732893593</v>
      </c>
      <c r="J1081">
        <v>1473174515</v>
      </c>
      <c r="K1081">
        <v>1226554674</v>
      </c>
      <c r="L1081">
        <v>879970906</v>
      </c>
      <c r="M1081">
        <v>746942301</v>
      </c>
      <c r="N1081">
        <v>645085653</v>
      </c>
      <c r="O1081">
        <v>641130949</v>
      </c>
      <c r="P1081">
        <v>279</v>
      </c>
      <c r="Q1081" t="s">
        <v>2424</v>
      </c>
    </row>
    <row r="1082" spans="1:17" x14ac:dyDescent="0.3">
      <c r="A1082" t="s">
        <v>17</v>
      </c>
      <c r="B1082" t="str">
        <f>"603011"</f>
        <v>603011</v>
      </c>
      <c r="C1082" t="s">
        <v>2425</v>
      </c>
      <c r="D1082" t="s">
        <v>741</v>
      </c>
      <c r="F1082">
        <v>1206277733</v>
      </c>
      <c r="G1082">
        <v>837954489</v>
      </c>
      <c r="H1082">
        <v>694964965</v>
      </c>
      <c r="I1082">
        <v>798812579</v>
      </c>
      <c r="J1082">
        <v>729281016</v>
      </c>
      <c r="K1082">
        <v>649707108</v>
      </c>
      <c r="L1082">
        <v>482400019</v>
      </c>
      <c r="M1082">
        <v>449840431</v>
      </c>
      <c r="N1082">
        <v>465473043</v>
      </c>
      <c r="O1082">
        <v>459745441</v>
      </c>
      <c r="P1082">
        <v>82</v>
      </c>
      <c r="Q1082" t="s">
        <v>2426</v>
      </c>
    </row>
    <row r="1083" spans="1:17" x14ac:dyDescent="0.3">
      <c r="A1083" t="s">
        <v>17</v>
      </c>
      <c r="B1083" t="str">
        <f>"603012"</f>
        <v>603012</v>
      </c>
      <c r="C1083" t="s">
        <v>2427</v>
      </c>
      <c r="D1083" t="s">
        <v>395</v>
      </c>
      <c r="F1083">
        <v>2614330303</v>
      </c>
      <c r="G1083">
        <v>2287244012</v>
      </c>
      <c r="H1083">
        <v>2288473588</v>
      </c>
      <c r="I1083">
        <v>1607590291</v>
      </c>
      <c r="J1083">
        <v>1253630517</v>
      </c>
      <c r="K1083">
        <v>900917068</v>
      </c>
      <c r="L1083">
        <v>1007113802</v>
      </c>
      <c r="M1083">
        <v>1368124701</v>
      </c>
      <c r="N1083">
        <v>1596696819</v>
      </c>
      <c r="O1083">
        <v>1167999223</v>
      </c>
      <c r="P1083">
        <v>135</v>
      </c>
      <c r="Q1083" t="s">
        <v>2428</v>
      </c>
    </row>
    <row r="1084" spans="1:17" x14ac:dyDescent="0.3">
      <c r="A1084" t="s">
        <v>17</v>
      </c>
      <c r="B1084" t="str">
        <f>"603013"</f>
        <v>603013</v>
      </c>
      <c r="C1084" t="s">
        <v>2429</v>
      </c>
      <c r="D1084" t="s">
        <v>348</v>
      </c>
      <c r="F1084">
        <v>8057483695</v>
      </c>
      <c r="G1084">
        <v>8859295780</v>
      </c>
      <c r="H1084">
        <v>9137817074</v>
      </c>
      <c r="I1084">
        <v>7849144401</v>
      </c>
      <c r="J1084">
        <v>7075434108</v>
      </c>
      <c r="K1084">
        <v>6555934830</v>
      </c>
      <c r="L1084">
        <v>6216440534</v>
      </c>
      <c r="P1084">
        <v>236</v>
      </c>
      <c r="Q1084" t="s">
        <v>2430</v>
      </c>
    </row>
    <row r="1085" spans="1:17" x14ac:dyDescent="0.3">
      <c r="A1085" t="s">
        <v>17</v>
      </c>
      <c r="B1085" t="str">
        <f>"603015"</f>
        <v>603015</v>
      </c>
      <c r="C1085" t="s">
        <v>2431</v>
      </c>
      <c r="D1085" t="s">
        <v>2432</v>
      </c>
      <c r="F1085">
        <v>934971165</v>
      </c>
      <c r="G1085">
        <v>749678650</v>
      </c>
      <c r="H1085">
        <v>600541004</v>
      </c>
      <c r="I1085">
        <v>685622486</v>
      </c>
      <c r="J1085">
        <v>732854079</v>
      </c>
      <c r="K1085">
        <v>530860117</v>
      </c>
      <c r="L1085">
        <v>386579159</v>
      </c>
      <c r="M1085">
        <v>457045350</v>
      </c>
      <c r="N1085">
        <v>438231475</v>
      </c>
      <c r="O1085">
        <v>371999330</v>
      </c>
      <c r="P1085">
        <v>91</v>
      </c>
      <c r="Q1085" t="s">
        <v>2433</v>
      </c>
    </row>
    <row r="1086" spans="1:17" x14ac:dyDescent="0.3">
      <c r="A1086" t="s">
        <v>17</v>
      </c>
      <c r="B1086" t="str">
        <f>"603016"</f>
        <v>603016</v>
      </c>
      <c r="C1086" t="s">
        <v>2434</v>
      </c>
      <c r="D1086" t="s">
        <v>657</v>
      </c>
      <c r="F1086">
        <v>554695347</v>
      </c>
      <c r="G1086">
        <v>443974469</v>
      </c>
      <c r="H1086">
        <v>442648100</v>
      </c>
      <c r="I1086">
        <v>415906264</v>
      </c>
      <c r="J1086">
        <v>379320460</v>
      </c>
      <c r="K1086">
        <v>377221282</v>
      </c>
      <c r="L1086">
        <v>394539184</v>
      </c>
      <c r="M1086">
        <v>397816421</v>
      </c>
      <c r="N1086">
        <v>375983618</v>
      </c>
      <c r="P1086">
        <v>93</v>
      </c>
      <c r="Q1086" t="s">
        <v>2435</v>
      </c>
    </row>
    <row r="1087" spans="1:17" x14ac:dyDescent="0.3">
      <c r="A1087" t="s">
        <v>17</v>
      </c>
      <c r="B1087" t="str">
        <f>"603017"</f>
        <v>603017</v>
      </c>
      <c r="C1087" t="s">
        <v>2436</v>
      </c>
      <c r="D1087" t="s">
        <v>1272</v>
      </c>
      <c r="F1087">
        <v>1793657513</v>
      </c>
      <c r="G1087">
        <v>1835349658</v>
      </c>
      <c r="H1087">
        <v>1942336973</v>
      </c>
      <c r="I1087">
        <v>1866125286</v>
      </c>
      <c r="J1087">
        <v>1454294466</v>
      </c>
      <c r="K1087">
        <v>912343541</v>
      </c>
      <c r="L1087">
        <v>636181254</v>
      </c>
      <c r="M1087">
        <v>539700231</v>
      </c>
      <c r="N1087">
        <v>473738063</v>
      </c>
      <c r="O1087">
        <v>436084471</v>
      </c>
      <c r="P1087">
        <v>121</v>
      </c>
      <c r="Q1087" t="s">
        <v>2437</v>
      </c>
    </row>
    <row r="1088" spans="1:17" x14ac:dyDescent="0.3">
      <c r="A1088" t="s">
        <v>17</v>
      </c>
      <c r="B1088" t="str">
        <f>"603018"</f>
        <v>603018</v>
      </c>
      <c r="C1088" t="s">
        <v>2438</v>
      </c>
      <c r="D1088" t="s">
        <v>1272</v>
      </c>
      <c r="F1088">
        <v>5821964771</v>
      </c>
      <c r="G1088">
        <v>5353803494</v>
      </c>
      <c r="H1088">
        <v>4688414138</v>
      </c>
      <c r="I1088">
        <v>4198494899</v>
      </c>
      <c r="J1088">
        <v>2776259949</v>
      </c>
      <c r="K1088">
        <v>1991233207</v>
      </c>
      <c r="L1088">
        <v>1397289020</v>
      </c>
      <c r="M1088">
        <v>1260879688</v>
      </c>
      <c r="N1088">
        <v>1145875301</v>
      </c>
      <c r="O1088">
        <v>1048240542</v>
      </c>
      <c r="P1088">
        <v>400</v>
      </c>
      <c r="Q1088" t="s">
        <v>2439</v>
      </c>
    </row>
    <row r="1089" spans="1:17" x14ac:dyDescent="0.3">
      <c r="A1089" t="s">
        <v>17</v>
      </c>
      <c r="B1089" t="str">
        <f>"603019"</f>
        <v>603019</v>
      </c>
      <c r="C1089" t="s">
        <v>2440</v>
      </c>
      <c r="D1089" t="s">
        <v>236</v>
      </c>
      <c r="F1089">
        <v>11200362249</v>
      </c>
      <c r="G1089">
        <v>10161133762</v>
      </c>
      <c r="H1089">
        <v>9526470351</v>
      </c>
      <c r="I1089">
        <v>9056879481</v>
      </c>
      <c r="J1089">
        <v>6294223395</v>
      </c>
      <c r="K1089">
        <v>4360148548</v>
      </c>
      <c r="L1089">
        <v>3662113943</v>
      </c>
      <c r="M1089">
        <v>2796751086</v>
      </c>
      <c r="N1089">
        <v>1999660445</v>
      </c>
      <c r="O1089">
        <v>1659788381</v>
      </c>
      <c r="P1089">
        <v>1205</v>
      </c>
      <c r="Q1089" t="s">
        <v>2441</v>
      </c>
    </row>
    <row r="1090" spans="1:17" x14ac:dyDescent="0.3">
      <c r="A1090" t="s">
        <v>17</v>
      </c>
      <c r="B1090" t="str">
        <f>"603020"</f>
        <v>603020</v>
      </c>
      <c r="C1090" t="s">
        <v>2442</v>
      </c>
      <c r="D1090" t="s">
        <v>677</v>
      </c>
      <c r="F1090">
        <v>3344556763</v>
      </c>
      <c r="G1090">
        <v>2668255090</v>
      </c>
      <c r="H1090">
        <v>2474657721</v>
      </c>
      <c r="I1090">
        <v>2499756086</v>
      </c>
      <c r="J1090">
        <v>2324920563</v>
      </c>
      <c r="K1090">
        <v>2281364279</v>
      </c>
      <c r="L1090">
        <v>1830992731</v>
      </c>
      <c r="M1090">
        <v>1658899067</v>
      </c>
      <c r="N1090">
        <v>1472987268</v>
      </c>
      <c r="O1090">
        <v>1319757718</v>
      </c>
      <c r="P1090">
        <v>195</v>
      </c>
      <c r="Q1090" t="s">
        <v>2443</v>
      </c>
    </row>
    <row r="1091" spans="1:17" x14ac:dyDescent="0.3">
      <c r="A1091" t="s">
        <v>17</v>
      </c>
      <c r="B1091" t="str">
        <f>"603021"</f>
        <v>603021</v>
      </c>
      <c r="C1091" t="s">
        <v>2444</v>
      </c>
      <c r="D1091" t="s">
        <v>2445</v>
      </c>
      <c r="F1091">
        <v>856577864</v>
      </c>
      <c r="G1091">
        <v>994023624</v>
      </c>
      <c r="H1091">
        <v>866432732</v>
      </c>
      <c r="I1091">
        <v>801967301</v>
      </c>
      <c r="J1091">
        <v>784513669</v>
      </c>
      <c r="K1091">
        <v>696335671</v>
      </c>
      <c r="L1091">
        <v>725924047</v>
      </c>
      <c r="M1091">
        <v>705138959</v>
      </c>
      <c r="N1091">
        <v>719717927</v>
      </c>
      <c r="O1091">
        <v>694328577</v>
      </c>
      <c r="P1091">
        <v>59</v>
      </c>
      <c r="Q1091" t="s">
        <v>2446</v>
      </c>
    </row>
    <row r="1092" spans="1:17" x14ac:dyDescent="0.3">
      <c r="A1092" t="s">
        <v>17</v>
      </c>
      <c r="B1092" t="str">
        <f>"603022"</f>
        <v>603022</v>
      </c>
      <c r="C1092" t="s">
        <v>2447</v>
      </c>
      <c r="D1092" t="s">
        <v>2448</v>
      </c>
      <c r="F1092">
        <v>728521519</v>
      </c>
      <c r="G1092">
        <v>681462633</v>
      </c>
      <c r="H1092">
        <v>684769112</v>
      </c>
      <c r="I1092">
        <v>665453671</v>
      </c>
      <c r="J1092">
        <v>598539863</v>
      </c>
      <c r="K1092">
        <v>481955529</v>
      </c>
      <c r="L1092">
        <v>502858034</v>
      </c>
      <c r="M1092">
        <v>514571263</v>
      </c>
      <c r="N1092">
        <v>421452422</v>
      </c>
      <c r="O1092">
        <v>367073711</v>
      </c>
      <c r="P1092">
        <v>51</v>
      </c>
      <c r="Q1092" t="s">
        <v>2449</v>
      </c>
    </row>
    <row r="1093" spans="1:17" x14ac:dyDescent="0.3">
      <c r="A1093" t="s">
        <v>17</v>
      </c>
      <c r="B1093" t="str">
        <f>"603023"</f>
        <v>603023</v>
      </c>
      <c r="C1093" t="s">
        <v>2450</v>
      </c>
      <c r="D1093" t="s">
        <v>1415</v>
      </c>
      <c r="F1093">
        <v>70996893</v>
      </c>
      <c r="G1093">
        <v>84542424</v>
      </c>
      <c r="H1093">
        <v>138100072</v>
      </c>
      <c r="I1093">
        <v>201998047</v>
      </c>
      <c r="J1093">
        <v>199313665</v>
      </c>
      <c r="K1093">
        <v>211334455</v>
      </c>
      <c r="L1093">
        <v>203162962</v>
      </c>
      <c r="M1093">
        <v>202622026</v>
      </c>
      <c r="N1093">
        <v>184518083</v>
      </c>
      <c r="O1093">
        <v>155884498</v>
      </c>
      <c r="P1093">
        <v>150</v>
      </c>
      <c r="Q1093" t="s">
        <v>2451</v>
      </c>
    </row>
    <row r="1094" spans="1:17" x14ac:dyDescent="0.3">
      <c r="A1094" t="s">
        <v>17</v>
      </c>
      <c r="B1094" t="str">
        <f>"603025"</f>
        <v>603025</v>
      </c>
      <c r="C1094" t="s">
        <v>2452</v>
      </c>
      <c r="D1094" t="s">
        <v>2432</v>
      </c>
      <c r="F1094">
        <v>1504881075</v>
      </c>
      <c r="G1094">
        <v>832533320</v>
      </c>
      <c r="H1094">
        <v>972860763</v>
      </c>
      <c r="I1094">
        <v>1074713590</v>
      </c>
      <c r="J1094">
        <v>1057056896</v>
      </c>
      <c r="K1094">
        <v>689539575</v>
      </c>
      <c r="L1094">
        <v>621726993</v>
      </c>
      <c r="M1094">
        <v>663515657</v>
      </c>
      <c r="N1094">
        <v>814737068</v>
      </c>
      <c r="O1094">
        <v>546984644</v>
      </c>
      <c r="P1094">
        <v>434</v>
      </c>
      <c r="Q1094" t="s">
        <v>2453</v>
      </c>
    </row>
    <row r="1095" spans="1:17" x14ac:dyDescent="0.3">
      <c r="A1095" t="s">
        <v>17</v>
      </c>
      <c r="B1095" t="str">
        <f>"603026"</f>
        <v>603026</v>
      </c>
      <c r="C1095" t="s">
        <v>2454</v>
      </c>
      <c r="D1095" t="s">
        <v>1790</v>
      </c>
      <c r="F1095">
        <v>7056208585</v>
      </c>
      <c r="G1095">
        <v>4475299825</v>
      </c>
      <c r="H1095">
        <v>4643499948</v>
      </c>
      <c r="I1095">
        <v>5331351551</v>
      </c>
      <c r="J1095">
        <v>4771305974</v>
      </c>
      <c r="K1095">
        <v>3790924054</v>
      </c>
      <c r="L1095">
        <v>3454488117</v>
      </c>
      <c r="M1095">
        <v>5129829298</v>
      </c>
      <c r="N1095">
        <v>5001309698</v>
      </c>
      <c r="O1095">
        <v>3915809980</v>
      </c>
      <c r="P1095">
        <v>420</v>
      </c>
      <c r="Q1095" t="s">
        <v>2455</v>
      </c>
    </row>
    <row r="1096" spans="1:17" x14ac:dyDescent="0.3">
      <c r="A1096" t="s">
        <v>17</v>
      </c>
      <c r="B1096" t="str">
        <f>"603027"</f>
        <v>603027</v>
      </c>
      <c r="C1096" t="s">
        <v>2456</v>
      </c>
      <c r="D1096" t="s">
        <v>433</v>
      </c>
      <c r="F1096">
        <v>1925286294</v>
      </c>
      <c r="G1096">
        <v>1693273982</v>
      </c>
      <c r="H1096">
        <v>1355147204</v>
      </c>
      <c r="I1096">
        <v>1065445794</v>
      </c>
      <c r="J1096">
        <v>948167112</v>
      </c>
      <c r="K1096">
        <v>770860991</v>
      </c>
      <c r="L1096">
        <v>623585956</v>
      </c>
      <c r="M1096">
        <v>650775844</v>
      </c>
      <c r="N1096">
        <v>612649199</v>
      </c>
      <c r="P1096">
        <v>1883</v>
      </c>
      <c r="Q1096" t="s">
        <v>2457</v>
      </c>
    </row>
    <row r="1097" spans="1:17" x14ac:dyDescent="0.3">
      <c r="A1097" t="s">
        <v>17</v>
      </c>
      <c r="B1097" t="str">
        <f>"603028"</f>
        <v>603028</v>
      </c>
      <c r="C1097" t="s">
        <v>2458</v>
      </c>
      <c r="D1097" t="s">
        <v>274</v>
      </c>
      <c r="F1097">
        <v>915557320</v>
      </c>
      <c r="G1097">
        <v>750499586</v>
      </c>
      <c r="H1097">
        <v>631847761</v>
      </c>
      <c r="I1097">
        <v>547361903</v>
      </c>
      <c r="J1097">
        <v>554726412</v>
      </c>
      <c r="K1097">
        <v>518722262</v>
      </c>
      <c r="L1097">
        <v>548228020</v>
      </c>
      <c r="M1097">
        <v>603072278</v>
      </c>
      <c r="N1097">
        <v>607485105</v>
      </c>
      <c r="P1097">
        <v>52</v>
      </c>
      <c r="Q1097" t="s">
        <v>2459</v>
      </c>
    </row>
    <row r="1098" spans="1:17" x14ac:dyDescent="0.3">
      <c r="A1098" t="s">
        <v>17</v>
      </c>
      <c r="B1098" t="str">
        <f>"603029"</f>
        <v>603029</v>
      </c>
      <c r="C1098" t="s">
        <v>2460</v>
      </c>
      <c r="D1098" t="s">
        <v>741</v>
      </c>
      <c r="F1098">
        <v>521660124</v>
      </c>
      <c r="G1098">
        <v>448041639</v>
      </c>
      <c r="H1098">
        <v>461536557</v>
      </c>
      <c r="I1098">
        <v>332296741</v>
      </c>
      <c r="J1098">
        <v>307144622</v>
      </c>
      <c r="K1098">
        <v>251529503</v>
      </c>
      <c r="L1098">
        <v>378594471</v>
      </c>
      <c r="M1098">
        <v>543749533</v>
      </c>
      <c r="N1098">
        <v>557514597</v>
      </c>
      <c r="P1098">
        <v>62</v>
      </c>
      <c r="Q1098" t="s">
        <v>2461</v>
      </c>
    </row>
    <row r="1099" spans="1:17" x14ac:dyDescent="0.3">
      <c r="A1099" t="s">
        <v>17</v>
      </c>
      <c r="B1099" t="str">
        <f>"603030"</f>
        <v>603030</v>
      </c>
      <c r="C1099" t="s">
        <v>2462</v>
      </c>
      <c r="D1099" t="s">
        <v>450</v>
      </c>
      <c r="F1099">
        <v>4041785251</v>
      </c>
      <c r="G1099">
        <v>5424164957</v>
      </c>
      <c r="H1099">
        <v>6936116180</v>
      </c>
      <c r="I1099">
        <v>6521024514</v>
      </c>
      <c r="J1099">
        <v>4625372698</v>
      </c>
      <c r="K1099">
        <v>3335888891</v>
      </c>
      <c r="L1099">
        <v>2184930407</v>
      </c>
      <c r="M1099">
        <v>1811802064</v>
      </c>
      <c r="N1099">
        <v>1675788699</v>
      </c>
      <c r="O1099">
        <v>1317277094</v>
      </c>
      <c r="P1099">
        <v>126</v>
      </c>
      <c r="Q1099" t="s">
        <v>2463</v>
      </c>
    </row>
    <row r="1100" spans="1:17" x14ac:dyDescent="0.3">
      <c r="A1100" t="s">
        <v>17</v>
      </c>
      <c r="B1100" t="str">
        <f>"603031"</f>
        <v>603031</v>
      </c>
      <c r="C1100" t="s">
        <v>2464</v>
      </c>
      <c r="D1100" t="s">
        <v>798</v>
      </c>
      <c r="F1100">
        <v>1677200236</v>
      </c>
      <c r="G1100">
        <v>1765713869</v>
      </c>
      <c r="H1100">
        <v>1897855080</v>
      </c>
      <c r="I1100">
        <v>1802943650</v>
      </c>
      <c r="J1100">
        <v>1705295508</v>
      </c>
      <c r="K1100">
        <v>1540605859</v>
      </c>
      <c r="L1100">
        <v>1456913593</v>
      </c>
      <c r="M1100">
        <v>1378322752</v>
      </c>
      <c r="N1100">
        <v>1290007732</v>
      </c>
      <c r="P1100">
        <v>70</v>
      </c>
      <c r="Q1100" t="s">
        <v>2465</v>
      </c>
    </row>
    <row r="1101" spans="1:17" x14ac:dyDescent="0.3">
      <c r="A1101" t="s">
        <v>17</v>
      </c>
      <c r="B1101" t="str">
        <f>"603032"</f>
        <v>603032</v>
      </c>
      <c r="C1101" t="s">
        <v>2466</v>
      </c>
      <c r="D1101" t="s">
        <v>1133</v>
      </c>
      <c r="F1101">
        <v>271278261</v>
      </c>
      <c r="G1101">
        <v>51433972</v>
      </c>
      <c r="H1101">
        <v>99011137</v>
      </c>
      <c r="I1101">
        <v>170366567</v>
      </c>
      <c r="J1101">
        <v>197336304</v>
      </c>
      <c r="K1101">
        <v>256045518</v>
      </c>
      <c r="L1101">
        <v>327846553</v>
      </c>
      <c r="M1101">
        <v>395059037</v>
      </c>
      <c r="N1101">
        <v>464249146</v>
      </c>
      <c r="P1101">
        <v>73</v>
      </c>
      <c r="Q1101" t="s">
        <v>2467</v>
      </c>
    </row>
    <row r="1102" spans="1:17" x14ac:dyDescent="0.3">
      <c r="A1102" t="s">
        <v>17</v>
      </c>
      <c r="B1102" t="str">
        <f>"603033"</f>
        <v>603033</v>
      </c>
      <c r="C1102" t="s">
        <v>2468</v>
      </c>
      <c r="D1102" t="s">
        <v>2469</v>
      </c>
      <c r="F1102">
        <v>3364352681</v>
      </c>
      <c r="G1102">
        <v>1800185103</v>
      </c>
      <c r="H1102">
        <v>1746775122</v>
      </c>
      <c r="I1102">
        <v>1087583506</v>
      </c>
      <c r="J1102">
        <v>965129591</v>
      </c>
      <c r="K1102">
        <v>757709810</v>
      </c>
      <c r="L1102">
        <v>764501597</v>
      </c>
      <c r="M1102">
        <v>928156586</v>
      </c>
      <c r="N1102">
        <v>971476926</v>
      </c>
      <c r="P1102">
        <v>99</v>
      </c>
      <c r="Q1102" t="s">
        <v>2470</v>
      </c>
    </row>
    <row r="1103" spans="1:17" x14ac:dyDescent="0.3">
      <c r="A1103" t="s">
        <v>17</v>
      </c>
      <c r="B1103" t="str">
        <f>"603035"</f>
        <v>603035</v>
      </c>
      <c r="C1103" t="s">
        <v>2471</v>
      </c>
      <c r="D1103" t="s">
        <v>191</v>
      </c>
      <c r="F1103">
        <v>2662719198</v>
      </c>
      <c r="G1103">
        <v>2217890084</v>
      </c>
      <c r="H1103">
        <v>1824326036</v>
      </c>
      <c r="I1103">
        <v>1463865537</v>
      </c>
      <c r="J1103">
        <v>1339378527</v>
      </c>
      <c r="K1103">
        <v>1436850334</v>
      </c>
      <c r="L1103">
        <v>1021223856</v>
      </c>
      <c r="M1103">
        <v>1088350703</v>
      </c>
      <c r="N1103">
        <v>851852274</v>
      </c>
      <c r="P1103">
        <v>244</v>
      </c>
      <c r="Q1103" t="s">
        <v>2472</v>
      </c>
    </row>
    <row r="1104" spans="1:17" x14ac:dyDescent="0.3">
      <c r="A1104" t="s">
        <v>17</v>
      </c>
      <c r="B1104" t="str">
        <f>"603036"</f>
        <v>603036</v>
      </c>
      <c r="C1104" t="s">
        <v>2473</v>
      </c>
      <c r="D1104" t="s">
        <v>395</v>
      </c>
      <c r="F1104">
        <v>269763777</v>
      </c>
      <c r="G1104">
        <v>290718195</v>
      </c>
      <c r="H1104">
        <v>298859040</v>
      </c>
      <c r="I1104">
        <v>240610811</v>
      </c>
      <c r="J1104">
        <v>196793265</v>
      </c>
      <c r="K1104">
        <v>213459437</v>
      </c>
      <c r="L1104">
        <v>244511437</v>
      </c>
      <c r="M1104">
        <v>308111731</v>
      </c>
      <c r="N1104">
        <v>304168659</v>
      </c>
      <c r="P1104">
        <v>61</v>
      </c>
      <c r="Q1104" t="s">
        <v>2474</v>
      </c>
    </row>
    <row r="1105" spans="1:17" x14ac:dyDescent="0.3">
      <c r="A1105" t="s">
        <v>17</v>
      </c>
      <c r="B1105" t="str">
        <f>"603037"</f>
        <v>603037</v>
      </c>
      <c r="C1105" t="s">
        <v>2475</v>
      </c>
      <c r="D1105" t="s">
        <v>348</v>
      </c>
      <c r="F1105">
        <v>548400899</v>
      </c>
      <c r="G1105">
        <v>494397944</v>
      </c>
      <c r="H1105">
        <v>493692452</v>
      </c>
      <c r="I1105">
        <v>548981329</v>
      </c>
      <c r="J1105">
        <v>450078559</v>
      </c>
      <c r="K1105">
        <v>325550243</v>
      </c>
      <c r="L1105">
        <v>249896748</v>
      </c>
      <c r="M1105">
        <v>237820053</v>
      </c>
      <c r="N1105">
        <v>227858751</v>
      </c>
      <c r="P1105">
        <v>230</v>
      </c>
      <c r="Q1105" t="s">
        <v>2476</v>
      </c>
    </row>
    <row r="1106" spans="1:17" x14ac:dyDescent="0.3">
      <c r="A1106" t="s">
        <v>17</v>
      </c>
      <c r="B1106" t="str">
        <f>"603038"</f>
        <v>603038</v>
      </c>
      <c r="C1106" t="s">
        <v>2477</v>
      </c>
      <c r="D1106" t="s">
        <v>722</v>
      </c>
      <c r="F1106">
        <v>1159038225</v>
      </c>
      <c r="G1106">
        <v>865783130</v>
      </c>
      <c r="H1106">
        <v>910276734</v>
      </c>
      <c r="I1106">
        <v>754187689</v>
      </c>
      <c r="J1106">
        <v>649636851</v>
      </c>
      <c r="K1106">
        <v>562478791</v>
      </c>
      <c r="L1106">
        <v>488859791</v>
      </c>
      <c r="M1106">
        <v>467189911</v>
      </c>
      <c r="N1106">
        <v>432741124</v>
      </c>
      <c r="P1106">
        <v>70</v>
      </c>
      <c r="Q1106" t="s">
        <v>2478</v>
      </c>
    </row>
    <row r="1107" spans="1:17" x14ac:dyDescent="0.3">
      <c r="A1107" t="s">
        <v>17</v>
      </c>
      <c r="B1107" t="str">
        <f>"603039"</f>
        <v>603039</v>
      </c>
      <c r="C1107" t="s">
        <v>2479</v>
      </c>
      <c r="D1107" t="s">
        <v>1189</v>
      </c>
      <c r="F1107">
        <v>2002863166</v>
      </c>
      <c r="G1107">
        <v>1482395169</v>
      </c>
      <c r="H1107">
        <v>1286034407</v>
      </c>
      <c r="I1107">
        <v>1003600759</v>
      </c>
      <c r="J1107">
        <v>704217665</v>
      </c>
      <c r="K1107">
        <v>461305048</v>
      </c>
      <c r="L1107">
        <v>316922107</v>
      </c>
      <c r="M1107">
        <v>254758786</v>
      </c>
      <c r="N1107">
        <v>218968786</v>
      </c>
      <c r="P1107">
        <v>608</v>
      </c>
      <c r="Q1107" t="s">
        <v>2480</v>
      </c>
    </row>
    <row r="1108" spans="1:17" x14ac:dyDescent="0.3">
      <c r="A1108" t="s">
        <v>17</v>
      </c>
      <c r="B1108" t="str">
        <f>"603040"</f>
        <v>603040</v>
      </c>
      <c r="C1108" t="s">
        <v>2481</v>
      </c>
      <c r="D1108" t="s">
        <v>348</v>
      </c>
      <c r="F1108">
        <v>432058572</v>
      </c>
      <c r="G1108">
        <v>376087188</v>
      </c>
      <c r="H1108">
        <v>335654032</v>
      </c>
      <c r="I1108">
        <v>300854571</v>
      </c>
      <c r="J1108">
        <v>270771350</v>
      </c>
      <c r="K1108">
        <v>158074349</v>
      </c>
      <c r="L1108">
        <v>117854032</v>
      </c>
      <c r="M1108">
        <v>120717653</v>
      </c>
      <c r="N1108">
        <v>92651453</v>
      </c>
      <c r="P1108">
        <v>618</v>
      </c>
      <c r="Q1108" t="s">
        <v>2482</v>
      </c>
    </row>
    <row r="1109" spans="1:17" x14ac:dyDescent="0.3">
      <c r="A1109" t="s">
        <v>17</v>
      </c>
      <c r="B1109" t="str">
        <f>"603041"</f>
        <v>603041</v>
      </c>
      <c r="C1109" t="s">
        <v>2483</v>
      </c>
      <c r="D1109" t="s">
        <v>528</v>
      </c>
      <c r="F1109">
        <v>494955741</v>
      </c>
      <c r="G1109">
        <v>389549117</v>
      </c>
      <c r="H1109">
        <v>338597204</v>
      </c>
      <c r="I1109">
        <v>305165538</v>
      </c>
      <c r="J1109">
        <v>301253032</v>
      </c>
      <c r="K1109">
        <v>282225845</v>
      </c>
      <c r="L1109">
        <v>268927453</v>
      </c>
      <c r="M1109">
        <v>292050276</v>
      </c>
      <c r="P1109">
        <v>98</v>
      </c>
      <c r="Q1109" t="s">
        <v>2484</v>
      </c>
    </row>
    <row r="1110" spans="1:17" x14ac:dyDescent="0.3">
      <c r="A1110" t="s">
        <v>17</v>
      </c>
      <c r="B1110" t="str">
        <f>"603042"</f>
        <v>603042</v>
      </c>
      <c r="C1110" t="s">
        <v>2485</v>
      </c>
      <c r="D1110" t="s">
        <v>250</v>
      </c>
      <c r="F1110">
        <v>1184255778</v>
      </c>
      <c r="G1110">
        <v>1161584254</v>
      </c>
      <c r="H1110">
        <v>1153549656</v>
      </c>
      <c r="I1110">
        <v>1030146065</v>
      </c>
      <c r="J1110">
        <v>1124331330</v>
      </c>
      <c r="K1110">
        <v>997912144</v>
      </c>
      <c r="L1110">
        <v>876274118</v>
      </c>
      <c r="M1110">
        <v>682514939</v>
      </c>
      <c r="P1110">
        <v>122</v>
      </c>
      <c r="Q1110" t="s">
        <v>2486</v>
      </c>
    </row>
    <row r="1111" spans="1:17" x14ac:dyDescent="0.3">
      <c r="A1111" t="s">
        <v>17</v>
      </c>
      <c r="B1111" t="str">
        <f>"603043"</f>
        <v>603043</v>
      </c>
      <c r="C1111" t="s">
        <v>2487</v>
      </c>
      <c r="D1111" t="s">
        <v>2488</v>
      </c>
      <c r="F1111">
        <v>3889924382</v>
      </c>
      <c r="G1111">
        <v>3287486223</v>
      </c>
      <c r="H1111">
        <v>3028699726</v>
      </c>
      <c r="I1111">
        <v>2537127359</v>
      </c>
      <c r="J1111">
        <v>2189211098</v>
      </c>
      <c r="K1111">
        <v>1936060510</v>
      </c>
      <c r="L1111">
        <v>1736544615</v>
      </c>
      <c r="M1111">
        <v>1555284921</v>
      </c>
      <c r="P1111">
        <v>1511</v>
      </c>
      <c r="Q1111" t="s">
        <v>2489</v>
      </c>
    </row>
    <row r="1112" spans="1:17" x14ac:dyDescent="0.3">
      <c r="A1112" t="s">
        <v>17</v>
      </c>
      <c r="B1112" t="str">
        <f>"603045"</f>
        <v>603045</v>
      </c>
      <c r="C1112" t="s">
        <v>2490</v>
      </c>
      <c r="D1112" t="s">
        <v>581</v>
      </c>
      <c r="F1112">
        <v>2931123716</v>
      </c>
      <c r="G1112">
        <v>2304550443</v>
      </c>
      <c r="H1112">
        <v>1563779136</v>
      </c>
      <c r="I1112">
        <v>1325482379</v>
      </c>
      <c r="J1112">
        <v>1254929005</v>
      </c>
      <c r="K1112">
        <v>1036852997</v>
      </c>
      <c r="L1112">
        <v>848924889</v>
      </c>
      <c r="M1112">
        <v>969151560</v>
      </c>
      <c r="P1112">
        <v>54</v>
      </c>
      <c r="Q1112" t="s">
        <v>2491</v>
      </c>
    </row>
    <row r="1113" spans="1:17" x14ac:dyDescent="0.3">
      <c r="A1113" t="s">
        <v>17</v>
      </c>
      <c r="B1113" t="str">
        <f>"603048"</f>
        <v>603048</v>
      </c>
      <c r="C1113" t="s">
        <v>2492</v>
      </c>
      <c r="D1113" t="s">
        <v>985</v>
      </c>
      <c r="F1113">
        <v>595588480</v>
      </c>
      <c r="G1113">
        <v>552481424</v>
      </c>
      <c r="H1113">
        <v>453394600</v>
      </c>
      <c r="I1113">
        <v>453970863</v>
      </c>
      <c r="J1113">
        <v>474217891</v>
      </c>
      <c r="P1113">
        <v>16</v>
      </c>
      <c r="Q1113" t="s">
        <v>2493</v>
      </c>
    </row>
    <row r="1114" spans="1:17" x14ac:dyDescent="0.3">
      <c r="A1114" t="s">
        <v>17</v>
      </c>
      <c r="B1114" t="str">
        <f>"603050"</f>
        <v>603050</v>
      </c>
      <c r="C1114" t="s">
        <v>2494</v>
      </c>
      <c r="D1114" t="s">
        <v>610</v>
      </c>
      <c r="F1114">
        <v>2039207683</v>
      </c>
      <c r="G1114">
        <v>1753241918</v>
      </c>
      <c r="H1114">
        <v>1427649292</v>
      </c>
      <c r="I1114">
        <v>1220653826</v>
      </c>
      <c r="J1114">
        <v>969473942</v>
      </c>
      <c r="K1114">
        <v>793727108</v>
      </c>
      <c r="L1114">
        <v>605475306</v>
      </c>
      <c r="M1114">
        <v>507776477</v>
      </c>
      <c r="P1114">
        <v>124</v>
      </c>
      <c r="Q1114" t="s">
        <v>2495</v>
      </c>
    </row>
    <row r="1115" spans="1:17" x14ac:dyDescent="0.3">
      <c r="A1115" t="s">
        <v>17</v>
      </c>
      <c r="B1115" t="str">
        <f>"603051"</f>
        <v>603051</v>
      </c>
      <c r="C1115" t="s">
        <v>2496</v>
      </c>
      <c r="F1115">
        <v>1693205534</v>
      </c>
      <c r="G1115">
        <v>1011511935</v>
      </c>
      <c r="H1115">
        <v>794973957</v>
      </c>
      <c r="I1115">
        <v>766316089</v>
      </c>
      <c r="P1115">
        <v>3</v>
      </c>
      <c r="Q1115" t="s">
        <v>2497</v>
      </c>
    </row>
    <row r="1116" spans="1:17" x14ac:dyDescent="0.3">
      <c r="A1116" t="s">
        <v>17</v>
      </c>
      <c r="B1116" t="str">
        <f>"603053"</f>
        <v>603053</v>
      </c>
      <c r="C1116" t="s">
        <v>2498</v>
      </c>
      <c r="D1116" t="s">
        <v>749</v>
      </c>
      <c r="F1116">
        <v>4381483011</v>
      </c>
      <c r="G1116">
        <v>4167991295</v>
      </c>
      <c r="H1116">
        <v>4818531348</v>
      </c>
      <c r="I1116">
        <v>4428794808</v>
      </c>
      <c r="J1116">
        <v>3862206474</v>
      </c>
      <c r="K1116">
        <v>3609975300</v>
      </c>
      <c r="P1116">
        <v>118</v>
      </c>
      <c r="Q1116" t="s">
        <v>2499</v>
      </c>
    </row>
    <row r="1117" spans="1:17" x14ac:dyDescent="0.3">
      <c r="A1117" t="s">
        <v>17</v>
      </c>
      <c r="B1117" t="str">
        <f>"603055"</f>
        <v>603055</v>
      </c>
      <c r="C1117" t="s">
        <v>2500</v>
      </c>
      <c r="D1117" t="s">
        <v>366</v>
      </c>
      <c r="F1117">
        <v>4256569827</v>
      </c>
      <c r="G1117">
        <v>2501123696</v>
      </c>
      <c r="H1117">
        <v>2690568442</v>
      </c>
      <c r="I1117">
        <v>2974332569</v>
      </c>
      <c r="J1117">
        <v>2728532363</v>
      </c>
      <c r="K1117">
        <v>2243816225</v>
      </c>
      <c r="L1117">
        <v>1896915098</v>
      </c>
      <c r="M1117">
        <v>1941972100</v>
      </c>
      <c r="P1117">
        <v>147</v>
      </c>
      <c r="Q1117" t="s">
        <v>2501</v>
      </c>
    </row>
    <row r="1118" spans="1:17" x14ac:dyDescent="0.3">
      <c r="A1118" t="s">
        <v>17</v>
      </c>
      <c r="B1118" t="str">
        <f>"603056"</f>
        <v>603056</v>
      </c>
      <c r="C1118" t="s">
        <v>2502</v>
      </c>
      <c r="D1118" t="s">
        <v>2503</v>
      </c>
      <c r="F1118">
        <v>31359068083</v>
      </c>
      <c r="G1118">
        <v>27503446482</v>
      </c>
      <c r="H1118">
        <v>25922101315</v>
      </c>
      <c r="I1118">
        <v>23025322204</v>
      </c>
      <c r="J1118">
        <v>20350106001</v>
      </c>
      <c r="K1118">
        <v>17000940584</v>
      </c>
      <c r="L1118">
        <v>12921493593</v>
      </c>
      <c r="M1118">
        <v>10493121855</v>
      </c>
      <c r="P1118">
        <v>412</v>
      </c>
      <c r="Q1118" t="s">
        <v>2504</v>
      </c>
    </row>
    <row r="1119" spans="1:17" x14ac:dyDescent="0.3">
      <c r="A1119" t="s">
        <v>17</v>
      </c>
      <c r="B1119" t="str">
        <f>"603058"</f>
        <v>603058</v>
      </c>
      <c r="C1119" t="s">
        <v>2505</v>
      </c>
      <c r="D1119" t="s">
        <v>2165</v>
      </c>
      <c r="F1119">
        <v>435978171</v>
      </c>
      <c r="G1119">
        <v>438812562</v>
      </c>
      <c r="H1119">
        <v>470453006</v>
      </c>
      <c r="I1119">
        <v>431983390</v>
      </c>
      <c r="J1119">
        <v>334603784</v>
      </c>
      <c r="K1119">
        <v>327930888</v>
      </c>
      <c r="L1119">
        <v>328763385</v>
      </c>
      <c r="M1119">
        <v>350701857</v>
      </c>
      <c r="N1119">
        <v>345093149</v>
      </c>
      <c r="P1119">
        <v>121</v>
      </c>
      <c r="Q1119" t="s">
        <v>2506</v>
      </c>
    </row>
    <row r="1120" spans="1:17" x14ac:dyDescent="0.3">
      <c r="A1120" t="s">
        <v>17</v>
      </c>
      <c r="B1120" t="str">
        <f>"603059"</f>
        <v>603059</v>
      </c>
      <c r="C1120" t="s">
        <v>2507</v>
      </c>
      <c r="D1120" t="s">
        <v>569</v>
      </c>
      <c r="F1120">
        <v>1038587042</v>
      </c>
      <c r="G1120">
        <v>827733644</v>
      </c>
      <c r="H1120">
        <v>805994375</v>
      </c>
      <c r="I1120">
        <v>755489892</v>
      </c>
      <c r="J1120">
        <v>668863345</v>
      </c>
      <c r="K1120">
        <v>625587466</v>
      </c>
      <c r="L1120">
        <v>471976552</v>
      </c>
      <c r="P1120">
        <v>99</v>
      </c>
      <c r="Q1120" t="s">
        <v>2508</v>
      </c>
    </row>
    <row r="1121" spans="1:17" x14ac:dyDescent="0.3">
      <c r="A1121" t="s">
        <v>17</v>
      </c>
      <c r="B1121" t="str">
        <f>"603060"</f>
        <v>603060</v>
      </c>
      <c r="C1121" t="s">
        <v>2509</v>
      </c>
      <c r="D1121" t="s">
        <v>2510</v>
      </c>
      <c r="F1121">
        <v>2216983671</v>
      </c>
      <c r="G1121">
        <v>1472771622</v>
      </c>
      <c r="H1121">
        <v>1107279854</v>
      </c>
      <c r="I1121">
        <v>937307545</v>
      </c>
      <c r="J1121">
        <v>752408926</v>
      </c>
      <c r="K1121">
        <v>665011422</v>
      </c>
      <c r="L1121">
        <v>597037872</v>
      </c>
      <c r="M1121">
        <v>528809681</v>
      </c>
      <c r="N1121">
        <v>484907942</v>
      </c>
      <c r="P1121">
        <v>507</v>
      </c>
      <c r="Q1121" t="s">
        <v>2511</v>
      </c>
    </row>
    <row r="1122" spans="1:17" x14ac:dyDescent="0.3">
      <c r="A1122" t="s">
        <v>17</v>
      </c>
      <c r="B1122" t="str">
        <f>"603063"</f>
        <v>603063</v>
      </c>
      <c r="C1122" t="s">
        <v>2512</v>
      </c>
      <c r="D1122" t="s">
        <v>950</v>
      </c>
      <c r="F1122">
        <v>2103879100</v>
      </c>
      <c r="G1122">
        <v>2338516545</v>
      </c>
      <c r="H1122">
        <v>1786258128</v>
      </c>
      <c r="I1122">
        <v>1181410705</v>
      </c>
      <c r="J1122">
        <v>878145239</v>
      </c>
      <c r="K1122">
        <v>807764750</v>
      </c>
      <c r="L1122">
        <v>951625733</v>
      </c>
      <c r="M1122">
        <v>727667068</v>
      </c>
      <c r="P1122">
        <v>212</v>
      </c>
      <c r="Q1122" t="s">
        <v>2513</v>
      </c>
    </row>
    <row r="1123" spans="1:17" x14ac:dyDescent="0.3">
      <c r="A1123" t="s">
        <v>17</v>
      </c>
      <c r="B1123" t="str">
        <f>"603066"</f>
        <v>603066</v>
      </c>
      <c r="C1123" t="s">
        <v>2514</v>
      </c>
      <c r="D1123" t="s">
        <v>537</v>
      </c>
      <c r="F1123">
        <v>1008980379</v>
      </c>
      <c r="G1123">
        <v>664640415</v>
      </c>
      <c r="H1123">
        <v>701143166</v>
      </c>
      <c r="I1123">
        <v>689408364</v>
      </c>
      <c r="J1123">
        <v>598911055</v>
      </c>
      <c r="K1123">
        <v>490188562</v>
      </c>
      <c r="L1123">
        <v>464057441</v>
      </c>
      <c r="M1123">
        <v>474346896</v>
      </c>
      <c r="N1123">
        <v>423946773</v>
      </c>
      <c r="O1123">
        <v>439638727</v>
      </c>
      <c r="P1123">
        <v>116</v>
      </c>
      <c r="Q1123" t="s">
        <v>2515</v>
      </c>
    </row>
    <row r="1124" spans="1:17" x14ac:dyDescent="0.3">
      <c r="A1124" t="s">
        <v>17</v>
      </c>
      <c r="B1124" t="str">
        <f>"603067"</f>
        <v>603067</v>
      </c>
      <c r="C1124" t="s">
        <v>2516</v>
      </c>
      <c r="D1124" t="s">
        <v>736</v>
      </c>
      <c r="F1124">
        <v>2993229141</v>
      </c>
      <c r="G1124">
        <v>1278417736</v>
      </c>
      <c r="H1124">
        <v>1395221721</v>
      </c>
      <c r="I1124">
        <v>1404863524</v>
      </c>
      <c r="J1124">
        <v>1185479725</v>
      </c>
      <c r="K1124">
        <v>874507736</v>
      </c>
      <c r="L1124">
        <v>776352339</v>
      </c>
      <c r="M1124">
        <v>819035515</v>
      </c>
      <c r="N1124">
        <v>624926275</v>
      </c>
      <c r="P1124">
        <v>136</v>
      </c>
      <c r="Q1124" t="s">
        <v>2517</v>
      </c>
    </row>
    <row r="1125" spans="1:17" x14ac:dyDescent="0.3">
      <c r="A1125" t="s">
        <v>17</v>
      </c>
      <c r="B1125" t="str">
        <f>"603068"</f>
        <v>603068</v>
      </c>
      <c r="C1125" t="s">
        <v>2518</v>
      </c>
      <c r="D1125" t="s">
        <v>401</v>
      </c>
      <c r="F1125">
        <v>1094992694</v>
      </c>
      <c r="G1125">
        <v>808699708</v>
      </c>
      <c r="H1125">
        <v>1174623899</v>
      </c>
      <c r="I1125">
        <v>546120108</v>
      </c>
      <c r="J1125">
        <v>565321479</v>
      </c>
      <c r="K1125">
        <v>523622768</v>
      </c>
      <c r="P1125">
        <v>345</v>
      </c>
      <c r="Q1125" t="s">
        <v>2519</v>
      </c>
    </row>
    <row r="1126" spans="1:17" x14ac:dyDescent="0.3">
      <c r="A1126" t="s">
        <v>17</v>
      </c>
      <c r="B1126" t="str">
        <f>"603069"</f>
        <v>603069</v>
      </c>
      <c r="C1126" t="s">
        <v>2520</v>
      </c>
      <c r="D1126" t="s">
        <v>1133</v>
      </c>
      <c r="F1126">
        <v>732118048</v>
      </c>
      <c r="G1126">
        <v>628084302</v>
      </c>
      <c r="H1126">
        <v>1040705238</v>
      </c>
      <c r="I1126">
        <v>1117169819</v>
      </c>
      <c r="J1126">
        <v>1105401743</v>
      </c>
      <c r="K1126">
        <v>1090147846</v>
      </c>
      <c r="L1126">
        <v>1237957319</v>
      </c>
      <c r="M1126">
        <v>1325646235</v>
      </c>
      <c r="N1126">
        <v>1318649810</v>
      </c>
      <c r="P1126">
        <v>98</v>
      </c>
      <c r="Q1126" t="s">
        <v>2521</v>
      </c>
    </row>
    <row r="1127" spans="1:17" x14ac:dyDescent="0.3">
      <c r="A1127" t="s">
        <v>17</v>
      </c>
      <c r="B1127" t="str">
        <f>"603070"</f>
        <v>603070</v>
      </c>
      <c r="C1127" t="s">
        <v>2522</v>
      </c>
      <c r="F1127">
        <v>2160208284</v>
      </c>
      <c r="G1127">
        <v>1689399587</v>
      </c>
      <c r="H1127">
        <v>1601249083</v>
      </c>
      <c r="I1127">
        <v>1413482749</v>
      </c>
      <c r="P1127">
        <v>10</v>
      </c>
      <c r="Q1127" t="s">
        <v>2523</v>
      </c>
    </row>
    <row r="1128" spans="1:17" x14ac:dyDescent="0.3">
      <c r="A1128" t="s">
        <v>17</v>
      </c>
      <c r="B1128" t="str">
        <f>"603071"</f>
        <v>603071</v>
      </c>
      <c r="C1128" t="s">
        <v>2524</v>
      </c>
      <c r="D1128" t="s">
        <v>351</v>
      </c>
      <c r="F1128">
        <v>59881313226</v>
      </c>
      <c r="G1128">
        <v>30064154082</v>
      </c>
      <c r="H1128">
        <v>32325011729</v>
      </c>
      <c r="I1128">
        <v>35510578328</v>
      </c>
      <c r="J1128">
        <v>32665384348</v>
      </c>
      <c r="P1128">
        <v>19</v>
      </c>
      <c r="Q1128" t="s">
        <v>2525</v>
      </c>
    </row>
    <row r="1129" spans="1:17" x14ac:dyDescent="0.3">
      <c r="A1129" t="s">
        <v>17</v>
      </c>
      <c r="B1129" t="str">
        <f>"603076"</f>
        <v>603076</v>
      </c>
      <c r="C1129" t="s">
        <v>2526</v>
      </c>
      <c r="D1129" t="s">
        <v>741</v>
      </c>
      <c r="F1129">
        <v>989369934</v>
      </c>
      <c r="G1129">
        <v>852148606</v>
      </c>
      <c r="H1129">
        <v>753770003</v>
      </c>
      <c r="I1129">
        <v>970881276</v>
      </c>
      <c r="J1129">
        <v>831504546</v>
      </c>
      <c r="K1129">
        <v>951005500</v>
      </c>
      <c r="L1129">
        <v>724353671</v>
      </c>
      <c r="M1129">
        <v>732851591</v>
      </c>
      <c r="P1129">
        <v>87</v>
      </c>
      <c r="Q1129" t="s">
        <v>2527</v>
      </c>
    </row>
    <row r="1130" spans="1:17" x14ac:dyDescent="0.3">
      <c r="A1130" t="s">
        <v>17</v>
      </c>
      <c r="B1130" t="str">
        <f>"603077"</f>
        <v>603077</v>
      </c>
      <c r="C1130" t="s">
        <v>2528</v>
      </c>
      <c r="D1130" t="s">
        <v>2529</v>
      </c>
      <c r="F1130">
        <v>9867109124</v>
      </c>
      <c r="G1130">
        <v>5260765989</v>
      </c>
      <c r="H1130">
        <v>5969100707</v>
      </c>
      <c r="I1130">
        <v>6009019092</v>
      </c>
      <c r="J1130">
        <v>4737645968</v>
      </c>
      <c r="K1130">
        <v>3462551545</v>
      </c>
      <c r="L1130">
        <v>2862644130</v>
      </c>
      <c r="M1130">
        <v>2185698572</v>
      </c>
      <c r="N1130">
        <v>1602663965</v>
      </c>
      <c r="O1130">
        <v>1737770889</v>
      </c>
      <c r="P1130">
        <v>265</v>
      </c>
      <c r="Q1130" t="s">
        <v>2530</v>
      </c>
    </row>
    <row r="1131" spans="1:17" x14ac:dyDescent="0.3">
      <c r="A1131" t="s">
        <v>17</v>
      </c>
      <c r="B1131" t="str">
        <f>"603078"</f>
        <v>603078</v>
      </c>
      <c r="C1131" t="s">
        <v>2531</v>
      </c>
      <c r="D1131" t="s">
        <v>2408</v>
      </c>
      <c r="F1131">
        <v>792144498</v>
      </c>
      <c r="G1131">
        <v>563794823</v>
      </c>
      <c r="H1131">
        <v>490429535</v>
      </c>
      <c r="I1131">
        <v>383677449</v>
      </c>
      <c r="J1131">
        <v>354282320</v>
      </c>
      <c r="K1131">
        <v>333055216</v>
      </c>
      <c r="L1131">
        <v>325639955</v>
      </c>
      <c r="M1131">
        <v>353959674</v>
      </c>
      <c r="P1131">
        <v>226</v>
      </c>
      <c r="Q1131" t="s">
        <v>2532</v>
      </c>
    </row>
    <row r="1132" spans="1:17" x14ac:dyDescent="0.3">
      <c r="A1132" t="s">
        <v>17</v>
      </c>
      <c r="B1132" t="str">
        <f>"603079"</f>
        <v>603079</v>
      </c>
      <c r="C1132" t="s">
        <v>2533</v>
      </c>
      <c r="D1132" t="s">
        <v>496</v>
      </c>
      <c r="F1132">
        <v>789732755</v>
      </c>
      <c r="G1132">
        <v>867314753</v>
      </c>
      <c r="H1132">
        <v>519149812</v>
      </c>
      <c r="I1132">
        <v>492709861</v>
      </c>
      <c r="J1132">
        <v>508561121</v>
      </c>
      <c r="K1132">
        <v>482147681</v>
      </c>
      <c r="L1132">
        <v>536429475</v>
      </c>
      <c r="M1132">
        <v>380897098</v>
      </c>
      <c r="P1132">
        <v>239</v>
      </c>
      <c r="Q1132" t="s">
        <v>2534</v>
      </c>
    </row>
    <row r="1133" spans="1:17" x14ac:dyDescent="0.3">
      <c r="A1133" t="s">
        <v>17</v>
      </c>
      <c r="B1133" t="str">
        <f>"603080"</f>
        <v>603080</v>
      </c>
      <c r="C1133" t="s">
        <v>2535</v>
      </c>
      <c r="D1133" t="s">
        <v>749</v>
      </c>
      <c r="F1133">
        <v>899814190</v>
      </c>
      <c r="G1133">
        <v>677324133</v>
      </c>
      <c r="H1133">
        <v>573707479</v>
      </c>
      <c r="I1133">
        <v>389030467</v>
      </c>
      <c r="J1133">
        <v>360774141</v>
      </c>
      <c r="K1133">
        <v>310712304</v>
      </c>
      <c r="L1133">
        <v>305719808</v>
      </c>
      <c r="M1133">
        <v>281041243</v>
      </c>
      <c r="P1133">
        <v>93</v>
      </c>
      <c r="Q1133" t="s">
        <v>2536</v>
      </c>
    </row>
    <row r="1134" spans="1:17" x14ac:dyDescent="0.3">
      <c r="A1134" t="s">
        <v>17</v>
      </c>
      <c r="B1134" t="str">
        <f>"603081"</f>
        <v>603081</v>
      </c>
      <c r="C1134" t="s">
        <v>2537</v>
      </c>
      <c r="D1134" t="s">
        <v>450</v>
      </c>
      <c r="F1134">
        <v>2958561511</v>
      </c>
      <c r="G1134">
        <v>2509112917</v>
      </c>
      <c r="H1134">
        <v>2140753444</v>
      </c>
      <c r="I1134">
        <v>1795229226</v>
      </c>
      <c r="J1134">
        <v>1706960285</v>
      </c>
      <c r="K1134">
        <v>1616823453</v>
      </c>
      <c r="L1134">
        <v>1395942024</v>
      </c>
      <c r="M1134">
        <v>1285498316</v>
      </c>
      <c r="P1134">
        <v>144</v>
      </c>
      <c r="Q1134" t="s">
        <v>2538</v>
      </c>
    </row>
    <row r="1135" spans="1:17" x14ac:dyDescent="0.3">
      <c r="A1135" t="s">
        <v>17</v>
      </c>
      <c r="B1135" t="str">
        <f>"603083"</f>
        <v>603083</v>
      </c>
      <c r="C1135" t="s">
        <v>2539</v>
      </c>
      <c r="D1135" t="s">
        <v>786</v>
      </c>
      <c r="F1135">
        <v>2919538999</v>
      </c>
      <c r="G1135">
        <v>2708835611</v>
      </c>
      <c r="H1135">
        <v>2973748562</v>
      </c>
      <c r="I1135">
        <v>3156324224</v>
      </c>
      <c r="J1135">
        <v>2486540276</v>
      </c>
      <c r="K1135">
        <v>1997890422</v>
      </c>
      <c r="L1135">
        <v>2644227967</v>
      </c>
      <c r="M1135">
        <v>1758102941</v>
      </c>
      <c r="P1135">
        <v>272</v>
      </c>
      <c r="Q1135" t="s">
        <v>2540</v>
      </c>
    </row>
    <row r="1136" spans="1:17" x14ac:dyDescent="0.3">
      <c r="A1136" t="s">
        <v>17</v>
      </c>
      <c r="B1136" t="str">
        <f>"603085"</f>
        <v>603085</v>
      </c>
      <c r="C1136" t="s">
        <v>2541</v>
      </c>
      <c r="D1136" t="s">
        <v>191</v>
      </c>
      <c r="F1136">
        <v>1703718700</v>
      </c>
      <c r="G1136">
        <v>1427717718</v>
      </c>
      <c r="H1136">
        <v>1456138936</v>
      </c>
      <c r="I1136">
        <v>957967600</v>
      </c>
      <c r="J1136">
        <v>783092965</v>
      </c>
      <c r="K1136">
        <v>361063829</v>
      </c>
      <c r="L1136">
        <v>292588900</v>
      </c>
      <c r="M1136">
        <v>309935591</v>
      </c>
      <c r="N1136">
        <v>274605608</v>
      </c>
      <c r="O1136">
        <v>222088065</v>
      </c>
      <c r="P1136">
        <v>81</v>
      </c>
      <c r="Q1136" t="s">
        <v>2542</v>
      </c>
    </row>
    <row r="1137" spans="1:17" x14ac:dyDescent="0.3">
      <c r="A1137" t="s">
        <v>17</v>
      </c>
      <c r="B1137" t="str">
        <f>"603086"</f>
        <v>603086</v>
      </c>
      <c r="C1137" t="s">
        <v>2543</v>
      </c>
      <c r="D1137" t="s">
        <v>853</v>
      </c>
      <c r="F1137">
        <v>2202538107</v>
      </c>
      <c r="G1137">
        <v>1895595666</v>
      </c>
      <c r="H1137">
        <v>1574570054</v>
      </c>
      <c r="I1137">
        <v>1635892406</v>
      </c>
      <c r="J1137">
        <v>1118882201</v>
      </c>
      <c r="K1137">
        <v>865656627</v>
      </c>
      <c r="L1137">
        <v>803502112</v>
      </c>
      <c r="M1137">
        <v>822810857</v>
      </c>
      <c r="P1137">
        <v>124</v>
      </c>
      <c r="Q1137" t="s">
        <v>2544</v>
      </c>
    </row>
    <row r="1138" spans="1:17" x14ac:dyDescent="0.3">
      <c r="A1138" t="s">
        <v>17</v>
      </c>
      <c r="B1138" t="str">
        <f>"603087"</f>
        <v>603087</v>
      </c>
      <c r="C1138" t="s">
        <v>2545</v>
      </c>
      <c r="D1138" t="s">
        <v>1379</v>
      </c>
      <c r="F1138">
        <v>3612043828</v>
      </c>
      <c r="G1138">
        <v>3361881875</v>
      </c>
      <c r="H1138">
        <v>2895062095</v>
      </c>
      <c r="I1138">
        <v>2387386516</v>
      </c>
      <c r="J1138">
        <v>2370529474</v>
      </c>
      <c r="K1138">
        <v>1771493418</v>
      </c>
      <c r="P1138">
        <v>677</v>
      </c>
      <c r="Q1138" t="s">
        <v>2546</v>
      </c>
    </row>
    <row r="1139" spans="1:17" x14ac:dyDescent="0.3">
      <c r="A1139" t="s">
        <v>17</v>
      </c>
      <c r="B1139" t="str">
        <f>"603088"</f>
        <v>603088</v>
      </c>
      <c r="C1139" t="s">
        <v>2547</v>
      </c>
      <c r="D1139" t="s">
        <v>2321</v>
      </c>
      <c r="F1139">
        <v>533822892</v>
      </c>
      <c r="G1139">
        <v>425250565</v>
      </c>
      <c r="H1139">
        <v>377574204</v>
      </c>
      <c r="I1139">
        <v>343939004</v>
      </c>
      <c r="J1139">
        <v>307961310</v>
      </c>
      <c r="K1139">
        <v>234257341</v>
      </c>
      <c r="L1139">
        <v>189915086</v>
      </c>
      <c r="M1139">
        <v>231871729</v>
      </c>
      <c r="N1139">
        <v>211004590</v>
      </c>
      <c r="O1139">
        <v>235643543</v>
      </c>
      <c r="P1139">
        <v>106</v>
      </c>
      <c r="Q1139" t="s">
        <v>2548</v>
      </c>
    </row>
    <row r="1140" spans="1:17" x14ac:dyDescent="0.3">
      <c r="A1140" t="s">
        <v>17</v>
      </c>
      <c r="B1140" t="str">
        <f>"603089"</f>
        <v>603089</v>
      </c>
      <c r="C1140" t="s">
        <v>2549</v>
      </c>
      <c r="D1140" t="s">
        <v>348</v>
      </c>
      <c r="F1140">
        <v>1610663737</v>
      </c>
      <c r="G1140">
        <v>1137747546</v>
      </c>
      <c r="H1140">
        <v>1108868101</v>
      </c>
      <c r="I1140">
        <v>1082674291</v>
      </c>
      <c r="J1140">
        <v>843129426</v>
      </c>
      <c r="K1140">
        <v>691866834</v>
      </c>
      <c r="L1140">
        <v>571645291</v>
      </c>
      <c r="M1140">
        <v>639977574</v>
      </c>
      <c r="N1140">
        <v>497274499</v>
      </c>
      <c r="P1140">
        <v>111</v>
      </c>
      <c r="Q1140" t="s">
        <v>2550</v>
      </c>
    </row>
    <row r="1141" spans="1:17" x14ac:dyDescent="0.3">
      <c r="A1141" t="s">
        <v>17</v>
      </c>
      <c r="B1141" t="str">
        <f>"603090"</f>
        <v>603090</v>
      </c>
      <c r="C1141" t="s">
        <v>2551</v>
      </c>
      <c r="D1141" t="s">
        <v>560</v>
      </c>
      <c r="F1141">
        <v>559323180</v>
      </c>
      <c r="G1141">
        <v>325149347</v>
      </c>
      <c r="H1141">
        <v>490762252</v>
      </c>
      <c r="I1141">
        <v>415142927</v>
      </c>
      <c r="J1141">
        <v>367951683</v>
      </c>
      <c r="K1141">
        <v>229942862</v>
      </c>
      <c r="L1141">
        <v>237036959</v>
      </c>
      <c r="M1141">
        <v>229978112</v>
      </c>
      <c r="N1141">
        <v>206397036</v>
      </c>
      <c r="P1141">
        <v>51</v>
      </c>
      <c r="Q1141" t="s">
        <v>2552</v>
      </c>
    </row>
    <row r="1142" spans="1:17" x14ac:dyDescent="0.3">
      <c r="A1142" t="s">
        <v>17</v>
      </c>
      <c r="B1142" t="str">
        <f>"603093"</f>
        <v>603093</v>
      </c>
      <c r="C1142" t="s">
        <v>2553</v>
      </c>
      <c r="D1142" t="s">
        <v>1847</v>
      </c>
      <c r="F1142">
        <v>10514796720</v>
      </c>
      <c r="G1142">
        <v>9915230244</v>
      </c>
      <c r="H1142">
        <v>9537526165</v>
      </c>
      <c r="I1142">
        <v>4597210613</v>
      </c>
      <c r="J1142">
        <v>2041905584</v>
      </c>
      <c r="K1142">
        <v>777292891</v>
      </c>
      <c r="L1142">
        <v>888515400</v>
      </c>
      <c r="M1142">
        <v>1093694800</v>
      </c>
      <c r="N1142">
        <v>767110400</v>
      </c>
      <c r="O1142">
        <v>490680200</v>
      </c>
      <c r="P1142">
        <v>84</v>
      </c>
      <c r="Q1142" t="s">
        <v>2554</v>
      </c>
    </row>
    <row r="1143" spans="1:17" x14ac:dyDescent="0.3">
      <c r="A1143" t="s">
        <v>17</v>
      </c>
      <c r="B1143" t="str">
        <f>"603095"</f>
        <v>603095</v>
      </c>
      <c r="C1143" t="s">
        <v>2555</v>
      </c>
      <c r="D1143" t="s">
        <v>534</v>
      </c>
      <c r="F1143">
        <v>1550207863</v>
      </c>
      <c r="G1143">
        <v>738824383</v>
      </c>
      <c r="H1143">
        <v>1017678343</v>
      </c>
      <c r="I1143">
        <v>985560300</v>
      </c>
      <c r="J1143">
        <v>918948333</v>
      </c>
      <c r="P1143">
        <v>64</v>
      </c>
      <c r="Q1143" t="s">
        <v>2556</v>
      </c>
    </row>
    <row r="1144" spans="1:17" x14ac:dyDescent="0.3">
      <c r="A1144" t="s">
        <v>17</v>
      </c>
      <c r="B1144" t="str">
        <f>"603096"</f>
        <v>603096</v>
      </c>
      <c r="C1144" t="s">
        <v>2557</v>
      </c>
      <c r="D1144" t="s">
        <v>525</v>
      </c>
      <c r="F1144">
        <v>921638710</v>
      </c>
      <c r="G1144">
        <v>875930308</v>
      </c>
      <c r="H1144">
        <v>925324580</v>
      </c>
      <c r="I1144">
        <v>926050369</v>
      </c>
      <c r="J1144">
        <v>943971003</v>
      </c>
      <c r="K1144">
        <v>852711223</v>
      </c>
      <c r="L1144">
        <v>881375540</v>
      </c>
      <c r="M1144">
        <v>767724971</v>
      </c>
      <c r="P1144">
        <v>222</v>
      </c>
      <c r="Q1144" t="s">
        <v>2558</v>
      </c>
    </row>
    <row r="1145" spans="1:17" x14ac:dyDescent="0.3">
      <c r="A1145" t="s">
        <v>17</v>
      </c>
      <c r="B1145" t="str">
        <f>"603097"</f>
        <v>603097</v>
      </c>
      <c r="C1145" t="s">
        <v>2559</v>
      </c>
      <c r="F1145">
        <v>871050777</v>
      </c>
      <c r="G1145">
        <v>681464559</v>
      </c>
      <c r="H1145">
        <v>631856150</v>
      </c>
      <c r="I1145">
        <v>611982764</v>
      </c>
      <c r="Q1145" t="s">
        <v>2560</v>
      </c>
    </row>
    <row r="1146" spans="1:17" x14ac:dyDescent="0.3">
      <c r="A1146" t="s">
        <v>17</v>
      </c>
      <c r="B1146" t="str">
        <f>"603098"</f>
        <v>603098</v>
      </c>
      <c r="C1146" t="s">
        <v>2561</v>
      </c>
      <c r="D1146" t="s">
        <v>978</v>
      </c>
      <c r="F1146">
        <v>3139580067</v>
      </c>
      <c r="G1146">
        <v>3152519440</v>
      </c>
      <c r="H1146">
        <v>3356560907</v>
      </c>
      <c r="I1146">
        <v>2931196982</v>
      </c>
      <c r="J1146">
        <v>2136343143</v>
      </c>
      <c r="K1146">
        <v>1696061775</v>
      </c>
      <c r="L1146">
        <v>1072155481</v>
      </c>
      <c r="M1146">
        <v>1378494900</v>
      </c>
      <c r="N1146">
        <v>1208828064</v>
      </c>
      <c r="P1146">
        <v>158</v>
      </c>
      <c r="Q1146" t="s">
        <v>2562</v>
      </c>
    </row>
    <row r="1147" spans="1:17" x14ac:dyDescent="0.3">
      <c r="A1147" t="s">
        <v>17</v>
      </c>
      <c r="B1147" t="str">
        <f>"603099"</f>
        <v>603099</v>
      </c>
      <c r="C1147" t="s">
        <v>2563</v>
      </c>
      <c r="D1147" t="s">
        <v>119</v>
      </c>
      <c r="F1147">
        <v>192538900</v>
      </c>
      <c r="G1147">
        <v>147596719</v>
      </c>
      <c r="H1147">
        <v>467196177</v>
      </c>
      <c r="I1147">
        <v>464141016</v>
      </c>
      <c r="J1147">
        <v>388577954</v>
      </c>
      <c r="K1147">
        <v>306887768</v>
      </c>
      <c r="L1147">
        <v>318529755</v>
      </c>
      <c r="M1147">
        <v>292899915</v>
      </c>
      <c r="N1147">
        <v>233153569</v>
      </c>
      <c r="O1147">
        <v>250018250</v>
      </c>
      <c r="P1147">
        <v>97</v>
      </c>
      <c r="Q1147" t="s">
        <v>2564</v>
      </c>
    </row>
    <row r="1148" spans="1:17" x14ac:dyDescent="0.3">
      <c r="A1148" t="s">
        <v>17</v>
      </c>
      <c r="B1148" t="str">
        <f>"603100"</f>
        <v>603100</v>
      </c>
      <c r="C1148" t="s">
        <v>2565</v>
      </c>
      <c r="D1148" t="s">
        <v>2566</v>
      </c>
      <c r="F1148">
        <v>5486608704</v>
      </c>
      <c r="G1148">
        <v>4253380048</v>
      </c>
      <c r="H1148">
        <v>3968890445</v>
      </c>
      <c r="I1148">
        <v>3557030499</v>
      </c>
      <c r="J1148">
        <v>3127177778</v>
      </c>
      <c r="K1148">
        <v>3261196844</v>
      </c>
      <c r="L1148">
        <v>3155352102</v>
      </c>
      <c r="M1148">
        <v>3346260134</v>
      </c>
      <c r="N1148">
        <v>3187217218</v>
      </c>
      <c r="O1148">
        <v>3247750214</v>
      </c>
      <c r="P1148">
        <v>194</v>
      </c>
      <c r="Q1148" t="s">
        <v>2567</v>
      </c>
    </row>
    <row r="1149" spans="1:17" x14ac:dyDescent="0.3">
      <c r="A1149" t="s">
        <v>17</v>
      </c>
      <c r="B1149" t="str">
        <f>"603101"</f>
        <v>603101</v>
      </c>
      <c r="C1149" t="s">
        <v>2568</v>
      </c>
      <c r="D1149" t="s">
        <v>633</v>
      </c>
      <c r="F1149">
        <v>2393606343</v>
      </c>
      <c r="G1149">
        <v>2120784094</v>
      </c>
      <c r="H1149">
        <v>4403258990</v>
      </c>
      <c r="I1149">
        <v>3624436649</v>
      </c>
      <c r="J1149">
        <v>3027294011</v>
      </c>
      <c r="K1149">
        <v>2654213579</v>
      </c>
      <c r="L1149">
        <v>2741514324</v>
      </c>
      <c r="M1149">
        <v>2510978398</v>
      </c>
      <c r="N1149">
        <v>2450538985</v>
      </c>
      <c r="P1149">
        <v>69</v>
      </c>
      <c r="Q1149" t="s">
        <v>2569</v>
      </c>
    </row>
    <row r="1150" spans="1:17" x14ac:dyDescent="0.3">
      <c r="A1150" t="s">
        <v>17</v>
      </c>
      <c r="B1150" t="str">
        <f>"603102"</f>
        <v>603102</v>
      </c>
      <c r="C1150" t="s">
        <v>2570</v>
      </c>
      <c r="F1150">
        <v>661874435</v>
      </c>
      <c r="G1150">
        <v>578287203</v>
      </c>
      <c r="H1150">
        <v>499631375</v>
      </c>
      <c r="I1150">
        <v>507481988</v>
      </c>
      <c r="J1150">
        <v>423328405</v>
      </c>
      <c r="P1150">
        <v>13</v>
      </c>
      <c r="Q1150" t="s">
        <v>2571</v>
      </c>
    </row>
    <row r="1151" spans="1:17" x14ac:dyDescent="0.3">
      <c r="A1151" t="s">
        <v>17</v>
      </c>
      <c r="B1151" t="str">
        <f>"603103"</f>
        <v>603103</v>
      </c>
      <c r="C1151" t="s">
        <v>2572</v>
      </c>
      <c r="D1151" t="s">
        <v>2573</v>
      </c>
      <c r="F1151">
        <v>2366061646</v>
      </c>
      <c r="G1151">
        <v>989730026</v>
      </c>
      <c r="H1151">
        <v>2813589130</v>
      </c>
      <c r="I1151">
        <v>2724487782</v>
      </c>
      <c r="J1151">
        <v>2517589727</v>
      </c>
      <c r="K1151">
        <v>2280809351</v>
      </c>
      <c r="L1151">
        <v>2113125660</v>
      </c>
      <c r="M1151">
        <v>1181490511</v>
      </c>
      <c r="P1151">
        <v>240</v>
      </c>
      <c r="Q1151" t="s">
        <v>2574</v>
      </c>
    </row>
    <row r="1152" spans="1:17" x14ac:dyDescent="0.3">
      <c r="A1152" t="s">
        <v>17</v>
      </c>
      <c r="B1152" t="str">
        <f>"603105"</f>
        <v>603105</v>
      </c>
      <c r="C1152" t="s">
        <v>2575</v>
      </c>
      <c r="D1152" t="s">
        <v>86</v>
      </c>
      <c r="F1152">
        <v>445130996</v>
      </c>
      <c r="G1152">
        <v>426748506</v>
      </c>
      <c r="H1152">
        <v>387097885</v>
      </c>
      <c r="I1152">
        <v>384172760</v>
      </c>
      <c r="J1152">
        <v>936385533</v>
      </c>
      <c r="K1152">
        <v>1148590279</v>
      </c>
      <c r="L1152">
        <v>1602874989</v>
      </c>
      <c r="P1152">
        <v>144</v>
      </c>
      <c r="Q1152" t="s">
        <v>2576</v>
      </c>
    </row>
    <row r="1153" spans="1:17" x14ac:dyDescent="0.3">
      <c r="A1153" t="s">
        <v>17</v>
      </c>
      <c r="B1153" t="str">
        <f>"603106"</f>
        <v>603106</v>
      </c>
      <c r="C1153" t="s">
        <v>2577</v>
      </c>
      <c r="D1153" t="s">
        <v>236</v>
      </c>
      <c r="F1153">
        <v>714981079</v>
      </c>
      <c r="G1153">
        <v>923743158</v>
      </c>
      <c r="H1153">
        <v>1016369551</v>
      </c>
      <c r="I1153">
        <v>974307724</v>
      </c>
      <c r="J1153">
        <v>1484155291</v>
      </c>
      <c r="K1153">
        <v>1168731972</v>
      </c>
      <c r="L1153">
        <v>912276827</v>
      </c>
      <c r="M1153">
        <v>685847398</v>
      </c>
      <c r="P1153">
        <v>2938</v>
      </c>
      <c r="Q1153" t="s">
        <v>2578</v>
      </c>
    </row>
    <row r="1154" spans="1:17" x14ac:dyDescent="0.3">
      <c r="A1154" t="s">
        <v>17</v>
      </c>
      <c r="B1154" t="str">
        <f>"603108"</f>
        <v>603108</v>
      </c>
      <c r="C1154" t="s">
        <v>2579</v>
      </c>
      <c r="D1154" t="s">
        <v>2580</v>
      </c>
      <c r="F1154">
        <v>8860108027</v>
      </c>
      <c r="G1154">
        <v>7069156290</v>
      </c>
      <c r="H1154">
        <v>7051950183</v>
      </c>
      <c r="I1154">
        <v>5964339224</v>
      </c>
      <c r="J1154">
        <v>4318809841</v>
      </c>
      <c r="K1154">
        <v>2164688841</v>
      </c>
      <c r="L1154">
        <v>1628641869</v>
      </c>
      <c r="M1154">
        <v>1358503324</v>
      </c>
      <c r="N1154">
        <v>1025889527</v>
      </c>
      <c r="O1154">
        <v>772338833</v>
      </c>
      <c r="P1154">
        <v>336</v>
      </c>
      <c r="Q1154" t="s">
        <v>2581</v>
      </c>
    </row>
    <row r="1155" spans="1:17" x14ac:dyDescent="0.3">
      <c r="A1155" t="s">
        <v>17</v>
      </c>
      <c r="B1155" t="str">
        <f>"603109"</f>
        <v>603109</v>
      </c>
      <c r="C1155" t="s">
        <v>2582</v>
      </c>
      <c r="D1155" t="s">
        <v>985</v>
      </c>
      <c r="F1155">
        <v>2437586829</v>
      </c>
      <c r="G1155">
        <v>1561604672</v>
      </c>
      <c r="H1155">
        <v>1270625814</v>
      </c>
      <c r="I1155">
        <v>1337540524</v>
      </c>
      <c r="J1155">
        <v>1069010853</v>
      </c>
      <c r="K1155">
        <v>747597173</v>
      </c>
      <c r="P1155">
        <v>80</v>
      </c>
      <c r="Q1155" t="s">
        <v>2583</v>
      </c>
    </row>
    <row r="1156" spans="1:17" x14ac:dyDescent="0.3">
      <c r="A1156" t="s">
        <v>17</v>
      </c>
      <c r="B1156" t="str">
        <f>"603110"</f>
        <v>603110</v>
      </c>
      <c r="C1156" t="s">
        <v>2584</v>
      </c>
      <c r="D1156" t="s">
        <v>2585</v>
      </c>
      <c r="F1156">
        <v>395886105</v>
      </c>
      <c r="G1156">
        <v>414972526</v>
      </c>
      <c r="H1156">
        <v>412719654</v>
      </c>
      <c r="I1156">
        <v>392419780</v>
      </c>
      <c r="J1156">
        <v>395156206</v>
      </c>
      <c r="K1156">
        <v>387444516</v>
      </c>
      <c r="L1156">
        <v>375722655</v>
      </c>
      <c r="M1156">
        <v>383894899</v>
      </c>
      <c r="P1156">
        <v>71</v>
      </c>
      <c r="Q1156" t="s">
        <v>2586</v>
      </c>
    </row>
    <row r="1157" spans="1:17" x14ac:dyDescent="0.3">
      <c r="A1157" t="s">
        <v>17</v>
      </c>
      <c r="B1157" t="str">
        <f>"603111"</f>
        <v>603111</v>
      </c>
      <c r="C1157" t="s">
        <v>2587</v>
      </c>
      <c r="D1157" t="s">
        <v>1012</v>
      </c>
      <c r="F1157">
        <v>3525220662</v>
      </c>
      <c r="G1157">
        <v>3325717127</v>
      </c>
      <c r="H1157">
        <v>3398221977</v>
      </c>
      <c r="I1157">
        <v>3415420736</v>
      </c>
      <c r="J1157">
        <v>2417792420</v>
      </c>
      <c r="K1157">
        <v>2010149489</v>
      </c>
      <c r="L1157">
        <v>1656427090</v>
      </c>
      <c r="M1157">
        <v>1308923788</v>
      </c>
      <c r="N1157">
        <v>1041442538</v>
      </c>
      <c r="O1157">
        <v>999780014</v>
      </c>
      <c r="P1157">
        <v>440</v>
      </c>
      <c r="Q1157" t="s">
        <v>2588</v>
      </c>
    </row>
    <row r="1158" spans="1:17" x14ac:dyDescent="0.3">
      <c r="A1158" t="s">
        <v>17</v>
      </c>
      <c r="B1158" t="str">
        <f>"603112"</f>
        <v>603112</v>
      </c>
      <c r="C1158" t="s">
        <v>2589</v>
      </c>
      <c r="D1158" t="s">
        <v>1253</v>
      </c>
      <c r="F1158">
        <v>3282337588</v>
      </c>
      <c r="G1158">
        <v>1948873386</v>
      </c>
      <c r="H1158">
        <v>2048132075</v>
      </c>
      <c r="I1158">
        <v>1995513626</v>
      </c>
      <c r="J1158">
        <v>1686299432</v>
      </c>
      <c r="K1158">
        <v>1308256492</v>
      </c>
      <c r="P1158">
        <v>48</v>
      </c>
      <c r="Q1158" t="s">
        <v>2590</v>
      </c>
    </row>
    <row r="1159" spans="1:17" x14ac:dyDescent="0.3">
      <c r="A1159" t="s">
        <v>17</v>
      </c>
      <c r="B1159" t="str">
        <f>"603113"</f>
        <v>603113</v>
      </c>
      <c r="C1159" t="s">
        <v>2591</v>
      </c>
      <c r="D1159" t="s">
        <v>885</v>
      </c>
      <c r="F1159">
        <v>11976054901</v>
      </c>
      <c r="G1159">
        <v>7545081312</v>
      </c>
      <c r="H1159">
        <v>8149917720</v>
      </c>
      <c r="I1159">
        <v>8812014797</v>
      </c>
      <c r="J1159">
        <v>6651974332</v>
      </c>
      <c r="K1159">
        <v>4237944270</v>
      </c>
      <c r="L1159">
        <v>3619491745</v>
      </c>
      <c r="M1159">
        <v>4506476904</v>
      </c>
      <c r="P1159">
        <v>302</v>
      </c>
      <c r="Q1159" t="s">
        <v>2592</v>
      </c>
    </row>
    <row r="1160" spans="1:17" x14ac:dyDescent="0.3">
      <c r="A1160" t="s">
        <v>17</v>
      </c>
      <c r="B1160" t="str">
        <f>"603115"</f>
        <v>603115</v>
      </c>
      <c r="C1160" t="s">
        <v>2593</v>
      </c>
      <c r="D1160" t="s">
        <v>504</v>
      </c>
      <c r="F1160">
        <v>1645338158</v>
      </c>
      <c r="G1160">
        <v>1218716703</v>
      </c>
      <c r="H1160">
        <v>1097491330</v>
      </c>
      <c r="I1160">
        <v>1092284254</v>
      </c>
      <c r="J1160">
        <v>960243092</v>
      </c>
      <c r="K1160">
        <v>756232633</v>
      </c>
      <c r="P1160">
        <v>88</v>
      </c>
      <c r="Q1160" t="s">
        <v>2594</v>
      </c>
    </row>
    <row r="1161" spans="1:17" x14ac:dyDescent="0.3">
      <c r="A1161" t="s">
        <v>17</v>
      </c>
      <c r="B1161" t="str">
        <f>"603116"</f>
        <v>603116</v>
      </c>
      <c r="C1161" t="s">
        <v>2595</v>
      </c>
      <c r="D1161" t="s">
        <v>330</v>
      </c>
      <c r="F1161">
        <v>2511051738</v>
      </c>
      <c r="G1161">
        <v>2592029904</v>
      </c>
      <c r="H1161">
        <v>2969624534</v>
      </c>
      <c r="I1161">
        <v>3041212186</v>
      </c>
      <c r="J1161">
        <v>3245337230</v>
      </c>
      <c r="K1161">
        <v>2872321259</v>
      </c>
      <c r="L1161">
        <v>2966870727</v>
      </c>
      <c r="M1161">
        <v>3127957075</v>
      </c>
      <c r="N1161">
        <v>3221543648</v>
      </c>
      <c r="O1161">
        <v>3068126365</v>
      </c>
      <c r="P1161">
        <v>102</v>
      </c>
      <c r="Q1161" t="s">
        <v>2596</v>
      </c>
    </row>
    <row r="1162" spans="1:17" x14ac:dyDescent="0.3">
      <c r="A1162" t="s">
        <v>17</v>
      </c>
      <c r="B1162" t="str">
        <f>"603117"</f>
        <v>603117</v>
      </c>
      <c r="C1162" t="s">
        <v>2597</v>
      </c>
      <c r="D1162" t="s">
        <v>287</v>
      </c>
      <c r="F1162">
        <v>579892095</v>
      </c>
      <c r="G1162">
        <v>721145053</v>
      </c>
      <c r="H1162">
        <v>941408710</v>
      </c>
      <c r="I1162">
        <v>941843565</v>
      </c>
      <c r="J1162">
        <v>675375983</v>
      </c>
      <c r="K1162">
        <v>400216341</v>
      </c>
      <c r="L1162">
        <v>379693836</v>
      </c>
      <c r="M1162">
        <v>436111895</v>
      </c>
      <c r="N1162">
        <v>351021936</v>
      </c>
      <c r="O1162">
        <v>366417018</v>
      </c>
      <c r="P1162">
        <v>64</v>
      </c>
      <c r="Q1162" t="s">
        <v>2598</v>
      </c>
    </row>
    <row r="1163" spans="1:17" x14ac:dyDescent="0.3">
      <c r="A1163" t="s">
        <v>17</v>
      </c>
      <c r="B1163" t="str">
        <f>"603118"</f>
        <v>603118</v>
      </c>
      <c r="C1163" t="s">
        <v>2599</v>
      </c>
      <c r="D1163" t="s">
        <v>786</v>
      </c>
      <c r="F1163">
        <v>10808249363</v>
      </c>
      <c r="G1163">
        <v>8841982632</v>
      </c>
      <c r="H1163">
        <v>7840845694</v>
      </c>
      <c r="I1163">
        <v>8333939981</v>
      </c>
      <c r="J1163">
        <v>7555325678</v>
      </c>
      <c r="K1163">
        <v>6543025375</v>
      </c>
      <c r="L1163">
        <v>6532431317</v>
      </c>
      <c r="M1163">
        <v>5515549260</v>
      </c>
      <c r="N1163">
        <v>4982140912</v>
      </c>
      <c r="O1163">
        <v>4994726826</v>
      </c>
      <c r="P1163">
        <v>243</v>
      </c>
      <c r="Q1163" t="s">
        <v>2600</v>
      </c>
    </row>
    <row r="1164" spans="1:17" x14ac:dyDescent="0.3">
      <c r="A1164" t="s">
        <v>17</v>
      </c>
      <c r="B1164" t="str">
        <f>"603121"</f>
        <v>603121</v>
      </c>
      <c r="C1164" t="s">
        <v>2601</v>
      </c>
      <c r="D1164" t="s">
        <v>348</v>
      </c>
      <c r="F1164">
        <v>921294959</v>
      </c>
      <c r="G1164">
        <v>638442970</v>
      </c>
      <c r="H1164">
        <v>630721445</v>
      </c>
      <c r="I1164">
        <v>512714059</v>
      </c>
      <c r="J1164">
        <v>443974172</v>
      </c>
      <c r="K1164">
        <v>327901518</v>
      </c>
      <c r="L1164">
        <v>300171627</v>
      </c>
      <c r="P1164">
        <v>77</v>
      </c>
      <c r="Q1164" t="s">
        <v>2602</v>
      </c>
    </row>
    <row r="1165" spans="1:17" x14ac:dyDescent="0.3">
      <c r="A1165" t="s">
        <v>17</v>
      </c>
      <c r="B1165" t="str">
        <f>"603122"</f>
        <v>603122</v>
      </c>
      <c r="C1165" t="s">
        <v>2603</v>
      </c>
      <c r="F1165">
        <v>1191060169</v>
      </c>
      <c r="G1165">
        <v>1089023522</v>
      </c>
      <c r="H1165">
        <v>1046975145</v>
      </c>
      <c r="I1165">
        <v>904330949</v>
      </c>
      <c r="J1165">
        <v>679993200</v>
      </c>
      <c r="P1165">
        <v>12</v>
      </c>
      <c r="Q1165" t="s">
        <v>2604</v>
      </c>
    </row>
    <row r="1166" spans="1:17" x14ac:dyDescent="0.3">
      <c r="A1166" t="s">
        <v>17</v>
      </c>
      <c r="B1166" t="str">
        <f>"603123"</f>
        <v>603123</v>
      </c>
      <c r="C1166" t="s">
        <v>2605</v>
      </c>
      <c r="D1166" t="s">
        <v>633</v>
      </c>
      <c r="F1166">
        <v>3497330151</v>
      </c>
      <c r="G1166">
        <v>4092923492</v>
      </c>
      <c r="H1166">
        <v>4936252782</v>
      </c>
      <c r="I1166">
        <v>5007298283</v>
      </c>
      <c r="J1166">
        <v>5079812742</v>
      </c>
      <c r="K1166">
        <v>5379602561</v>
      </c>
      <c r="L1166">
        <v>5761041740</v>
      </c>
      <c r="M1166">
        <v>6141543763</v>
      </c>
      <c r="N1166">
        <v>4685851388</v>
      </c>
      <c r="O1166">
        <v>4947867593</v>
      </c>
      <c r="P1166">
        <v>100</v>
      </c>
      <c r="Q1166" t="s">
        <v>2606</v>
      </c>
    </row>
    <row r="1167" spans="1:17" x14ac:dyDescent="0.3">
      <c r="A1167" t="s">
        <v>17</v>
      </c>
      <c r="B1167" t="str">
        <f>"603126"</f>
        <v>603126</v>
      </c>
      <c r="C1167" t="s">
        <v>2607</v>
      </c>
      <c r="D1167" t="s">
        <v>499</v>
      </c>
      <c r="F1167">
        <v>2940843508</v>
      </c>
      <c r="G1167">
        <v>2597026157</v>
      </c>
      <c r="H1167">
        <v>2273118828</v>
      </c>
      <c r="I1167">
        <v>1873581438</v>
      </c>
      <c r="J1167">
        <v>1683911393</v>
      </c>
      <c r="K1167">
        <v>1497116222</v>
      </c>
      <c r="L1167">
        <v>1373468736</v>
      </c>
      <c r="M1167">
        <v>1521463375</v>
      </c>
      <c r="N1167">
        <v>1059774347</v>
      </c>
      <c r="O1167">
        <v>1203957387</v>
      </c>
      <c r="P1167">
        <v>195</v>
      </c>
      <c r="Q1167" t="s">
        <v>2608</v>
      </c>
    </row>
    <row r="1168" spans="1:17" x14ac:dyDescent="0.3">
      <c r="A1168" t="s">
        <v>17</v>
      </c>
      <c r="B1168" t="str">
        <f>"603127"</f>
        <v>603127</v>
      </c>
      <c r="C1168" t="s">
        <v>2609</v>
      </c>
      <c r="D1168" t="s">
        <v>1461</v>
      </c>
      <c r="F1168">
        <v>1516680032</v>
      </c>
      <c r="G1168">
        <v>1075904935</v>
      </c>
      <c r="H1168">
        <v>639379338</v>
      </c>
      <c r="I1168">
        <v>408798150</v>
      </c>
      <c r="J1168">
        <v>301278958</v>
      </c>
      <c r="K1168">
        <v>241805210</v>
      </c>
      <c r="L1168">
        <v>206605666</v>
      </c>
      <c r="M1168">
        <v>184814906</v>
      </c>
      <c r="P1168">
        <v>1811</v>
      </c>
      <c r="Q1168" t="s">
        <v>2610</v>
      </c>
    </row>
    <row r="1169" spans="1:17" x14ac:dyDescent="0.3">
      <c r="A1169" t="s">
        <v>17</v>
      </c>
      <c r="B1169" t="str">
        <f>"603128"</f>
        <v>603128</v>
      </c>
      <c r="C1169" t="s">
        <v>2611</v>
      </c>
      <c r="D1169" t="s">
        <v>287</v>
      </c>
      <c r="F1169">
        <v>24667657392</v>
      </c>
      <c r="G1169">
        <v>14094543450</v>
      </c>
      <c r="H1169">
        <v>10252464825</v>
      </c>
      <c r="I1169">
        <v>9445441266</v>
      </c>
      <c r="J1169">
        <v>8715345272</v>
      </c>
      <c r="K1169">
        <v>7308257703</v>
      </c>
      <c r="L1169">
        <v>7978014979</v>
      </c>
      <c r="M1169">
        <v>7966930995</v>
      </c>
      <c r="N1169">
        <v>8533354433</v>
      </c>
      <c r="O1169">
        <v>7486015294</v>
      </c>
      <c r="P1169">
        <v>273</v>
      </c>
      <c r="Q1169" t="s">
        <v>2612</v>
      </c>
    </row>
    <row r="1170" spans="1:17" x14ac:dyDescent="0.3">
      <c r="A1170" t="s">
        <v>17</v>
      </c>
      <c r="B1170" t="str">
        <f>"603129"</f>
        <v>603129</v>
      </c>
      <c r="C1170" t="s">
        <v>2613</v>
      </c>
      <c r="D1170" t="s">
        <v>1656</v>
      </c>
      <c r="F1170">
        <v>7861487957</v>
      </c>
      <c r="G1170">
        <v>4525615261</v>
      </c>
      <c r="H1170">
        <v>3242231575</v>
      </c>
      <c r="I1170">
        <v>2545462581</v>
      </c>
      <c r="J1170">
        <v>1817825972</v>
      </c>
      <c r="K1170">
        <v>1401053259</v>
      </c>
      <c r="L1170">
        <v>1200198284</v>
      </c>
      <c r="M1170">
        <v>1338751943</v>
      </c>
      <c r="P1170">
        <v>625</v>
      </c>
      <c r="Q1170" t="s">
        <v>2614</v>
      </c>
    </row>
    <row r="1171" spans="1:17" x14ac:dyDescent="0.3">
      <c r="A1171" t="s">
        <v>17</v>
      </c>
      <c r="B1171" t="str">
        <f>"603131"</f>
        <v>603131</v>
      </c>
      <c r="C1171" t="s">
        <v>2615</v>
      </c>
      <c r="D1171" t="s">
        <v>560</v>
      </c>
      <c r="F1171">
        <v>1311446993</v>
      </c>
      <c r="G1171">
        <v>1085842062</v>
      </c>
      <c r="H1171">
        <v>907482935</v>
      </c>
      <c r="I1171">
        <v>863795749</v>
      </c>
      <c r="J1171">
        <v>712587296</v>
      </c>
      <c r="K1171">
        <v>500116186</v>
      </c>
      <c r="L1171">
        <v>459608788</v>
      </c>
      <c r="M1171">
        <v>479105375</v>
      </c>
      <c r="N1171">
        <v>489153191</v>
      </c>
      <c r="P1171">
        <v>143</v>
      </c>
      <c r="Q1171" t="s">
        <v>2616</v>
      </c>
    </row>
    <row r="1172" spans="1:17" x14ac:dyDescent="0.3">
      <c r="A1172" t="s">
        <v>17</v>
      </c>
      <c r="B1172" t="str">
        <f>"603132"</f>
        <v>603132</v>
      </c>
      <c r="C1172" t="s">
        <v>2617</v>
      </c>
      <c r="F1172">
        <v>1252457122</v>
      </c>
      <c r="G1172">
        <v>1122318184</v>
      </c>
      <c r="H1172">
        <v>798560605</v>
      </c>
      <c r="I1172">
        <v>624345221</v>
      </c>
      <c r="P1172">
        <v>10</v>
      </c>
      <c r="Q1172" t="s">
        <v>2618</v>
      </c>
    </row>
    <row r="1173" spans="1:17" x14ac:dyDescent="0.3">
      <c r="A1173" t="s">
        <v>17</v>
      </c>
      <c r="B1173" t="str">
        <f>"603133"</f>
        <v>603133</v>
      </c>
      <c r="C1173" t="s">
        <v>2619</v>
      </c>
      <c r="D1173" t="s">
        <v>313</v>
      </c>
      <c r="F1173">
        <v>323179150</v>
      </c>
      <c r="G1173">
        <v>562579104</v>
      </c>
      <c r="H1173">
        <v>548399243</v>
      </c>
      <c r="I1173">
        <v>542107265</v>
      </c>
      <c r="J1173">
        <v>499916813</v>
      </c>
      <c r="K1173">
        <v>465938575</v>
      </c>
      <c r="L1173">
        <v>331389105</v>
      </c>
      <c r="M1173">
        <v>337251944</v>
      </c>
      <c r="P1173">
        <v>138</v>
      </c>
      <c r="Q1173" t="s">
        <v>2620</v>
      </c>
    </row>
    <row r="1174" spans="1:17" x14ac:dyDescent="0.3">
      <c r="A1174" t="s">
        <v>17</v>
      </c>
      <c r="B1174" t="str">
        <f>"603136"</f>
        <v>603136</v>
      </c>
      <c r="C1174" t="s">
        <v>2621</v>
      </c>
      <c r="D1174" t="s">
        <v>333</v>
      </c>
      <c r="F1174">
        <v>418637155</v>
      </c>
      <c r="G1174">
        <v>374243833</v>
      </c>
      <c r="H1174">
        <v>503169612</v>
      </c>
      <c r="I1174">
        <v>489426188</v>
      </c>
      <c r="J1174">
        <v>460683873</v>
      </c>
      <c r="K1174">
        <v>421786734</v>
      </c>
      <c r="L1174">
        <v>422925749</v>
      </c>
      <c r="M1174">
        <v>408592136</v>
      </c>
      <c r="P1174">
        <v>194</v>
      </c>
      <c r="Q1174" t="s">
        <v>2622</v>
      </c>
    </row>
    <row r="1175" spans="1:17" x14ac:dyDescent="0.3">
      <c r="A1175" t="s">
        <v>17</v>
      </c>
      <c r="B1175" t="str">
        <f>"603138"</f>
        <v>603138</v>
      </c>
      <c r="C1175" t="s">
        <v>2623</v>
      </c>
      <c r="D1175" t="s">
        <v>316</v>
      </c>
      <c r="F1175">
        <v>420613707</v>
      </c>
      <c r="G1175">
        <v>396713025</v>
      </c>
      <c r="H1175">
        <v>551293052</v>
      </c>
      <c r="I1175">
        <v>536807378</v>
      </c>
      <c r="J1175">
        <v>518078333</v>
      </c>
      <c r="K1175">
        <v>470277212</v>
      </c>
      <c r="L1175">
        <v>391189325</v>
      </c>
      <c r="M1175">
        <v>332139355</v>
      </c>
      <c r="P1175">
        <v>147</v>
      </c>
      <c r="Q1175" t="s">
        <v>2624</v>
      </c>
    </row>
    <row r="1176" spans="1:17" x14ac:dyDescent="0.3">
      <c r="A1176" t="s">
        <v>17</v>
      </c>
      <c r="B1176" t="str">
        <f>"603139"</f>
        <v>603139</v>
      </c>
      <c r="C1176" t="s">
        <v>2625</v>
      </c>
      <c r="D1176" t="s">
        <v>188</v>
      </c>
      <c r="F1176">
        <v>442756906</v>
      </c>
      <c r="G1176">
        <v>414071703</v>
      </c>
      <c r="H1176">
        <v>431421292</v>
      </c>
      <c r="I1176">
        <v>375618265</v>
      </c>
      <c r="J1176">
        <v>367057156</v>
      </c>
      <c r="K1176">
        <v>381845771</v>
      </c>
      <c r="L1176">
        <v>379785071</v>
      </c>
      <c r="M1176">
        <v>375731468</v>
      </c>
      <c r="P1176">
        <v>97</v>
      </c>
      <c r="Q1176" t="s">
        <v>2626</v>
      </c>
    </row>
    <row r="1177" spans="1:17" x14ac:dyDescent="0.3">
      <c r="A1177" t="s">
        <v>17</v>
      </c>
      <c r="B1177" t="str">
        <f>"603150"</f>
        <v>603150</v>
      </c>
      <c r="C1177" t="s">
        <v>2627</v>
      </c>
      <c r="F1177">
        <v>1477453242</v>
      </c>
      <c r="G1177">
        <v>1215448095</v>
      </c>
      <c r="H1177">
        <v>967492967</v>
      </c>
      <c r="I1177">
        <v>790232057</v>
      </c>
      <c r="P1177">
        <v>5</v>
      </c>
      <c r="Q1177" t="s">
        <v>2628</v>
      </c>
    </row>
    <row r="1178" spans="1:17" x14ac:dyDescent="0.3">
      <c r="A1178" t="s">
        <v>17</v>
      </c>
      <c r="B1178" t="str">
        <f>"603155"</f>
        <v>603155</v>
      </c>
      <c r="C1178" t="s">
        <v>2629</v>
      </c>
      <c r="D1178" t="s">
        <v>1205</v>
      </c>
      <c r="F1178">
        <v>879996007</v>
      </c>
      <c r="G1178">
        <v>490329112</v>
      </c>
      <c r="H1178">
        <v>601951874</v>
      </c>
      <c r="I1178">
        <v>650019332</v>
      </c>
      <c r="J1178">
        <v>267404086</v>
      </c>
      <c r="P1178">
        <v>76</v>
      </c>
      <c r="Q1178" t="s">
        <v>2630</v>
      </c>
    </row>
    <row r="1179" spans="1:17" x14ac:dyDescent="0.3">
      <c r="A1179" t="s">
        <v>17</v>
      </c>
      <c r="B1179" t="str">
        <f>"603156"</f>
        <v>603156</v>
      </c>
      <c r="C1179" t="s">
        <v>2631</v>
      </c>
      <c r="D1179" t="s">
        <v>440</v>
      </c>
      <c r="F1179">
        <v>6905959247</v>
      </c>
      <c r="G1179">
        <v>4427115659</v>
      </c>
      <c r="H1179">
        <v>7459290694</v>
      </c>
      <c r="I1179">
        <v>8144243872</v>
      </c>
      <c r="J1179">
        <v>7740584028</v>
      </c>
      <c r="K1179">
        <v>8900349050</v>
      </c>
      <c r="L1179">
        <v>9117253524</v>
      </c>
      <c r="M1179">
        <v>8261753752</v>
      </c>
      <c r="P1179">
        <v>1237</v>
      </c>
      <c r="Q1179" t="s">
        <v>2632</v>
      </c>
    </row>
    <row r="1180" spans="1:17" x14ac:dyDescent="0.3">
      <c r="A1180" t="s">
        <v>17</v>
      </c>
      <c r="B1180" t="str">
        <f>"603157"</f>
        <v>603157</v>
      </c>
      <c r="C1180" t="s">
        <v>2633</v>
      </c>
      <c r="D1180" t="s">
        <v>255</v>
      </c>
      <c r="F1180">
        <v>430128000</v>
      </c>
      <c r="G1180">
        <v>1819317000</v>
      </c>
      <c r="H1180">
        <v>7666229000</v>
      </c>
      <c r="I1180">
        <v>10175853000</v>
      </c>
      <c r="J1180">
        <v>8998709000</v>
      </c>
      <c r="K1180">
        <v>8550867000</v>
      </c>
      <c r="L1180">
        <v>7438931000</v>
      </c>
      <c r="M1180">
        <v>6208912000</v>
      </c>
      <c r="P1180">
        <v>88</v>
      </c>
      <c r="Q1180" t="s">
        <v>2634</v>
      </c>
    </row>
    <row r="1181" spans="1:17" x14ac:dyDescent="0.3">
      <c r="A1181" t="s">
        <v>17</v>
      </c>
      <c r="B1181" t="str">
        <f>"603158"</f>
        <v>603158</v>
      </c>
      <c r="C1181" t="s">
        <v>2635</v>
      </c>
      <c r="D1181" t="s">
        <v>348</v>
      </c>
      <c r="F1181">
        <v>2206588406</v>
      </c>
      <c r="G1181">
        <v>1771918363</v>
      </c>
      <c r="H1181">
        <v>1033542443</v>
      </c>
      <c r="I1181">
        <v>1018362309</v>
      </c>
      <c r="J1181">
        <v>904007078</v>
      </c>
      <c r="K1181">
        <v>774758709</v>
      </c>
      <c r="L1181">
        <v>624525820</v>
      </c>
      <c r="M1181">
        <v>552441385</v>
      </c>
      <c r="N1181">
        <v>448500472</v>
      </c>
      <c r="O1181">
        <v>387765015</v>
      </c>
      <c r="P1181">
        <v>145</v>
      </c>
      <c r="Q1181" t="s">
        <v>2636</v>
      </c>
    </row>
    <row r="1182" spans="1:17" x14ac:dyDescent="0.3">
      <c r="A1182" t="s">
        <v>17</v>
      </c>
      <c r="B1182" t="str">
        <f>"603159"</f>
        <v>603159</v>
      </c>
      <c r="C1182" t="s">
        <v>2637</v>
      </c>
      <c r="D1182" t="s">
        <v>741</v>
      </c>
      <c r="F1182">
        <v>678441157</v>
      </c>
      <c r="G1182">
        <v>591950766</v>
      </c>
      <c r="H1182">
        <v>564094084</v>
      </c>
      <c r="I1182">
        <v>637336324</v>
      </c>
      <c r="J1182">
        <v>573839828</v>
      </c>
      <c r="K1182">
        <v>471425183</v>
      </c>
      <c r="L1182">
        <v>447933841</v>
      </c>
      <c r="M1182">
        <v>410838273</v>
      </c>
      <c r="N1182">
        <v>414149673</v>
      </c>
      <c r="P1182">
        <v>62</v>
      </c>
      <c r="Q1182" t="s">
        <v>2638</v>
      </c>
    </row>
    <row r="1183" spans="1:17" x14ac:dyDescent="0.3">
      <c r="A1183" t="s">
        <v>17</v>
      </c>
      <c r="B1183" t="str">
        <f>"603160"</f>
        <v>603160</v>
      </c>
      <c r="C1183" t="s">
        <v>2639</v>
      </c>
      <c r="D1183" t="s">
        <v>401</v>
      </c>
      <c r="F1183">
        <v>5712871793</v>
      </c>
      <c r="G1183">
        <v>6687275485</v>
      </c>
      <c r="H1183">
        <v>6473254535</v>
      </c>
      <c r="I1183">
        <v>3721291686</v>
      </c>
      <c r="J1183">
        <v>3681594309</v>
      </c>
      <c r="K1183">
        <v>3079331261</v>
      </c>
      <c r="L1183">
        <v>1119601257</v>
      </c>
      <c r="M1183">
        <v>853693634</v>
      </c>
      <c r="N1183">
        <v>685620950</v>
      </c>
      <c r="P1183">
        <v>2243</v>
      </c>
      <c r="Q1183" t="s">
        <v>2640</v>
      </c>
    </row>
    <row r="1184" spans="1:17" x14ac:dyDescent="0.3">
      <c r="A1184" t="s">
        <v>17</v>
      </c>
      <c r="B1184" t="str">
        <f>"603161"</f>
        <v>603161</v>
      </c>
      <c r="C1184" t="s">
        <v>2641</v>
      </c>
      <c r="D1184" t="s">
        <v>348</v>
      </c>
      <c r="F1184">
        <v>1896887672</v>
      </c>
      <c r="G1184">
        <v>1622153524</v>
      </c>
      <c r="H1184">
        <v>1623346375</v>
      </c>
      <c r="I1184">
        <v>1376269132</v>
      </c>
      <c r="J1184">
        <v>916951119</v>
      </c>
      <c r="K1184">
        <v>734858277</v>
      </c>
      <c r="L1184">
        <v>616582907</v>
      </c>
      <c r="M1184">
        <v>505324723</v>
      </c>
      <c r="P1184">
        <v>81</v>
      </c>
      <c r="Q1184" t="s">
        <v>2642</v>
      </c>
    </row>
    <row r="1185" spans="1:17" x14ac:dyDescent="0.3">
      <c r="A1185" t="s">
        <v>17</v>
      </c>
      <c r="B1185" t="str">
        <f>"603165"</f>
        <v>603165</v>
      </c>
      <c r="C1185" t="s">
        <v>2643</v>
      </c>
      <c r="D1185" t="s">
        <v>694</v>
      </c>
      <c r="F1185">
        <v>2414603803</v>
      </c>
      <c r="G1185">
        <v>1695450743</v>
      </c>
      <c r="H1185">
        <v>1675501460</v>
      </c>
      <c r="I1185">
        <v>2088960318</v>
      </c>
      <c r="J1185">
        <v>2034414355</v>
      </c>
      <c r="K1185">
        <v>1029173199</v>
      </c>
      <c r="L1185">
        <v>716288231</v>
      </c>
      <c r="M1185">
        <v>717678733</v>
      </c>
      <c r="N1185">
        <v>708417441</v>
      </c>
      <c r="P1185">
        <v>583</v>
      </c>
      <c r="Q1185" t="s">
        <v>2644</v>
      </c>
    </row>
    <row r="1186" spans="1:17" x14ac:dyDescent="0.3">
      <c r="A1186" t="s">
        <v>17</v>
      </c>
      <c r="B1186" t="str">
        <f>"603166"</f>
        <v>603166</v>
      </c>
      <c r="C1186" t="s">
        <v>2645</v>
      </c>
      <c r="D1186" t="s">
        <v>348</v>
      </c>
      <c r="F1186">
        <v>1814609945</v>
      </c>
      <c r="G1186">
        <v>1770306192</v>
      </c>
      <c r="H1186">
        <v>1514774256</v>
      </c>
      <c r="I1186">
        <v>1404809777</v>
      </c>
      <c r="J1186">
        <v>1333530290</v>
      </c>
      <c r="K1186">
        <v>1024170994</v>
      </c>
      <c r="L1186">
        <v>933195577</v>
      </c>
      <c r="M1186">
        <v>1201556235</v>
      </c>
      <c r="N1186">
        <v>1229172396</v>
      </c>
      <c r="O1186">
        <v>1105085124</v>
      </c>
      <c r="P1186">
        <v>141</v>
      </c>
      <c r="Q1186" t="s">
        <v>2646</v>
      </c>
    </row>
    <row r="1187" spans="1:17" x14ac:dyDescent="0.3">
      <c r="A1187" t="s">
        <v>17</v>
      </c>
      <c r="B1187" t="str">
        <f>"603167"</f>
        <v>603167</v>
      </c>
      <c r="C1187" t="s">
        <v>2647</v>
      </c>
      <c r="D1187" t="s">
        <v>69</v>
      </c>
      <c r="F1187">
        <v>1400817024</v>
      </c>
      <c r="G1187">
        <v>1166791511</v>
      </c>
      <c r="H1187">
        <v>1662883330</v>
      </c>
      <c r="I1187">
        <v>1668178770</v>
      </c>
      <c r="J1187">
        <v>1510959696</v>
      </c>
      <c r="K1187">
        <v>1224685555</v>
      </c>
      <c r="L1187">
        <v>1183286434</v>
      </c>
      <c r="M1187">
        <v>1117355334</v>
      </c>
      <c r="N1187">
        <v>1165682709</v>
      </c>
      <c r="O1187">
        <v>1055616981</v>
      </c>
      <c r="P1187">
        <v>239</v>
      </c>
      <c r="Q1187" t="s">
        <v>2648</v>
      </c>
    </row>
    <row r="1188" spans="1:17" x14ac:dyDescent="0.3">
      <c r="A1188" t="s">
        <v>17</v>
      </c>
      <c r="B1188" t="str">
        <f>"603168"</f>
        <v>603168</v>
      </c>
      <c r="C1188" t="s">
        <v>2649</v>
      </c>
      <c r="D1188" t="s">
        <v>143</v>
      </c>
      <c r="F1188">
        <v>629764710</v>
      </c>
      <c r="G1188">
        <v>358231311</v>
      </c>
      <c r="H1188">
        <v>515957074</v>
      </c>
      <c r="I1188">
        <v>607437969</v>
      </c>
      <c r="J1188">
        <v>938883500</v>
      </c>
      <c r="K1188">
        <v>978732134</v>
      </c>
      <c r="L1188">
        <v>921670917</v>
      </c>
      <c r="M1188">
        <v>765582439</v>
      </c>
      <c r="N1188">
        <v>628140667</v>
      </c>
      <c r="O1188">
        <v>544757635</v>
      </c>
      <c r="P1188">
        <v>528</v>
      </c>
      <c r="Q1188" t="s">
        <v>2650</v>
      </c>
    </row>
    <row r="1189" spans="1:17" x14ac:dyDescent="0.3">
      <c r="A1189" t="s">
        <v>17</v>
      </c>
      <c r="B1189" t="str">
        <f>"603169"</f>
        <v>603169</v>
      </c>
      <c r="C1189" t="s">
        <v>2651</v>
      </c>
      <c r="D1189" t="s">
        <v>395</v>
      </c>
      <c r="F1189">
        <v>4037060988</v>
      </c>
      <c r="G1189">
        <v>2900840839</v>
      </c>
      <c r="H1189">
        <v>3437821913</v>
      </c>
      <c r="I1189">
        <v>2546747620</v>
      </c>
      <c r="J1189">
        <v>2984885384</v>
      </c>
      <c r="K1189">
        <v>1735711511</v>
      </c>
      <c r="L1189">
        <v>2465814976</v>
      </c>
      <c r="M1189">
        <v>1447361430</v>
      </c>
      <c r="N1189">
        <v>1304988603</v>
      </c>
      <c r="O1189">
        <v>1159250326</v>
      </c>
      <c r="P1189">
        <v>81</v>
      </c>
      <c r="Q1189" t="s">
        <v>2652</v>
      </c>
    </row>
    <row r="1190" spans="1:17" x14ac:dyDescent="0.3">
      <c r="A1190" t="s">
        <v>17</v>
      </c>
      <c r="B1190" t="str">
        <f>"603171"</f>
        <v>603171</v>
      </c>
      <c r="C1190" t="s">
        <v>2653</v>
      </c>
      <c r="D1190" t="s">
        <v>316</v>
      </c>
      <c r="F1190">
        <v>1604761491</v>
      </c>
      <c r="G1190">
        <v>1541031346</v>
      </c>
      <c r="H1190">
        <v>1397967719</v>
      </c>
      <c r="I1190">
        <v>1300580245</v>
      </c>
      <c r="J1190">
        <v>877806168</v>
      </c>
      <c r="P1190">
        <v>54</v>
      </c>
      <c r="Q1190" t="s">
        <v>2654</v>
      </c>
    </row>
    <row r="1191" spans="1:17" x14ac:dyDescent="0.3">
      <c r="A1191" t="s">
        <v>17</v>
      </c>
      <c r="B1191" t="str">
        <f>"603176"</f>
        <v>603176</v>
      </c>
      <c r="C1191" t="s">
        <v>2655</v>
      </c>
      <c r="D1191" t="s">
        <v>101</v>
      </c>
      <c r="F1191">
        <v>2368160682</v>
      </c>
      <c r="G1191">
        <v>2397983721</v>
      </c>
      <c r="H1191">
        <v>2407141531</v>
      </c>
      <c r="I1191">
        <v>1620154217</v>
      </c>
      <c r="J1191">
        <v>1623841044</v>
      </c>
      <c r="P1191">
        <v>17</v>
      </c>
      <c r="Q1191" t="s">
        <v>2656</v>
      </c>
    </row>
    <row r="1192" spans="1:17" x14ac:dyDescent="0.3">
      <c r="A1192" t="s">
        <v>17</v>
      </c>
      <c r="B1192" t="str">
        <f>"603177"</f>
        <v>603177</v>
      </c>
      <c r="C1192" t="s">
        <v>2657</v>
      </c>
      <c r="D1192" t="s">
        <v>663</v>
      </c>
      <c r="F1192">
        <v>615887445</v>
      </c>
      <c r="G1192">
        <v>424027744</v>
      </c>
      <c r="H1192">
        <v>777139767</v>
      </c>
      <c r="I1192">
        <v>746405464</v>
      </c>
      <c r="J1192">
        <v>799105855</v>
      </c>
      <c r="K1192">
        <v>772765781</v>
      </c>
      <c r="L1192">
        <v>576173416</v>
      </c>
      <c r="M1192">
        <v>637208100</v>
      </c>
      <c r="N1192">
        <v>746252208</v>
      </c>
      <c r="P1192">
        <v>68</v>
      </c>
      <c r="Q1192" t="s">
        <v>2658</v>
      </c>
    </row>
    <row r="1193" spans="1:17" x14ac:dyDescent="0.3">
      <c r="A1193" t="s">
        <v>17</v>
      </c>
      <c r="B1193" t="str">
        <f>"603178"</f>
        <v>603178</v>
      </c>
      <c r="C1193" t="s">
        <v>2659</v>
      </c>
      <c r="D1193" t="s">
        <v>348</v>
      </c>
      <c r="F1193">
        <v>1497663274</v>
      </c>
      <c r="G1193">
        <v>1221877953</v>
      </c>
      <c r="H1193">
        <v>1220662512</v>
      </c>
      <c r="I1193">
        <v>1310759325</v>
      </c>
      <c r="J1193">
        <v>1575571185</v>
      </c>
      <c r="K1193">
        <v>1253115590</v>
      </c>
      <c r="L1193">
        <v>1115519543</v>
      </c>
      <c r="M1193">
        <v>928422708</v>
      </c>
      <c r="N1193">
        <v>700275629</v>
      </c>
      <c r="P1193">
        <v>80</v>
      </c>
      <c r="Q1193" t="s">
        <v>2660</v>
      </c>
    </row>
    <row r="1194" spans="1:17" x14ac:dyDescent="0.3">
      <c r="A1194" t="s">
        <v>17</v>
      </c>
      <c r="B1194" t="str">
        <f>"603179"</f>
        <v>603179</v>
      </c>
      <c r="C1194" t="s">
        <v>2661</v>
      </c>
      <c r="D1194" t="s">
        <v>1415</v>
      </c>
      <c r="F1194">
        <v>4612700001</v>
      </c>
      <c r="G1194">
        <v>3680489210</v>
      </c>
      <c r="H1194">
        <v>3035644943</v>
      </c>
      <c r="I1194">
        <v>3405004010</v>
      </c>
      <c r="J1194">
        <v>3095081463</v>
      </c>
      <c r="K1194">
        <v>1710841686</v>
      </c>
      <c r="L1194">
        <v>902110420</v>
      </c>
      <c r="M1194">
        <v>789166685</v>
      </c>
      <c r="P1194">
        <v>302</v>
      </c>
      <c r="Q1194" t="s">
        <v>2662</v>
      </c>
    </row>
    <row r="1195" spans="1:17" x14ac:dyDescent="0.3">
      <c r="A1195" t="s">
        <v>17</v>
      </c>
      <c r="B1195" t="str">
        <f>"603180"</f>
        <v>603180</v>
      </c>
      <c r="C1195" t="s">
        <v>2663</v>
      </c>
      <c r="D1195" t="s">
        <v>2664</v>
      </c>
      <c r="F1195">
        <v>3447773122</v>
      </c>
      <c r="G1195">
        <v>2639838958</v>
      </c>
      <c r="H1195">
        <v>2125444792</v>
      </c>
      <c r="I1195">
        <v>1701677973</v>
      </c>
      <c r="J1195">
        <v>1441967105</v>
      </c>
      <c r="K1195">
        <v>1098888660</v>
      </c>
      <c r="L1195">
        <v>783511108</v>
      </c>
      <c r="M1195">
        <v>686205874</v>
      </c>
      <c r="P1195">
        <v>1306</v>
      </c>
      <c r="Q1195" t="s">
        <v>2665</v>
      </c>
    </row>
    <row r="1196" spans="1:17" x14ac:dyDescent="0.3">
      <c r="A1196" t="s">
        <v>17</v>
      </c>
      <c r="B1196" t="str">
        <f>"603181"</f>
        <v>603181</v>
      </c>
      <c r="C1196" t="s">
        <v>2666</v>
      </c>
      <c r="D1196" t="s">
        <v>1192</v>
      </c>
      <c r="F1196">
        <v>2336496369</v>
      </c>
      <c r="G1196">
        <v>1946115832</v>
      </c>
      <c r="H1196">
        <v>1894098478</v>
      </c>
      <c r="I1196">
        <v>1718843597</v>
      </c>
      <c r="J1196">
        <v>1682696702</v>
      </c>
      <c r="K1196">
        <v>1500974336</v>
      </c>
      <c r="L1196">
        <v>1380110954</v>
      </c>
      <c r="M1196">
        <v>1362935083</v>
      </c>
      <c r="P1196">
        <v>160</v>
      </c>
      <c r="Q1196" t="s">
        <v>2667</v>
      </c>
    </row>
    <row r="1197" spans="1:17" x14ac:dyDescent="0.3">
      <c r="A1197" t="s">
        <v>17</v>
      </c>
      <c r="B1197" t="str">
        <f>"603183"</f>
        <v>603183</v>
      </c>
      <c r="C1197" t="s">
        <v>2668</v>
      </c>
      <c r="D1197" t="s">
        <v>2510</v>
      </c>
      <c r="F1197">
        <v>903378490</v>
      </c>
      <c r="G1197">
        <v>785885210</v>
      </c>
      <c r="H1197">
        <v>611364182</v>
      </c>
      <c r="I1197">
        <v>494606427</v>
      </c>
      <c r="J1197">
        <v>443988596</v>
      </c>
      <c r="K1197">
        <v>392071116</v>
      </c>
      <c r="L1197">
        <v>391919642</v>
      </c>
      <c r="M1197">
        <v>375681152</v>
      </c>
      <c r="P1197">
        <v>92</v>
      </c>
      <c r="Q1197" t="s">
        <v>2669</v>
      </c>
    </row>
    <row r="1198" spans="1:17" x14ac:dyDescent="0.3">
      <c r="A1198" t="s">
        <v>17</v>
      </c>
      <c r="B1198" t="str">
        <f>"603185"</f>
        <v>603185</v>
      </c>
      <c r="C1198" t="s">
        <v>2670</v>
      </c>
      <c r="D1198" t="s">
        <v>2671</v>
      </c>
      <c r="F1198">
        <v>10915317989</v>
      </c>
      <c r="G1198">
        <v>3011005487</v>
      </c>
      <c r="H1198">
        <v>806197720</v>
      </c>
      <c r="I1198">
        <v>684124612</v>
      </c>
      <c r="J1198">
        <v>633025309</v>
      </c>
      <c r="K1198">
        <v>297520165</v>
      </c>
      <c r="L1198">
        <v>143235650</v>
      </c>
      <c r="P1198">
        <v>518</v>
      </c>
      <c r="Q1198" t="s">
        <v>2672</v>
      </c>
    </row>
    <row r="1199" spans="1:17" x14ac:dyDescent="0.3">
      <c r="A1199" t="s">
        <v>17</v>
      </c>
      <c r="B1199" t="str">
        <f>"603186"</f>
        <v>603186</v>
      </c>
      <c r="C1199" t="s">
        <v>2673</v>
      </c>
      <c r="D1199" t="s">
        <v>425</v>
      </c>
      <c r="F1199">
        <v>3619685625</v>
      </c>
      <c r="G1199">
        <v>2284080702</v>
      </c>
      <c r="H1199">
        <v>2025856500</v>
      </c>
      <c r="I1199">
        <v>1677634132</v>
      </c>
      <c r="J1199">
        <v>1513372306</v>
      </c>
      <c r="K1199">
        <v>1249503047</v>
      </c>
      <c r="L1199">
        <v>888964034</v>
      </c>
      <c r="M1199">
        <v>921127261</v>
      </c>
      <c r="N1199">
        <v>922735033</v>
      </c>
      <c r="P1199">
        <v>328</v>
      </c>
      <c r="Q1199" t="s">
        <v>2674</v>
      </c>
    </row>
    <row r="1200" spans="1:17" x14ac:dyDescent="0.3">
      <c r="A1200" t="s">
        <v>17</v>
      </c>
      <c r="B1200" t="str">
        <f>"603187"</f>
        <v>603187</v>
      </c>
      <c r="C1200" t="s">
        <v>2675</v>
      </c>
      <c r="D1200" t="s">
        <v>988</v>
      </c>
      <c r="F1200">
        <v>2661793901</v>
      </c>
      <c r="G1200">
        <v>1890489148</v>
      </c>
      <c r="H1200">
        <v>1535632695</v>
      </c>
      <c r="I1200">
        <v>1211767654</v>
      </c>
      <c r="J1200">
        <v>964949531</v>
      </c>
      <c r="K1200">
        <v>844434171</v>
      </c>
      <c r="L1200">
        <v>864536218</v>
      </c>
      <c r="P1200">
        <v>704</v>
      </c>
      <c r="Q1200" t="s">
        <v>2676</v>
      </c>
    </row>
    <row r="1201" spans="1:17" x14ac:dyDescent="0.3">
      <c r="A1201" t="s">
        <v>17</v>
      </c>
      <c r="B1201" t="str">
        <f>"603188"</f>
        <v>603188</v>
      </c>
      <c r="C1201" t="s">
        <v>2677</v>
      </c>
      <c r="D1201" t="s">
        <v>779</v>
      </c>
      <c r="F1201">
        <v>840604093</v>
      </c>
      <c r="G1201">
        <v>652637329</v>
      </c>
      <c r="H1201">
        <v>1420863302</v>
      </c>
      <c r="I1201">
        <v>2075820294</v>
      </c>
      <c r="J1201">
        <v>2435577594</v>
      </c>
      <c r="K1201">
        <v>2287515520</v>
      </c>
      <c r="L1201">
        <v>2290314307</v>
      </c>
      <c r="M1201">
        <v>2313554758</v>
      </c>
      <c r="N1201">
        <v>1910894625</v>
      </c>
      <c r="O1201">
        <v>1605357536</v>
      </c>
      <c r="P1201">
        <v>205</v>
      </c>
      <c r="Q1201" t="s">
        <v>2678</v>
      </c>
    </row>
    <row r="1202" spans="1:17" x14ac:dyDescent="0.3">
      <c r="A1202" t="s">
        <v>17</v>
      </c>
      <c r="B1202" t="str">
        <f>"603189"</f>
        <v>603189</v>
      </c>
      <c r="C1202" t="s">
        <v>2679</v>
      </c>
      <c r="D1202" t="s">
        <v>945</v>
      </c>
      <c r="F1202">
        <v>362247876</v>
      </c>
      <c r="G1202">
        <v>328003961</v>
      </c>
      <c r="H1202">
        <v>298098937</v>
      </c>
      <c r="I1202">
        <v>201809815</v>
      </c>
      <c r="J1202">
        <v>196622865</v>
      </c>
      <c r="K1202">
        <v>223787561</v>
      </c>
      <c r="L1202">
        <v>207263682</v>
      </c>
      <c r="M1202">
        <v>176830653</v>
      </c>
      <c r="N1202">
        <v>161343356</v>
      </c>
      <c r="P1202">
        <v>166</v>
      </c>
      <c r="Q1202" t="s">
        <v>2680</v>
      </c>
    </row>
    <row r="1203" spans="1:17" x14ac:dyDescent="0.3">
      <c r="A1203" t="s">
        <v>17</v>
      </c>
      <c r="B1203" t="str">
        <f>"603191"</f>
        <v>603191</v>
      </c>
      <c r="C1203" t="s">
        <v>2681</v>
      </c>
      <c r="F1203">
        <v>1933349892</v>
      </c>
      <c r="G1203">
        <v>1296879195</v>
      </c>
      <c r="H1203">
        <v>1107515846</v>
      </c>
      <c r="I1203">
        <v>893891700</v>
      </c>
      <c r="P1203">
        <v>5</v>
      </c>
      <c r="Q1203" t="s">
        <v>2682</v>
      </c>
    </row>
    <row r="1204" spans="1:17" x14ac:dyDescent="0.3">
      <c r="A1204" t="s">
        <v>17</v>
      </c>
      <c r="B1204" t="str">
        <f>"603192"</f>
        <v>603192</v>
      </c>
      <c r="C1204" t="s">
        <v>2683</v>
      </c>
      <c r="D1204" t="s">
        <v>528</v>
      </c>
      <c r="F1204">
        <v>3191417632</v>
      </c>
      <c r="G1204">
        <v>1497717810</v>
      </c>
      <c r="H1204">
        <v>1439978422</v>
      </c>
      <c r="I1204">
        <v>1592519755</v>
      </c>
      <c r="J1204">
        <v>1426122041</v>
      </c>
      <c r="K1204">
        <v>1173866785</v>
      </c>
      <c r="L1204">
        <v>1130583858</v>
      </c>
      <c r="P1204">
        <v>82</v>
      </c>
      <c r="Q1204" t="s">
        <v>2684</v>
      </c>
    </row>
    <row r="1205" spans="1:17" x14ac:dyDescent="0.3">
      <c r="A1205" t="s">
        <v>17</v>
      </c>
      <c r="B1205" t="str">
        <f>"603195"</f>
        <v>603195</v>
      </c>
      <c r="C1205" t="s">
        <v>2685</v>
      </c>
      <c r="D1205" t="s">
        <v>2445</v>
      </c>
      <c r="F1205">
        <v>12384916338</v>
      </c>
      <c r="G1205">
        <v>10051128834</v>
      </c>
      <c r="H1205">
        <v>10040439724</v>
      </c>
      <c r="I1205">
        <v>9064998017</v>
      </c>
      <c r="J1205">
        <v>7240072447</v>
      </c>
      <c r="K1205">
        <v>5366481598</v>
      </c>
      <c r="P1205">
        <v>1473</v>
      </c>
      <c r="Q1205" t="s">
        <v>2686</v>
      </c>
    </row>
    <row r="1206" spans="1:17" x14ac:dyDescent="0.3">
      <c r="A1206" t="s">
        <v>17</v>
      </c>
      <c r="B1206" t="str">
        <f>"603196"</f>
        <v>603196</v>
      </c>
      <c r="C1206" t="s">
        <v>2687</v>
      </c>
      <c r="D1206" t="s">
        <v>255</v>
      </c>
      <c r="F1206">
        <v>1024714953</v>
      </c>
      <c r="G1206">
        <v>822541540</v>
      </c>
      <c r="H1206">
        <v>1114387789</v>
      </c>
      <c r="I1206">
        <v>1132130639</v>
      </c>
      <c r="J1206">
        <v>1073469816</v>
      </c>
      <c r="K1206">
        <v>948930794</v>
      </c>
      <c r="L1206">
        <v>897701466</v>
      </c>
      <c r="M1206">
        <v>911075734</v>
      </c>
      <c r="P1206">
        <v>70</v>
      </c>
      <c r="Q1206" t="s">
        <v>2688</v>
      </c>
    </row>
    <row r="1207" spans="1:17" x14ac:dyDescent="0.3">
      <c r="A1207" t="s">
        <v>17</v>
      </c>
      <c r="B1207" t="str">
        <f>"603197"</f>
        <v>603197</v>
      </c>
      <c r="C1207" t="s">
        <v>2689</v>
      </c>
      <c r="D1207" t="s">
        <v>985</v>
      </c>
      <c r="F1207">
        <v>3897585592</v>
      </c>
      <c r="G1207">
        <v>3331085105</v>
      </c>
      <c r="H1207">
        <v>3320964324</v>
      </c>
      <c r="I1207">
        <v>2304783223</v>
      </c>
      <c r="J1207">
        <v>2080722837</v>
      </c>
      <c r="K1207">
        <v>1678665573</v>
      </c>
      <c r="L1207">
        <v>1387542535</v>
      </c>
      <c r="M1207">
        <v>1226785818</v>
      </c>
      <c r="P1207">
        <v>357</v>
      </c>
      <c r="Q1207" t="s">
        <v>2690</v>
      </c>
    </row>
    <row r="1208" spans="1:17" x14ac:dyDescent="0.3">
      <c r="A1208" t="s">
        <v>17</v>
      </c>
      <c r="B1208" t="str">
        <f>"603198"</f>
        <v>603198</v>
      </c>
      <c r="C1208" t="s">
        <v>2691</v>
      </c>
      <c r="D1208" t="s">
        <v>458</v>
      </c>
      <c r="F1208">
        <v>4576846931</v>
      </c>
      <c r="G1208">
        <v>3452046712</v>
      </c>
      <c r="H1208">
        <v>3776983565</v>
      </c>
      <c r="I1208">
        <v>3488800863</v>
      </c>
      <c r="J1208">
        <v>3138381226</v>
      </c>
      <c r="K1208">
        <v>3038330041</v>
      </c>
      <c r="L1208">
        <v>2926804370</v>
      </c>
      <c r="M1208">
        <v>2958954539</v>
      </c>
      <c r="N1208">
        <v>3394960512</v>
      </c>
      <c r="O1208">
        <v>3353561571</v>
      </c>
      <c r="P1208">
        <v>5964</v>
      </c>
      <c r="Q1208" t="s">
        <v>2692</v>
      </c>
    </row>
    <row r="1209" spans="1:17" x14ac:dyDescent="0.3">
      <c r="A1209" t="s">
        <v>17</v>
      </c>
      <c r="B1209" t="str">
        <f>"603199"</f>
        <v>603199</v>
      </c>
      <c r="C1209" t="s">
        <v>2693</v>
      </c>
      <c r="D1209" t="s">
        <v>119</v>
      </c>
      <c r="F1209">
        <v>425669227</v>
      </c>
      <c r="G1209">
        <v>341043065</v>
      </c>
      <c r="H1209">
        <v>537219494</v>
      </c>
      <c r="I1209">
        <v>485313932</v>
      </c>
      <c r="J1209">
        <v>446324185</v>
      </c>
      <c r="K1209">
        <v>401213508</v>
      </c>
      <c r="L1209">
        <v>400786491</v>
      </c>
      <c r="M1209">
        <v>410738514</v>
      </c>
      <c r="N1209">
        <v>385785484</v>
      </c>
      <c r="O1209">
        <v>386307282</v>
      </c>
      <c r="P1209">
        <v>144</v>
      </c>
      <c r="Q1209" t="s">
        <v>2694</v>
      </c>
    </row>
    <row r="1210" spans="1:17" x14ac:dyDescent="0.3">
      <c r="A1210" t="s">
        <v>17</v>
      </c>
      <c r="B1210" t="str">
        <f>"603200"</f>
        <v>603200</v>
      </c>
      <c r="C1210" t="s">
        <v>2695</v>
      </c>
      <c r="D1210" t="s">
        <v>33</v>
      </c>
      <c r="F1210">
        <v>559937735</v>
      </c>
      <c r="G1210">
        <v>530094822</v>
      </c>
      <c r="H1210">
        <v>583607279</v>
      </c>
      <c r="I1210">
        <v>413604799</v>
      </c>
      <c r="J1210">
        <v>300905336</v>
      </c>
      <c r="K1210">
        <v>296245419</v>
      </c>
      <c r="L1210">
        <v>244108261</v>
      </c>
      <c r="M1210">
        <v>270581591</v>
      </c>
      <c r="P1210">
        <v>101</v>
      </c>
      <c r="Q1210" t="s">
        <v>2696</v>
      </c>
    </row>
    <row r="1211" spans="1:17" x14ac:dyDescent="0.3">
      <c r="A1211" t="s">
        <v>17</v>
      </c>
      <c r="B1211" t="str">
        <f>"603203"</f>
        <v>603203</v>
      </c>
      <c r="C1211" t="s">
        <v>2697</v>
      </c>
      <c r="D1211" t="s">
        <v>2432</v>
      </c>
      <c r="F1211">
        <v>780569838</v>
      </c>
      <c r="G1211">
        <v>534986054</v>
      </c>
      <c r="H1211">
        <v>460876834</v>
      </c>
      <c r="I1211">
        <v>432408067</v>
      </c>
      <c r="J1211">
        <v>361855534</v>
      </c>
      <c r="K1211">
        <v>286209862</v>
      </c>
      <c r="L1211">
        <v>230037491</v>
      </c>
      <c r="M1211">
        <v>217013920</v>
      </c>
      <c r="N1211">
        <v>180887428</v>
      </c>
      <c r="P1211">
        <v>2647</v>
      </c>
      <c r="Q1211" t="s">
        <v>2698</v>
      </c>
    </row>
    <row r="1212" spans="1:17" x14ac:dyDescent="0.3">
      <c r="A1212" t="s">
        <v>17</v>
      </c>
      <c r="B1212" t="str">
        <f>"603206"</f>
        <v>603206</v>
      </c>
      <c r="C1212" t="s">
        <v>2699</v>
      </c>
      <c r="F1212">
        <v>3554749228</v>
      </c>
      <c r="G1212">
        <v>2925745585</v>
      </c>
      <c r="H1212">
        <v>2265070826</v>
      </c>
      <c r="I1212">
        <v>1825718204</v>
      </c>
      <c r="Q1212" t="s">
        <v>2700</v>
      </c>
    </row>
    <row r="1213" spans="1:17" x14ac:dyDescent="0.3">
      <c r="A1213" t="s">
        <v>17</v>
      </c>
      <c r="B1213" t="str">
        <f>"603208"</f>
        <v>603208</v>
      </c>
      <c r="C1213" t="s">
        <v>2701</v>
      </c>
      <c r="D1213" t="s">
        <v>2664</v>
      </c>
      <c r="F1213">
        <v>3157305344</v>
      </c>
      <c r="G1213">
        <v>3011514956</v>
      </c>
      <c r="H1213">
        <v>2026631378</v>
      </c>
      <c r="I1213">
        <v>1282874712</v>
      </c>
      <c r="J1213">
        <v>1009738899</v>
      </c>
      <c r="K1213">
        <v>766487595</v>
      </c>
      <c r="L1213">
        <v>657273135</v>
      </c>
      <c r="M1213">
        <v>451721126</v>
      </c>
      <c r="N1213">
        <v>457858280</v>
      </c>
      <c r="P1213">
        <v>493</v>
      </c>
      <c r="Q1213" t="s">
        <v>2702</v>
      </c>
    </row>
    <row r="1214" spans="1:17" x14ac:dyDescent="0.3">
      <c r="A1214" t="s">
        <v>17</v>
      </c>
      <c r="B1214" t="str">
        <f>"603209"</f>
        <v>603209</v>
      </c>
      <c r="C1214" t="s">
        <v>2703</v>
      </c>
      <c r="F1214">
        <v>566861242</v>
      </c>
      <c r="G1214">
        <v>386417551</v>
      </c>
      <c r="H1214">
        <v>291946694</v>
      </c>
      <c r="I1214">
        <v>268892300</v>
      </c>
      <c r="P1214">
        <v>12</v>
      </c>
      <c r="Q1214" t="s">
        <v>2704</v>
      </c>
    </row>
    <row r="1215" spans="1:17" x14ac:dyDescent="0.3">
      <c r="A1215" t="s">
        <v>17</v>
      </c>
      <c r="B1215" t="str">
        <f>"603212"</f>
        <v>603212</v>
      </c>
      <c r="C1215" t="s">
        <v>2705</v>
      </c>
      <c r="D1215" t="s">
        <v>478</v>
      </c>
      <c r="F1215">
        <v>3017261004</v>
      </c>
      <c r="G1215">
        <v>2182509679</v>
      </c>
      <c r="H1215">
        <v>2135491647</v>
      </c>
      <c r="I1215">
        <v>1931057166</v>
      </c>
      <c r="J1215">
        <v>1807002595</v>
      </c>
      <c r="P1215">
        <v>129</v>
      </c>
      <c r="Q1215" t="s">
        <v>2706</v>
      </c>
    </row>
    <row r="1216" spans="1:17" x14ac:dyDescent="0.3">
      <c r="A1216" t="s">
        <v>17</v>
      </c>
      <c r="B1216" t="str">
        <f>"603213"</f>
        <v>603213</v>
      </c>
      <c r="C1216" t="s">
        <v>2707</v>
      </c>
      <c r="D1216" t="s">
        <v>175</v>
      </c>
      <c r="F1216">
        <v>2043261081</v>
      </c>
      <c r="G1216">
        <v>1152264583</v>
      </c>
      <c r="H1216">
        <v>1136700747</v>
      </c>
      <c r="I1216">
        <v>1153571876</v>
      </c>
      <c r="J1216">
        <v>1183416740</v>
      </c>
      <c r="P1216">
        <v>32</v>
      </c>
      <c r="Q1216" t="s">
        <v>2708</v>
      </c>
    </row>
    <row r="1217" spans="1:17" x14ac:dyDescent="0.3">
      <c r="A1217" t="s">
        <v>17</v>
      </c>
      <c r="B1217" t="str">
        <f>"603214"</f>
        <v>603214</v>
      </c>
      <c r="C1217" t="s">
        <v>2709</v>
      </c>
      <c r="D1217" t="s">
        <v>295</v>
      </c>
      <c r="F1217">
        <v>2652348772</v>
      </c>
      <c r="G1217">
        <v>2256443055</v>
      </c>
      <c r="H1217">
        <v>2460365116</v>
      </c>
      <c r="I1217">
        <v>2135403713</v>
      </c>
      <c r="J1217">
        <v>1807849277</v>
      </c>
      <c r="K1217">
        <v>1584963203</v>
      </c>
      <c r="L1217">
        <v>1388066050</v>
      </c>
      <c r="P1217">
        <v>290</v>
      </c>
      <c r="Q1217" t="s">
        <v>2710</v>
      </c>
    </row>
    <row r="1218" spans="1:17" x14ac:dyDescent="0.3">
      <c r="A1218" t="s">
        <v>17</v>
      </c>
      <c r="B1218" t="str">
        <f>"603215"</f>
        <v>603215</v>
      </c>
      <c r="C1218" t="s">
        <v>2711</v>
      </c>
      <c r="F1218">
        <v>1633659920</v>
      </c>
      <c r="G1218">
        <v>1163326479</v>
      </c>
      <c r="H1218">
        <v>740106532</v>
      </c>
      <c r="I1218">
        <v>618348618</v>
      </c>
      <c r="P1218">
        <v>13</v>
      </c>
      <c r="Q1218" t="s">
        <v>2712</v>
      </c>
    </row>
    <row r="1219" spans="1:17" x14ac:dyDescent="0.3">
      <c r="A1219" t="s">
        <v>17</v>
      </c>
      <c r="B1219" t="str">
        <f>"603216"</f>
        <v>603216</v>
      </c>
      <c r="C1219" t="s">
        <v>2713</v>
      </c>
      <c r="D1219" t="s">
        <v>2664</v>
      </c>
      <c r="F1219">
        <v>1519894601</v>
      </c>
      <c r="G1219">
        <v>1226754526</v>
      </c>
      <c r="H1219">
        <v>1348052344</v>
      </c>
      <c r="I1219">
        <v>1344563894</v>
      </c>
      <c r="J1219">
        <v>1482138293</v>
      </c>
      <c r="P1219">
        <v>22</v>
      </c>
      <c r="Q1219" t="s">
        <v>2714</v>
      </c>
    </row>
    <row r="1220" spans="1:17" x14ac:dyDescent="0.3">
      <c r="A1220" t="s">
        <v>17</v>
      </c>
      <c r="B1220" t="str">
        <f>"603217"</f>
        <v>603217</v>
      </c>
      <c r="C1220" t="s">
        <v>2715</v>
      </c>
      <c r="D1220" t="s">
        <v>386</v>
      </c>
      <c r="F1220">
        <v>2343456847</v>
      </c>
      <c r="G1220">
        <v>1222028755</v>
      </c>
      <c r="H1220">
        <v>1167341898</v>
      </c>
      <c r="I1220">
        <v>1367416397</v>
      </c>
      <c r="J1220">
        <v>1247532704</v>
      </c>
      <c r="K1220">
        <v>931808190</v>
      </c>
      <c r="P1220">
        <v>71</v>
      </c>
      <c r="Q1220" t="s">
        <v>2716</v>
      </c>
    </row>
    <row r="1221" spans="1:17" x14ac:dyDescent="0.3">
      <c r="A1221" t="s">
        <v>17</v>
      </c>
      <c r="B1221" t="str">
        <f>"603218"</f>
        <v>603218</v>
      </c>
      <c r="C1221" t="s">
        <v>2717</v>
      </c>
      <c r="D1221" t="s">
        <v>950</v>
      </c>
      <c r="F1221">
        <v>4712078328</v>
      </c>
      <c r="G1221">
        <v>5110598276</v>
      </c>
      <c r="H1221">
        <v>3485830443</v>
      </c>
      <c r="I1221">
        <v>2350589291</v>
      </c>
      <c r="J1221">
        <v>1831436338</v>
      </c>
      <c r="K1221">
        <v>1600333575</v>
      </c>
      <c r="L1221">
        <v>1880500503</v>
      </c>
      <c r="M1221">
        <v>1445119732</v>
      </c>
      <c r="N1221">
        <v>1085644901</v>
      </c>
      <c r="P1221">
        <v>566</v>
      </c>
      <c r="Q1221" t="s">
        <v>2718</v>
      </c>
    </row>
    <row r="1222" spans="1:17" x14ac:dyDescent="0.3">
      <c r="A1222" t="s">
        <v>17</v>
      </c>
      <c r="B1222" t="str">
        <f>"603219"</f>
        <v>603219</v>
      </c>
      <c r="C1222" t="s">
        <v>2719</v>
      </c>
      <c r="D1222" t="s">
        <v>2720</v>
      </c>
      <c r="F1222">
        <v>2600501683</v>
      </c>
      <c r="G1222">
        <v>2094847108</v>
      </c>
      <c r="H1222">
        <v>1103296221</v>
      </c>
      <c r="I1222">
        <v>1383341641</v>
      </c>
      <c r="J1222">
        <v>972886118</v>
      </c>
      <c r="P1222">
        <v>23</v>
      </c>
      <c r="Q1222" t="s">
        <v>2721</v>
      </c>
    </row>
    <row r="1223" spans="1:17" x14ac:dyDescent="0.3">
      <c r="A1223" t="s">
        <v>17</v>
      </c>
      <c r="B1223" t="str">
        <f>"603220"</f>
        <v>603220</v>
      </c>
      <c r="C1223" t="s">
        <v>2722</v>
      </c>
      <c r="D1223" t="s">
        <v>654</v>
      </c>
      <c r="F1223">
        <v>2641461852</v>
      </c>
      <c r="G1223">
        <v>2066527464</v>
      </c>
      <c r="H1223">
        <v>1831741052</v>
      </c>
      <c r="I1223">
        <v>1750827645</v>
      </c>
      <c r="J1223">
        <v>1360449173</v>
      </c>
      <c r="K1223">
        <v>964099812</v>
      </c>
      <c r="L1223">
        <v>735860133</v>
      </c>
      <c r="P1223">
        <v>146</v>
      </c>
      <c r="Q1223" t="s">
        <v>2723</v>
      </c>
    </row>
    <row r="1224" spans="1:17" x14ac:dyDescent="0.3">
      <c r="A1224" t="s">
        <v>17</v>
      </c>
      <c r="B1224" t="str">
        <f>"603221"</f>
        <v>603221</v>
      </c>
      <c r="C1224" t="s">
        <v>2724</v>
      </c>
      <c r="D1224" t="s">
        <v>178</v>
      </c>
      <c r="F1224">
        <v>1078468809</v>
      </c>
      <c r="G1224">
        <v>1077561157</v>
      </c>
      <c r="H1224">
        <v>1145787942</v>
      </c>
      <c r="I1224">
        <v>1372730138</v>
      </c>
      <c r="J1224">
        <v>1055257192</v>
      </c>
      <c r="P1224">
        <v>79</v>
      </c>
      <c r="Q1224" t="s">
        <v>2725</v>
      </c>
    </row>
    <row r="1225" spans="1:17" x14ac:dyDescent="0.3">
      <c r="A1225" t="s">
        <v>17</v>
      </c>
      <c r="B1225" t="str">
        <f>"603222"</f>
        <v>603222</v>
      </c>
      <c r="C1225" t="s">
        <v>2726</v>
      </c>
      <c r="D1225" t="s">
        <v>1077</v>
      </c>
      <c r="F1225">
        <v>1098469879</v>
      </c>
      <c r="G1225">
        <v>877640019</v>
      </c>
      <c r="H1225">
        <v>771279231</v>
      </c>
      <c r="I1225">
        <v>697831631</v>
      </c>
      <c r="J1225">
        <v>602898709</v>
      </c>
      <c r="K1225">
        <v>450378619</v>
      </c>
      <c r="L1225">
        <v>448595641</v>
      </c>
      <c r="M1225">
        <v>488305660</v>
      </c>
      <c r="N1225">
        <v>559420133</v>
      </c>
      <c r="O1225">
        <v>582752014</v>
      </c>
      <c r="P1225">
        <v>170</v>
      </c>
      <c r="Q1225" t="s">
        <v>2727</v>
      </c>
    </row>
    <row r="1226" spans="1:17" x14ac:dyDescent="0.3">
      <c r="A1226" t="s">
        <v>17</v>
      </c>
      <c r="B1226" t="str">
        <f>"603223"</f>
        <v>603223</v>
      </c>
      <c r="C1226" t="s">
        <v>2728</v>
      </c>
      <c r="D1226" t="s">
        <v>2503</v>
      </c>
      <c r="F1226">
        <v>7082350715</v>
      </c>
      <c r="G1226">
        <v>5596526645</v>
      </c>
      <c r="H1226">
        <v>7036348192</v>
      </c>
      <c r="I1226">
        <v>6042686405</v>
      </c>
      <c r="J1226">
        <v>4092144779</v>
      </c>
      <c r="K1226">
        <v>2166179145</v>
      </c>
      <c r="L1226">
        <v>2022546962</v>
      </c>
      <c r="M1226">
        <v>1214681706</v>
      </c>
      <c r="N1226">
        <v>1256361505</v>
      </c>
      <c r="O1226">
        <v>981906052</v>
      </c>
      <c r="P1226">
        <v>98</v>
      </c>
      <c r="Q1226" t="s">
        <v>2729</v>
      </c>
    </row>
    <row r="1227" spans="1:17" x14ac:dyDescent="0.3">
      <c r="A1227" t="s">
        <v>17</v>
      </c>
      <c r="B1227" t="str">
        <f>"603225"</f>
        <v>603225</v>
      </c>
      <c r="C1227" t="s">
        <v>2730</v>
      </c>
      <c r="D1227" t="s">
        <v>2731</v>
      </c>
      <c r="F1227">
        <v>44770030050</v>
      </c>
      <c r="G1227">
        <v>36984103357</v>
      </c>
      <c r="H1227">
        <v>34148206781</v>
      </c>
      <c r="I1227">
        <v>32658767104</v>
      </c>
      <c r="J1227">
        <v>22963277841</v>
      </c>
      <c r="K1227">
        <v>17476987642</v>
      </c>
      <c r="L1227">
        <v>14640079440</v>
      </c>
      <c r="M1227">
        <v>14755380131</v>
      </c>
      <c r="P1227">
        <v>388</v>
      </c>
      <c r="Q1227" t="s">
        <v>2732</v>
      </c>
    </row>
    <row r="1228" spans="1:17" x14ac:dyDescent="0.3">
      <c r="A1228" t="s">
        <v>17</v>
      </c>
      <c r="B1228" t="str">
        <f>"603226"</f>
        <v>603226</v>
      </c>
      <c r="C1228" t="s">
        <v>2733</v>
      </c>
      <c r="D1228" t="s">
        <v>178</v>
      </c>
      <c r="F1228">
        <v>781458552</v>
      </c>
      <c r="G1228">
        <v>601600887</v>
      </c>
      <c r="H1228">
        <v>796602164</v>
      </c>
      <c r="I1228">
        <v>834888548</v>
      </c>
      <c r="J1228">
        <v>796400203</v>
      </c>
      <c r="K1228">
        <v>695205072</v>
      </c>
      <c r="L1228">
        <v>709710292</v>
      </c>
      <c r="M1228">
        <v>654949883</v>
      </c>
      <c r="P1228">
        <v>113</v>
      </c>
      <c r="Q1228" t="s">
        <v>2734</v>
      </c>
    </row>
    <row r="1229" spans="1:17" x14ac:dyDescent="0.3">
      <c r="A1229" t="s">
        <v>17</v>
      </c>
      <c r="B1229" t="str">
        <f>"603227"</f>
        <v>603227</v>
      </c>
      <c r="C1229" t="s">
        <v>2735</v>
      </c>
      <c r="D1229" t="s">
        <v>2736</v>
      </c>
      <c r="F1229">
        <v>2606084857</v>
      </c>
      <c r="G1229">
        <v>2028588329</v>
      </c>
      <c r="H1229">
        <v>2134695052</v>
      </c>
      <c r="I1229">
        <v>2034283673</v>
      </c>
      <c r="J1229">
        <v>1273440579</v>
      </c>
      <c r="K1229">
        <v>928159087</v>
      </c>
      <c r="L1229">
        <v>859076597</v>
      </c>
      <c r="M1229">
        <v>909317656</v>
      </c>
      <c r="N1229">
        <v>1059242909</v>
      </c>
      <c r="O1229">
        <v>1064548930</v>
      </c>
      <c r="P1229">
        <v>80</v>
      </c>
      <c r="Q1229" t="s">
        <v>2737</v>
      </c>
    </row>
    <row r="1230" spans="1:17" x14ac:dyDescent="0.3">
      <c r="A1230" t="s">
        <v>17</v>
      </c>
      <c r="B1230" t="str">
        <f>"603228"</f>
        <v>603228</v>
      </c>
      <c r="C1230" t="s">
        <v>2738</v>
      </c>
      <c r="D1230" t="s">
        <v>425</v>
      </c>
      <c r="F1230">
        <v>9532422463</v>
      </c>
      <c r="G1230">
        <v>7063588892</v>
      </c>
      <c r="H1230">
        <v>6332122846</v>
      </c>
      <c r="I1230">
        <v>4985559105</v>
      </c>
      <c r="J1230">
        <v>4192017811</v>
      </c>
      <c r="K1230">
        <v>3283195795</v>
      </c>
      <c r="L1230">
        <v>2677309711</v>
      </c>
      <c r="M1230">
        <v>2237393243</v>
      </c>
      <c r="N1230">
        <v>1760528085</v>
      </c>
      <c r="P1230">
        <v>1624</v>
      </c>
      <c r="Q1230" t="s">
        <v>2739</v>
      </c>
    </row>
    <row r="1231" spans="1:17" x14ac:dyDescent="0.3">
      <c r="A1231" t="s">
        <v>17</v>
      </c>
      <c r="B1231" t="str">
        <f>"603229"</f>
        <v>603229</v>
      </c>
      <c r="C1231" t="s">
        <v>2740</v>
      </c>
      <c r="D1231" t="s">
        <v>496</v>
      </c>
      <c r="F1231">
        <v>569698344</v>
      </c>
      <c r="G1231">
        <v>409249350</v>
      </c>
      <c r="H1231">
        <v>307914615</v>
      </c>
      <c r="I1231">
        <v>243885062</v>
      </c>
      <c r="J1231">
        <v>240188299</v>
      </c>
      <c r="K1231">
        <v>198841958</v>
      </c>
      <c r="L1231">
        <v>262666048</v>
      </c>
      <c r="M1231">
        <v>201417277</v>
      </c>
      <c r="P1231">
        <v>164</v>
      </c>
      <c r="Q1231" t="s">
        <v>2741</v>
      </c>
    </row>
    <row r="1232" spans="1:17" x14ac:dyDescent="0.3">
      <c r="A1232" t="s">
        <v>17</v>
      </c>
      <c r="B1232" t="str">
        <f>"603230"</f>
        <v>603230</v>
      </c>
      <c r="C1232" t="s">
        <v>2742</v>
      </c>
      <c r="D1232" t="s">
        <v>1536</v>
      </c>
      <c r="F1232">
        <v>1591776033</v>
      </c>
      <c r="G1232">
        <v>1270094865</v>
      </c>
      <c r="H1232">
        <v>1205008946</v>
      </c>
      <c r="I1232">
        <v>1093090365</v>
      </c>
      <c r="J1232">
        <v>976972400</v>
      </c>
      <c r="P1232">
        <v>17</v>
      </c>
      <c r="Q1232" t="s">
        <v>2743</v>
      </c>
    </row>
    <row r="1233" spans="1:17" x14ac:dyDescent="0.3">
      <c r="A1233" t="s">
        <v>17</v>
      </c>
      <c r="B1233" t="str">
        <f>"603232"</f>
        <v>603232</v>
      </c>
      <c r="C1233" t="s">
        <v>2744</v>
      </c>
      <c r="D1233" t="s">
        <v>945</v>
      </c>
      <c r="F1233">
        <v>611071656</v>
      </c>
      <c r="G1233">
        <v>444807800</v>
      </c>
      <c r="H1233">
        <v>370541321</v>
      </c>
      <c r="I1233">
        <v>308585450</v>
      </c>
      <c r="J1233">
        <v>271653610</v>
      </c>
      <c r="K1233">
        <v>232062989</v>
      </c>
      <c r="L1233">
        <v>185544916</v>
      </c>
      <c r="M1233">
        <v>164541143</v>
      </c>
      <c r="P1233">
        <v>159</v>
      </c>
      <c r="Q1233" t="s">
        <v>2745</v>
      </c>
    </row>
    <row r="1234" spans="1:17" x14ac:dyDescent="0.3">
      <c r="A1234" t="s">
        <v>17</v>
      </c>
      <c r="B1234" t="str">
        <f>"603233"</f>
        <v>603233</v>
      </c>
      <c r="C1234" t="s">
        <v>2746</v>
      </c>
      <c r="D1234" t="s">
        <v>1686</v>
      </c>
      <c r="F1234">
        <v>16759335265</v>
      </c>
      <c r="G1234">
        <v>14582865283</v>
      </c>
      <c r="H1234">
        <v>11141165082</v>
      </c>
      <c r="I1234">
        <v>8859273708</v>
      </c>
      <c r="J1234">
        <v>7421196903</v>
      </c>
      <c r="K1234">
        <v>6273722022</v>
      </c>
      <c r="L1234">
        <v>5265481860</v>
      </c>
      <c r="M1234">
        <v>4545011007</v>
      </c>
      <c r="P1234">
        <v>1786</v>
      </c>
      <c r="Q1234" t="s">
        <v>2747</v>
      </c>
    </row>
    <row r="1235" spans="1:17" x14ac:dyDescent="0.3">
      <c r="A1235" t="s">
        <v>17</v>
      </c>
      <c r="B1235" t="str">
        <f>"603236"</f>
        <v>603236</v>
      </c>
      <c r="C1235" t="s">
        <v>2748</v>
      </c>
      <c r="D1235" t="s">
        <v>786</v>
      </c>
      <c r="F1235">
        <v>11261921748</v>
      </c>
      <c r="G1235">
        <v>6105779381</v>
      </c>
      <c r="H1235">
        <v>4129746036</v>
      </c>
      <c r="I1235">
        <v>2701473995</v>
      </c>
      <c r="J1235">
        <v>1660800819</v>
      </c>
      <c r="K1235">
        <v>572783877</v>
      </c>
      <c r="P1235">
        <v>589</v>
      </c>
      <c r="Q1235" t="s">
        <v>2749</v>
      </c>
    </row>
    <row r="1236" spans="1:17" x14ac:dyDescent="0.3">
      <c r="A1236" t="s">
        <v>17</v>
      </c>
      <c r="B1236" t="str">
        <f>"603238"</f>
        <v>603238</v>
      </c>
      <c r="C1236" t="s">
        <v>2750</v>
      </c>
      <c r="D1236" t="s">
        <v>2751</v>
      </c>
      <c r="F1236">
        <v>1519457858</v>
      </c>
      <c r="G1236">
        <v>2009936921</v>
      </c>
      <c r="H1236">
        <v>1098023577</v>
      </c>
      <c r="I1236">
        <v>936448249</v>
      </c>
      <c r="J1236">
        <v>618348789</v>
      </c>
      <c r="K1236">
        <v>525808582</v>
      </c>
      <c r="L1236">
        <v>516269657</v>
      </c>
      <c r="M1236">
        <v>495376425</v>
      </c>
      <c r="N1236">
        <v>400570975</v>
      </c>
      <c r="P1236">
        <v>240</v>
      </c>
      <c r="Q1236" t="s">
        <v>2752</v>
      </c>
    </row>
    <row r="1237" spans="1:17" x14ac:dyDescent="0.3">
      <c r="A1237" t="s">
        <v>17</v>
      </c>
      <c r="B1237" t="str">
        <f>"603239"</f>
        <v>603239</v>
      </c>
      <c r="C1237" t="s">
        <v>2753</v>
      </c>
      <c r="D1237" t="s">
        <v>985</v>
      </c>
      <c r="F1237">
        <v>787187466</v>
      </c>
      <c r="G1237">
        <v>617874848</v>
      </c>
      <c r="H1237">
        <v>642478981</v>
      </c>
      <c r="I1237">
        <v>704488764</v>
      </c>
      <c r="J1237">
        <v>732122586</v>
      </c>
      <c r="K1237">
        <v>586016284</v>
      </c>
      <c r="L1237">
        <v>423914493</v>
      </c>
      <c r="M1237">
        <v>300977427</v>
      </c>
      <c r="N1237">
        <v>322602090</v>
      </c>
      <c r="P1237">
        <v>166</v>
      </c>
      <c r="Q1237" t="s">
        <v>2754</v>
      </c>
    </row>
    <row r="1238" spans="1:17" x14ac:dyDescent="0.3">
      <c r="A1238" t="s">
        <v>17</v>
      </c>
      <c r="B1238" t="str">
        <f>"603256"</f>
        <v>603256</v>
      </c>
      <c r="C1238" t="s">
        <v>2755</v>
      </c>
      <c r="D1238" t="s">
        <v>411</v>
      </c>
      <c r="F1238">
        <v>808159531</v>
      </c>
      <c r="G1238">
        <v>620574334</v>
      </c>
      <c r="H1238">
        <v>662674769</v>
      </c>
      <c r="I1238">
        <v>827191839</v>
      </c>
      <c r="J1238">
        <v>779266869</v>
      </c>
      <c r="K1238">
        <v>677130895</v>
      </c>
      <c r="P1238">
        <v>340</v>
      </c>
      <c r="Q1238" t="s">
        <v>2756</v>
      </c>
    </row>
    <row r="1239" spans="1:17" x14ac:dyDescent="0.3">
      <c r="A1239" t="s">
        <v>17</v>
      </c>
      <c r="B1239" t="str">
        <f>"603258"</f>
        <v>603258</v>
      </c>
      <c r="C1239" t="s">
        <v>2757</v>
      </c>
      <c r="D1239" t="s">
        <v>517</v>
      </c>
      <c r="F1239">
        <v>996290978</v>
      </c>
      <c r="G1239">
        <v>1023947055</v>
      </c>
      <c r="H1239">
        <v>696747830</v>
      </c>
      <c r="I1239">
        <v>448388088</v>
      </c>
      <c r="J1239">
        <v>499266073</v>
      </c>
      <c r="K1239">
        <v>494414894</v>
      </c>
      <c r="L1239">
        <v>468469873</v>
      </c>
      <c r="M1239">
        <v>473590773</v>
      </c>
      <c r="N1239">
        <v>471035075</v>
      </c>
      <c r="P1239">
        <v>770</v>
      </c>
      <c r="Q1239" t="s">
        <v>2758</v>
      </c>
    </row>
    <row r="1240" spans="1:17" x14ac:dyDescent="0.3">
      <c r="A1240" t="s">
        <v>17</v>
      </c>
      <c r="B1240" t="str">
        <f>"603259"</f>
        <v>603259</v>
      </c>
      <c r="C1240" t="s">
        <v>2759</v>
      </c>
      <c r="D1240" t="s">
        <v>1461</v>
      </c>
      <c r="F1240">
        <v>22902385129</v>
      </c>
      <c r="G1240">
        <v>16535431465</v>
      </c>
      <c r="H1240">
        <v>12872206437</v>
      </c>
      <c r="I1240">
        <v>9613683593</v>
      </c>
      <c r="J1240">
        <v>7765259856</v>
      </c>
      <c r="K1240">
        <v>6116130889</v>
      </c>
      <c r="L1240">
        <v>4883348962</v>
      </c>
      <c r="P1240">
        <v>3984</v>
      </c>
      <c r="Q1240" t="s">
        <v>2760</v>
      </c>
    </row>
    <row r="1241" spans="1:17" x14ac:dyDescent="0.3">
      <c r="A1241" t="s">
        <v>17</v>
      </c>
      <c r="B1241" t="str">
        <f>"603260"</f>
        <v>603260</v>
      </c>
      <c r="C1241" t="s">
        <v>2761</v>
      </c>
      <c r="D1241" t="s">
        <v>2762</v>
      </c>
      <c r="F1241">
        <v>21343240666</v>
      </c>
      <c r="G1241">
        <v>8968239727</v>
      </c>
      <c r="H1241">
        <v>8938791736</v>
      </c>
      <c r="I1241">
        <v>11076410225</v>
      </c>
      <c r="J1241">
        <v>6950037580</v>
      </c>
      <c r="K1241">
        <v>4575274409</v>
      </c>
      <c r="L1241">
        <v>3614467091</v>
      </c>
      <c r="M1241">
        <v>3199567497</v>
      </c>
      <c r="P1241">
        <v>700</v>
      </c>
      <c r="Q1241" t="s">
        <v>2763</v>
      </c>
    </row>
    <row r="1242" spans="1:17" x14ac:dyDescent="0.3">
      <c r="A1242" t="s">
        <v>17</v>
      </c>
      <c r="B1242" t="str">
        <f>"603261"</f>
        <v>603261</v>
      </c>
      <c r="C1242" t="s">
        <v>2764</v>
      </c>
      <c r="F1242">
        <v>305100698</v>
      </c>
      <c r="G1242">
        <v>293031490</v>
      </c>
      <c r="H1242">
        <v>237520397</v>
      </c>
      <c r="I1242">
        <v>258887983</v>
      </c>
      <c r="J1242">
        <v>135518400</v>
      </c>
      <c r="P1242">
        <v>7</v>
      </c>
      <c r="Q1242" t="s">
        <v>2765</v>
      </c>
    </row>
    <row r="1243" spans="1:17" x14ac:dyDescent="0.3">
      <c r="A1243" t="s">
        <v>17</v>
      </c>
      <c r="B1243" t="str">
        <f>"603266"</f>
        <v>603266</v>
      </c>
      <c r="C1243" t="s">
        <v>2766</v>
      </c>
      <c r="D1243" t="s">
        <v>1192</v>
      </c>
      <c r="F1243">
        <v>1184889106</v>
      </c>
      <c r="G1243">
        <v>973308916</v>
      </c>
      <c r="H1243">
        <v>919004676</v>
      </c>
      <c r="I1243">
        <v>926610536</v>
      </c>
      <c r="J1243">
        <v>856933382</v>
      </c>
      <c r="K1243">
        <v>805800846</v>
      </c>
      <c r="L1243">
        <v>703313117</v>
      </c>
      <c r="M1243">
        <v>642598695</v>
      </c>
      <c r="N1243">
        <v>643861356</v>
      </c>
      <c r="P1243">
        <v>95</v>
      </c>
      <c r="Q1243" t="s">
        <v>2767</v>
      </c>
    </row>
    <row r="1244" spans="1:17" x14ac:dyDescent="0.3">
      <c r="A1244" t="s">
        <v>17</v>
      </c>
      <c r="B1244" t="str">
        <f>"603267"</f>
        <v>603267</v>
      </c>
      <c r="C1244" t="s">
        <v>2768</v>
      </c>
      <c r="D1244" t="s">
        <v>1136</v>
      </c>
      <c r="F1244">
        <v>2403105889</v>
      </c>
      <c r="G1244">
        <v>1700035358</v>
      </c>
      <c r="H1244">
        <v>1054459334</v>
      </c>
      <c r="I1244">
        <v>923430908</v>
      </c>
      <c r="J1244">
        <v>736667970</v>
      </c>
      <c r="K1244">
        <v>652062732</v>
      </c>
      <c r="P1244">
        <v>469</v>
      </c>
      <c r="Q1244" t="s">
        <v>2769</v>
      </c>
    </row>
    <row r="1245" spans="1:17" x14ac:dyDescent="0.3">
      <c r="A1245" t="s">
        <v>17</v>
      </c>
      <c r="B1245" t="str">
        <f>"603268"</f>
        <v>603268</v>
      </c>
      <c r="C1245" t="s">
        <v>2770</v>
      </c>
      <c r="D1245" t="s">
        <v>2445</v>
      </c>
      <c r="F1245">
        <v>402972992</v>
      </c>
      <c r="G1245">
        <v>446318599</v>
      </c>
      <c r="H1245">
        <v>580368752</v>
      </c>
      <c r="I1245">
        <v>591024459</v>
      </c>
      <c r="J1245">
        <v>568078119</v>
      </c>
      <c r="K1245">
        <v>351359516</v>
      </c>
      <c r="L1245">
        <v>290877153</v>
      </c>
      <c r="M1245">
        <v>306943382</v>
      </c>
      <c r="N1245">
        <v>291766488</v>
      </c>
      <c r="O1245">
        <v>304709010</v>
      </c>
      <c r="P1245">
        <v>70</v>
      </c>
      <c r="Q1245" t="s">
        <v>2771</v>
      </c>
    </row>
    <row r="1246" spans="1:17" x14ac:dyDescent="0.3">
      <c r="A1246" t="s">
        <v>17</v>
      </c>
      <c r="B1246" t="str">
        <f>"603269"</f>
        <v>603269</v>
      </c>
      <c r="C1246" t="s">
        <v>2772</v>
      </c>
      <c r="D1246" t="s">
        <v>560</v>
      </c>
      <c r="F1246">
        <v>1129857552</v>
      </c>
      <c r="G1246">
        <v>834233649</v>
      </c>
      <c r="H1246">
        <v>610941545</v>
      </c>
      <c r="I1246">
        <v>603746270</v>
      </c>
      <c r="J1246">
        <v>565325056</v>
      </c>
      <c r="K1246">
        <v>539230744</v>
      </c>
      <c r="L1246">
        <v>554433412</v>
      </c>
      <c r="M1246">
        <v>534891611</v>
      </c>
      <c r="P1246">
        <v>63</v>
      </c>
      <c r="Q1246" t="s">
        <v>2773</v>
      </c>
    </row>
    <row r="1247" spans="1:17" x14ac:dyDescent="0.3">
      <c r="A1247" t="s">
        <v>17</v>
      </c>
      <c r="B1247" t="str">
        <f>"603272"</f>
        <v>603272</v>
      </c>
      <c r="C1247" t="s">
        <v>2774</v>
      </c>
      <c r="F1247">
        <v>279360578</v>
      </c>
      <c r="G1247">
        <v>254289732</v>
      </c>
      <c r="H1247">
        <v>297563431</v>
      </c>
      <c r="I1247">
        <v>246899467</v>
      </c>
      <c r="Q1247" t="s">
        <v>2775</v>
      </c>
    </row>
    <row r="1248" spans="1:17" x14ac:dyDescent="0.3">
      <c r="A1248" t="s">
        <v>17</v>
      </c>
      <c r="B1248" t="str">
        <f>"603277"</f>
        <v>603277</v>
      </c>
      <c r="C1248" t="s">
        <v>2776</v>
      </c>
      <c r="D1248" t="s">
        <v>988</v>
      </c>
      <c r="F1248">
        <v>2458732324</v>
      </c>
      <c r="G1248">
        <v>1614305074</v>
      </c>
      <c r="H1248">
        <v>1725525901</v>
      </c>
      <c r="I1248">
        <v>1485516786</v>
      </c>
      <c r="J1248">
        <v>1359642959</v>
      </c>
      <c r="K1248">
        <v>1148303243</v>
      </c>
      <c r="L1248">
        <v>940675735</v>
      </c>
      <c r="M1248">
        <v>720526899</v>
      </c>
      <c r="P1248">
        <v>135</v>
      </c>
      <c r="Q1248" t="s">
        <v>2777</v>
      </c>
    </row>
    <row r="1249" spans="1:17" x14ac:dyDescent="0.3">
      <c r="A1249" t="s">
        <v>17</v>
      </c>
      <c r="B1249" t="str">
        <f>"603278"</f>
        <v>603278</v>
      </c>
      <c r="C1249" t="s">
        <v>2778</v>
      </c>
      <c r="D1249" t="s">
        <v>274</v>
      </c>
      <c r="F1249">
        <v>4143517845</v>
      </c>
      <c r="G1249">
        <v>3073687238</v>
      </c>
      <c r="H1249">
        <v>2729999754</v>
      </c>
      <c r="I1249">
        <v>2439352362</v>
      </c>
      <c r="J1249">
        <v>1885030227</v>
      </c>
      <c r="K1249">
        <v>1401265870</v>
      </c>
      <c r="L1249">
        <v>1134880054</v>
      </c>
      <c r="M1249">
        <v>1126904722</v>
      </c>
      <c r="P1249">
        <v>122</v>
      </c>
      <c r="Q1249" t="s">
        <v>2779</v>
      </c>
    </row>
    <row r="1250" spans="1:17" x14ac:dyDescent="0.3">
      <c r="A1250" t="s">
        <v>17</v>
      </c>
      <c r="B1250" t="str">
        <f>"603279"</f>
        <v>603279</v>
      </c>
      <c r="C1250" t="s">
        <v>2780</v>
      </c>
      <c r="D1250" t="s">
        <v>1070</v>
      </c>
      <c r="F1250">
        <v>4651100995</v>
      </c>
      <c r="G1250">
        <v>3329297918</v>
      </c>
      <c r="H1250">
        <v>3310864083</v>
      </c>
      <c r="I1250">
        <v>2918572854</v>
      </c>
      <c r="J1250">
        <v>2210529514</v>
      </c>
      <c r="K1250">
        <v>1544300894</v>
      </c>
      <c r="P1250">
        <v>233</v>
      </c>
      <c r="Q1250" t="s">
        <v>2781</v>
      </c>
    </row>
    <row r="1251" spans="1:17" x14ac:dyDescent="0.3">
      <c r="A1251" t="s">
        <v>17</v>
      </c>
      <c r="B1251" t="str">
        <f>"603283"</f>
        <v>603283</v>
      </c>
      <c r="C1251" t="s">
        <v>2782</v>
      </c>
      <c r="D1251" t="s">
        <v>2432</v>
      </c>
      <c r="F1251">
        <v>2318554422</v>
      </c>
      <c r="G1251">
        <v>2028369611</v>
      </c>
      <c r="H1251">
        <v>1205512776</v>
      </c>
      <c r="I1251">
        <v>904386417</v>
      </c>
      <c r="J1251">
        <v>683175388</v>
      </c>
      <c r="K1251">
        <v>403022589</v>
      </c>
      <c r="L1251">
        <v>488947704</v>
      </c>
      <c r="M1251">
        <v>380668122</v>
      </c>
      <c r="P1251">
        <v>216</v>
      </c>
      <c r="Q1251" t="s">
        <v>2783</v>
      </c>
    </row>
    <row r="1252" spans="1:17" x14ac:dyDescent="0.3">
      <c r="A1252" t="s">
        <v>17</v>
      </c>
      <c r="B1252" t="str">
        <f>"603286"</f>
        <v>603286</v>
      </c>
      <c r="C1252" t="s">
        <v>2784</v>
      </c>
      <c r="D1252" t="s">
        <v>348</v>
      </c>
      <c r="F1252">
        <v>581653559</v>
      </c>
      <c r="G1252">
        <v>494406349</v>
      </c>
      <c r="H1252">
        <v>498697005</v>
      </c>
      <c r="I1252">
        <v>356179930</v>
      </c>
      <c r="J1252">
        <v>317631498</v>
      </c>
      <c r="K1252">
        <v>275507293</v>
      </c>
      <c r="L1252">
        <v>236734591</v>
      </c>
      <c r="M1252">
        <v>268925359</v>
      </c>
      <c r="P1252">
        <v>66</v>
      </c>
      <c r="Q1252" t="s">
        <v>2785</v>
      </c>
    </row>
    <row r="1253" spans="1:17" x14ac:dyDescent="0.3">
      <c r="A1253" t="s">
        <v>17</v>
      </c>
      <c r="B1253" t="str">
        <f>"603288"</f>
        <v>603288</v>
      </c>
      <c r="C1253" t="s">
        <v>2786</v>
      </c>
      <c r="D1253" t="s">
        <v>433</v>
      </c>
      <c r="F1253">
        <v>25004031043</v>
      </c>
      <c r="G1253">
        <v>22791873936</v>
      </c>
      <c r="H1253">
        <v>19796889800</v>
      </c>
      <c r="I1253">
        <v>17034475127</v>
      </c>
      <c r="J1253">
        <v>14584310897</v>
      </c>
      <c r="K1253">
        <v>12458558941</v>
      </c>
      <c r="L1253">
        <v>11294380030</v>
      </c>
      <c r="M1253">
        <v>9817189663</v>
      </c>
      <c r="N1253">
        <v>8401589321</v>
      </c>
      <c r="O1253">
        <v>7069591620</v>
      </c>
      <c r="P1253">
        <v>54148</v>
      </c>
      <c r="Q1253" t="s">
        <v>2787</v>
      </c>
    </row>
    <row r="1254" spans="1:17" x14ac:dyDescent="0.3">
      <c r="A1254" t="s">
        <v>17</v>
      </c>
      <c r="B1254" t="str">
        <f>"603289"</f>
        <v>603289</v>
      </c>
      <c r="C1254" t="s">
        <v>2788</v>
      </c>
      <c r="D1254" t="s">
        <v>741</v>
      </c>
      <c r="F1254">
        <v>1097586525</v>
      </c>
      <c r="G1254">
        <v>873140922</v>
      </c>
      <c r="H1254">
        <v>803500665</v>
      </c>
      <c r="I1254">
        <v>792342287</v>
      </c>
      <c r="J1254">
        <v>703174644</v>
      </c>
      <c r="K1254">
        <v>512120086</v>
      </c>
      <c r="L1254">
        <v>405172307</v>
      </c>
      <c r="M1254">
        <v>467337076</v>
      </c>
      <c r="P1254">
        <v>115</v>
      </c>
      <c r="Q1254" t="s">
        <v>2789</v>
      </c>
    </row>
    <row r="1255" spans="1:17" x14ac:dyDescent="0.3">
      <c r="A1255" t="s">
        <v>17</v>
      </c>
      <c r="B1255" t="str">
        <f>"603290"</f>
        <v>603290</v>
      </c>
      <c r="C1255" t="s">
        <v>2790</v>
      </c>
      <c r="D1255" t="s">
        <v>795</v>
      </c>
      <c r="F1255">
        <v>1706643166</v>
      </c>
      <c r="G1255">
        <v>963003027</v>
      </c>
      <c r="H1255">
        <v>779439688</v>
      </c>
      <c r="I1255">
        <v>675367667</v>
      </c>
      <c r="J1255">
        <v>437982413</v>
      </c>
      <c r="K1255">
        <v>300663790</v>
      </c>
      <c r="P1255">
        <v>635</v>
      </c>
      <c r="Q1255" t="s">
        <v>2791</v>
      </c>
    </row>
    <row r="1256" spans="1:17" x14ac:dyDescent="0.3">
      <c r="A1256" t="s">
        <v>17</v>
      </c>
      <c r="B1256" t="str">
        <f>"603297"</f>
        <v>603297</v>
      </c>
      <c r="C1256" t="s">
        <v>2792</v>
      </c>
      <c r="D1256" t="s">
        <v>164</v>
      </c>
      <c r="F1256">
        <v>795093311</v>
      </c>
      <c r="G1256">
        <v>576409916</v>
      </c>
      <c r="H1256">
        <v>573041849</v>
      </c>
      <c r="I1256">
        <v>561286305</v>
      </c>
      <c r="J1256">
        <v>513888083</v>
      </c>
      <c r="K1256">
        <v>420934432</v>
      </c>
      <c r="L1256">
        <v>384250618</v>
      </c>
      <c r="P1256">
        <v>238</v>
      </c>
      <c r="Q1256" t="s">
        <v>2793</v>
      </c>
    </row>
    <row r="1257" spans="1:17" x14ac:dyDescent="0.3">
      <c r="A1257" t="s">
        <v>17</v>
      </c>
      <c r="B1257" t="str">
        <f>"603298"</f>
        <v>603298</v>
      </c>
      <c r="C1257" t="s">
        <v>2794</v>
      </c>
      <c r="D1257" t="s">
        <v>83</v>
      </c>
      <c r="F1257">
        <v>14489702675</v>
      </c>
      <c r="G1257">
        <v>11451668969</v>
      </c>
      <c r="H1257">
        <v>8854106705</v>
      </c>
      <c r="I1257">
        <v>8442621589</v>
      </c>
      <c r="J1257">
        <v>7003733329</v>
      </c>
      <c r="K1257">
        <v>5370790419</v>
      </c>
      <c r="L1257">
        <v>4573970070</v>
      </c>
      <c r="M1257">
        <v>5559242165</v>
      </c>
      <c r="N1257">
        <v>5570406217</v>
      </c>
      <c r="P1257">
        <v>451</v>
      </c>
      <c r="Q1257" t="s">
        <v>2795</v>
      </c>
    </row>
    <row r="1258" spans="1:17" x14ac:dyDescent="0.3">
      <c r="A1258" t="s">
        <v>17</v>
      </c>
      <c r="B1258" t="str">
        <f>"603299"</f>
        <v>603299</v>
      </c>
      <c r="C1258" t="s">
        <v>2796</v>
      </c>
      <c r="D1258" t="s">
        <v>736</v>
      </c>
      <c r="F1258">
        <v>4761367450</v>
      </c>
      <c r="G1258">
        <v>3937297486</v>
      </c>
      <c r="H1258">
        <v>4190385022</v>
      </c>
      <c r="I1258">
        <v>2763518623</v>
      </c>
      <c r="J1258">
        <v>2600137562</v>
      </c>
      <c r="K1258">
        <v>2151669059</v>
      </c>
      <c r="L1258">
        <v>2046917575</v>
      </c>
      <c r="M1258">
        <v>2458056725</v>
      </c>
      <c r="N1258">
        <v>2330645602</v>
      </c>
      <c r="O1258">
        <v>2498469191</v>
      </c>
      <c r="P1258">
        <v>139</v>
      </c>
      <c r="Q1258" t="s">
        <v>2797</v>
      </c>
    </row>
    <row r="1259" spans="1:17" x14ac:dyDescent="0.3">
      <c r="A1259" t="s">
        <v>17</v>
      </c>
      <c r="B1259" t="str">
        <f>"603300"</f>
        <v>603300</v>
      </c>
      <c r="C1259" t="s">
        <v>2798</v>
      </c>
      <c r="D1259" t="s">
        <v>336</v>
      </c>
      <c r="F1259">
        <v>2606861908</v>
      </c>
      <c r="G1259">
        <v>1524345815</v>
      </c>
      <c r="H1259">
        <v>1153867198</v>
      </c>
      <c r="I1259">
        <v>887645720</v>
      </c>
      <c r="J1259">
        <v>693511076</v>
      </c>
      <c r="K1259">
        <v>478992277</v>
      </c>
      <c r="L1259">
        <v>332710063</v>
      </c>
      <c r="M1259">
        <v>333581855</v>
      </c>
      <c r="N1259">
        <v>306526794</v>
      </c>
      <c r="O1259">
        <v>273662325</v>
      </c>
      <c r="P1259">
        <v>123</v>
      </c>
      <c r="Q1259" t="s">
        <v>2799</v>
      </c>
    </row>
    <row r="1260" spans="1:17" x14ac:dyDescent="0.3">
      <c r="A1260" t="s">
        <v>17</v>
      </c>
      <c r="B1260" t="str">
        <f>"603301"</f>
        <v>603301</v>
      </c>
      <c r="C1260" t="s">
        <v>2800</v>
      </c>
      <c r="D1260" t="s">
        <v>1077</v>
      </c>
      <c r="F1260">
        <v>5091572448</v>
      </c>
      <c r="G1260">
        <v>10398545639</v>
      </c>
      <c r="H1260">
        <v>1867727915</v>
      </c>
      <c r="I1260">
        <v>1428856685</v>
      </c>
      <c r="J1260">
        <v>1306442541</v>
      </c>
      <c r="K1260">
        <v>1034899313</v>
      </c>
      <c r="L1260">
        <v>1021012417</v>
      </c>
      <c r="P1260">
        <v>1533</v>
      </c>
      <c r="Q1260" t="s">
        <v>2801</v>
      </c>
    </row>
    <row r="1261" spans="1:17" x14ac:dyDescent="0.3">
      <c r="A1261" t="s">
        <v>17</v>
      </c>
      <c r="B1261" t="str">
        <f>"603302"</f>
        <v>603302</v>
      </c>
      <c r="C1261" t="s">
        <v>2802</v>
      </c>
      <c r="K1261">
        <v>693005145</v>
      </c>
      <c r="L1261">
        <v>573900789</v>
      </c>
      <c r="M1261">
        <v>797665192</v>
      </c>
      <c r="P1261">
        <v>19</v>
      </c>
      <c r="Q1261" t="s">
        <v>2803</v>
      </c>
    </row>
    <row r="1262" spans="1:17" x14ac:dyDescent="0.3">
      <c r="A1262" t="s">
        <v>17</v>
      </c>
      <c r="B1262" t="str">
        <f>"603303"</f>
        <v>603303</v>
      </c>
      <c r="C1262" t="s">
        <v>2804</v>
      </c>
      <c r="D1262" t="s">
        <v>598</v>
      </c>
      <c r="F1262">
        <v>5273081022</v>
      </c>
      <c r="G1262">
        <v>4507525578</v>
      </c>
      <c r="H1262">
        <v>4243635628</v>
      </c>
      <c r="I1262">
        <v>3995390059</v>
      </c>
      <c r="J1262">
        <v>4031353922</v>
      </c>
      <c r="K1262">
        <v>3225519511</v>
      </c>
      <c r="L1262">
        <v>3230126653</v>
      </c>
      <c r="M1262">
        <v>2792230795</v>
      </c>
      <c r="P1262">
        <v>180</v>
      </c>
      <c r="Q1262" t="s">
        <v>2805</v>
      </c>
    </row>
    <row r="1263" spans="1:17" x14ac:dyDescent="0.3">
      <c r="A1263" t="s">
        <v>17</v>
      </c>
      <c r="B1263" t="str">
        <f>"603305"</f>
        <v>603305</v>
      </c>
      <c r="C1263" t="s">
        <v>2806</v>
      </c>
      <c r="D1263" t="s">
        <v>348</v>
      </c>
      <c r="F1263">
        <v>3023370745</v>
      </c>
      <c r="G1263">
        <v>1627502741</v>
      </c>
      <c r="H1263">
        <v>1097198585</v>
      </c>
      <c r="I1263">
        <v>1095594106</v>
      </c>
      <c r="J1263">
        <v>738893686</v>
      </c>
      <c r="K1263">
        <v>569097182</v>
      </c>
      <c r="L1263">
        <v>350742478</v>
      </c>
      <c r="M1263">
        <v>188037568</v>
      </c>
      <c r="P1263">
        <v>508</v>
      </c>
      <c r="Q1263" t="s">
        <v>2807</v>
      </c>
    </row>
    <row r="1264" spans="1:17" x14ac:dyDescent="0.3">
      <c r="A1264" t="s">
        <v>17</v>
      </c>
      <c r="B1264" t="str">
        <f>"603306"</f>
        <v>603306</v>
      </c>
      <c r="C1264" t="s">
        <v>2808</v>
      </c>
      <c r="D1264" t="s">
        <v>191</v>
      </c>
      <c r="F1264">
        <v>1205996754</v>
      </c>
      <c r="G1264">
        <v>949547016</v>
      </c>
      <c r="H1264">
        <v>985719429</v>
      </c>
      <c r="I1264">
        <v>983262755</v>
      </c>
      <c r="J1264">
        <v>989404740</v>
      </c>
      <c r="K1264">
        <v>889569445</v>
      </c>
      <c r="L1264">
        <v>676168709</v>
      </c>
      <c r="M1264">
        <v>531122158</v>
      </c>
      <c r="N1264">
        <v>396403543</v>
      </c>
      <c r="O1264">
        <v>296919220</v>
      </c>
      <c r="P1264">
        <v>631</v>
      </c>
      <c r="Q1264" t="s">
        <v>2809</v>
      </c>
    </row>
    <row r="1265" spans="1:17" x14ac:dyDescent="0.3">
      <c r="A1265" t="s">
        <v>17</v>
      </c>
      <c r="B1265" t="str">
        <f>"603308"</f>
        <v>603308</v>
      </c>
      <c r="C1265" t="s">
        <v>2810</v>
      </c>
      <c r="D1265" t="s">
        <v>274</v>
      </c>
      <c r="F1265">
        <v>2040103836</v>
      </c>
      <c r="G1265">
        <v>1833129762</v>
      </c>
      <c r="H1265">
        <v>1860466263</v>
      </c>
      <c r="I1265">
        <v>1681215678</v>
      </c>
      <c r="J1265">
        <v>1374764470</v>
      </c>
      <c r="K1265">
        <v>1275419864</v>
      </c>
      <c r="L1265">
        <v>1345086441</v>
      </c>
      <c r="M1265">
        <v>1376366150</v>
      </c>
      <c r="N1265">
        <v>1333857615</v>
      </c>
      <c r="O1265">
        <v>1367272692</v>
      </c>
      <c r="P1265">
        <v>233</v>
      </c>
      <c r="Q1265" t="s">
        <v>2811</v>
      </c>
    </row>
    <row r="1266" spans="1:17" x14ac:dyDescent="0.3">
      <c r="A1266" t="s">
        <v>17</v>
      </c>
      <c r="B1266" t="str">
        <f>"603309"</f>
        <v>603309</v>
      </c>
      <c r="C1266" t="s">
        <v>2812</v>
      </c>
      <c r="D1266" t="s">
        <v>1077</v>
      </c>
      <c r="F1266">
        <v>1118570939</v>
      </c>
      <c r="G1266">
        <v>1130678810</v>
      </c>
      <c r="H1266">
        <v>993812557</v>
      </c>
      <c r="I1266">
        <v>745834593</v>
      </c>
      <c r="J1266">
        <v>629894885</v>
      </c>
      <c r="K1266">
        <v>515419906</v>
      </c>
      <c r="L1266">
        <v>548871062</v>
      </c>
      <c r="M1266">
        <v>496414401</v>
      </c>
      <c r="N1266">
        <v>437167108</v>
      </c>
      <c r="O1266">
        <v>387220715</v>
      </c>
      <c r="P1266">
        <v>146</v>
      </c>
      <c r="Q1266" t="s">
        <v>2813</v>
      </c>
    </row>
    <row r="1267" spans="1:17" x14ac:dyDescent="0.3">
      <c r="A1267" t="s">
        <v>17</v>
      </c>
      <c r="B1267" t="str">
        <f>"603311"</f>
        <v>603311</v>
      </c>
      <c r="C1267" t="s">
        <v>2814</v>
      </c>
      <c r="D1267" t="s">
        <v>1253</v>
      </c>
      <c r="F1267">
        <v>757635049</v>
      </c>
      <c r="G1267">
        <v>693341594</v>
      </c>
      <c r="H1267">
        <v>648834684</v>
      </c>
      <c r="I1267">
        <v>565201060</v>
      </c>
      <c r="J1267">
        <v>522069224</v>
      </c>
      <c r="K1267">
        <v>488077176</v>
      </c>
      <c r="L1267">
        <v>418680210</v>
      </c>
      <c r="M1267">
        <v>411996898</v>
      </c>
      <c r="N1267">
        <v>349114297</v>
      </c>
      <c r="O1267">
        <v>290673033</v>
      </c>
      <c r="P1267">
        <v>96</v>
      </c>
      <c r="Q1267" t="s">
        <v>2815</v>
      </c>
    </row>
    <row r="1268" spans="1:17" x14ac:dyDescent="0.3">
      <c r="A1268" t="s">
        <v>17</v>
      </c>
      <c r="B1268" t="str">
        <f>"603313"</f>
        <v>603313</v>
      </c>
      <c r="C1268" t="s">
        <v>2816</v>
      </c>
      <c r="D1268" t="s">
        <v>757</v>
      </c>
      <c r="F1268">
        <v>8139254616</v>
      </c>
      <c r="G1268">
        <v>6530134253</v>
      </c>
      <c r="H1268">
        <v>3831588314</v>
      </c>
      <c r="I1268">
        <v>3049473443</v>
      </c>
      <c r="J1268">
        <v>2338803608</v>
      </c>
      <c r="K1268">
        <v>1723034051</v>
      </c>
      <c r="L1268">
        <v>1377220134</v>
      </c>
      <c r="M1268">
        <v>1162150167</v>
      </c>
      <c r="N1268">
        <v>955806706</v>
      </c>
      <c r="P1268">
        <v>580</v>
      </c>
      <c r="Q1268" t="s">
        <v>2817</v>
      </c>
    </row>
    <row r="1269" spans="1:17" x14ac:dyDescent="0.3">
      <c r="A1269" t="s">
        <v>17</v>
      </c>
      <c r="B1269" t="str">
        <f>"603315"</f>
        <v>603315</v>
      </c>
      <c r="C1269" t="s">
        <v>2818</v>
      </c>
      <c r="D1269" t="s">
        <v>274</v>
      </c>
      <c r="F1269">
        <v>951248952</v>
      </c>
      <c r="G1269">
        <v>886248509</v>
      </c>
      <c r="H1269">
        <v>835579883</v>
      </c>
      <c r="I1269">
        <v>335359968</v>
      </c>
      <c r="J1269">
        <v>313661079</v>
      </c>
      <c r="K1269">
        <v>345947654</v>
      </c>
      <c r="L1269">
        <v>421156093</v>
      </c>
      <c r="M1269">
        <v>421670489</v>
      </c>
      <c r="N1269">
        <v>403067763</v>
      </c>
      <c r="O1269">
        <v>391042198</v>
      </c>
      <c r="P1269">
        <v>57</v>
      </c>
      <c r="Q1269" t="s">
        <v>2819</v>
      </c>
    </row>
    <row r="1270" spans="1:17" x14ac:dyDescent="0.3">
      <c r="A1270" t="s">
        <v>17</v>
      </c>
      <c r="B1270" t="str">
        <f>"603316"</f>
        <v>603316</v>
      </c>
      <c r="C1270" t="s">
        <v>2820</v>
      </c>
      <c r="D1270" t="s">
        <v>2417</v>
      </c>
      <c r="F1270">
        <v>1313926483</v>
      </c>
      <c r="G1270">
        <v>1147419281</v>
      </c>
      <c r="H1270">
        <v>906922538</v>
      </c>
      <c r="I1270">
        <v>771363668</v>
      </c>
      <c r="J1270">
        <v>742504908</v>
      </c>
      <c r="K1270">
        <v>630887428</v>
      </c>
      <c r="L1270">
        <v>397666180</v>
      </c>
      <c r="M1270">
        <v>462854086</v>
      </c>
      <c r="P1270">
        <v>59</v>
      </c>
      <c r="Q1270" t="s">
        <v>2821</v>
      </c>
    </row>
    <row r="1271" spans="1:17" x14ac:dyDescent="0.3">
      <c r="A1271" t="s">
        <v>17</v>
      </c>
      <c r="B1271" t="str">
        <f>"603317"</f>
        <v>603317</v>
      </c>
      <c r="C1271" t="s">
        <v>2822</v>
      </c>
      <c r="D1271" t="s">
        <v>433</v>
      </c>
      <c r="F1271">
        <v>2025535450</v>
      </c>
      <c r="G1271">
        <v>2364655862</v>
      </c>
      <c r="H1271">
        <v>1727329108</v>
      </c>
      <c r="I1271">
        <v>1412861058</v>
      </c>
      <c r="J1271">
        <v>1065816160</v>
      </c>
      <c r="K1271">
        <v>983899076</v>
      </c>
      <c r="P1271">
        <v>1436</v>
      </c>
      <c r="Q1271" t="s">
        <v>2823</v>
      </c>
    </row>
    <row r="1272" spans="1:17" x14ac:dyDescent="0.3">
      <c r="A1272" t="s">
        <v>17</v>
      </c>
      <c r="B1272" t="str">
        <f>"603318"</f>
        <v>603318</v>
      </c>
      <c r="C1272" t="s">
        <v>2824</v>
      </c>
      <c r="D1272" t="s">
        <v>749</v>
      </c>
      <c r="F1272">
        <v>2607847909</v>
      </c>
      <c r="G1272">
        <v>1133102343</v>
      </c>
      <c r="H1272">
        <v>323609213</v>
      </c>
      <c r="I1272">
        <v>422629939</v>
      </c>
      <c r="J1272">
        <v>564069444</v>
      </c>
      <c r="K1272">
        <v>391235131</v>
      </c>
      <c r="L1272">
        <v>344508665</v>
      </c>
      <c r="M1272">
        <v>362448321</v>
      </c>
      <c r="N1272">
        <v>383529144</v>
      </c>
      <c r="O1272">
        <v>286160351</v>
      </c>
      <c r="P1272">
        <v>63</v>
      </c>
      <c r="Q1272" t="s">
        <v>2825</v>
      </c>
    </row>
    <row r="1273" spans="1:17" x14ac:dyDescent="0.3">
      <c r="A1273" t="s">
        <v>17</v>
      </c>
      <c r="B1273" t="str">
        <f>"603319"</f>
        <v>603319</v>
      </c>
      <c r="C1273" t="s">
        <v>2826</v>
      </c>
      <c r="D1273" t="s">
        <v>348</v>
      </c>
      <c r="F1273">
        <v>1621525798</v>
      </c>
      <c r="G1273">
        <v>1409017227</v>
      </c>
      <c r="H1273">
        <v>1001633127</v>
      </c>
      <c r="I1273">
        <v>904363845</v>
      </c>
      <c r="J1273">
        <v>813740810</v>
      </c>
      <c r="K1273">
        <v>557443988</v>
      </c>
      <c r="L1273">
        <v>464973372</v>
      </c>
      <c r="M1273">
        <v>472937020</v>
      </c>
      <c r="N1273">
        <v>451954232</v>
      </c>
      <c r="P1273">
        <v>171</v>
      </c>
      <c r="Q1273" t="s">
        <v>2827</v>
      </c>
    </row>
    <row r="1274" spans="1:17" x14ac:dyDescent="0.3">
      <c r="A1274" t="s">
        <v>17</v>
      </c>
      <c r="B1274" t="str">
        <f>"603320"</f>
        <v>603320</v>
      </c>
      <c r="C1274" t="s">
        <v>2828</v>
      </c>
      <c r="D1274" t="s">
        <v>1171</v>
      </c>
      <c r="F1274">
        <v>1138090441</v>
      </c>
      <c r="G1274">
        <v>728629452</v>
      </c>
      <c r="H1274">
        <v>691588115</v>
      </c>
      <c r="I1274">
        <v>634858012</v>
      </c>
      <c r="J1274">
        <v>653576914</v>
      </c>
      <c r="K1274">
        <v>511522982</v>
      </c>
      <c r="L1274">
        <v>418809521</v>
      </c>
      <c r="M1274">
        <v>442861673</v>
      </c>
      <c r="P1274">
        <v>94</v>
      </c>
      <c r="Q1274" t="s">
        <v>2829</v>
      </c>
    </row>
    <row r="1275" spans="1:17" x14ac:dyDescent="0.3">
      <c r="A1275" t="s">
        <v>17</v>
      </c>
      <c r="B1275" t="str">
        <f>"603321"</f>
        <v>603321</v>
      </c>
      <c r="C1275" t="s">
        <v>2830</v>
      </c>
      <c r="D1275" t="s">
        <v>1691</v>
      </c>
      <c r="F1275">
        <v>1059606186</v>
      </c>
      <c r="G1275">
        <v>725713791</v>
      </c>
      <c r="H1275">
        <v>736956590</v>
      </c>
      <c r="I1275">
        <v>737618832</v>
      </c>
      <c r="J1275">
        <v>731900553</v>
      </c>
      <c r="K1275">
        <v>780793167</v>
      </c>
      <c r="L1275">
        <v>862235823</v>
      </c>
      <c r="M1275">
        <v>821812473</v>
      </c>
      <c r="P1275">
        <v>59</v>
      </c>
      <c r="Q1275" t="s">
        <v>2831</v>
      </c>
    </row>
    <row r="1276" spans="1:17" x14ac:dyDescent="0.3">
      <c r="A1276" t="s">
        <v>17</v>
      </c>
      <c r="B1276" t="str">
        <f>"603322"</f>
        <v>603322</v>
      </c>
      <c r="C1276" t="s">
        <v>2832</v>
      </c>
      <c r="D1276" t="s">
        <v>654</v>
      </c>
      <c r="F1276">
        <v>1483641646</v>
      </c>
      <c r="G1276">
        <v>1477855873</v>
      </c>
      <c r="H1276">
        <v>1266924953</v>
      </c>
      <c r="I1276">
        <v>1394544255</v>
      </c>
      <c r="J1276">
        <v>948793176</v>
      </c>
      <c r="K1276">
        <v>775839105</v>
      </c>
      <c r="L1276">
        <v>694067729</v>
      </c>
      <c r="M1276">
        <v>563265616</v>
      </c>
      <c r="N1276">
        <v>445018626</v>
      </c>
      <c r="P1276">
        <v>184</v>
      </c>
      <c r="Q1276" t="s">
        <v>2833</v>
      </c>
    </row>
    <row r="1277" spans="1:17" x14ac:dyDescent="0.3">
      <c r="A1277" t="s">
        <v>17</v>
      </c>
      <c r="B1277" t="str">
        <f>"603323"</f>
        <v>603323</v>
      </c>
      <c r="C1277" t="s">
        <v>2834</v>
      </c>
      <c r="D1277" t="s">
        <v>1831</v>
      </c>
      <c r="F1277">
        <v>3834238000</v>
      </c>
      <c r="G1277">
        <v>3752835000</v>
      </c>
      <c r="H1277">
        <v>3520840000</v>
      </c>
      <c r="I1277">
        <v>3149536000</v>
      </c>
      <c r="J1277">
        <v>2725991000</v>
      </c>
      <c r="K1277">
        <v>2305869000</v>
      </c>
      <c r="L1277">
        <v>2368467000</v>
      </c>
      <c r="M1277">
        <v>2430010000</v>
      </c>
      <c r="N1277">
        <v>2283746000</v>
      </c>
      <c r="O1277">
        <v>2105805000</v>
      </c>
      <c r="P1277">
        <v>498</v>
      </c>
      <c r="Q1277" t="s">
        <v>2835</v>
      </c>
    </row>
    <row r="1278" spans="1:17" x14ac:dyDescent="0.3">
      <c r="A1278" t="s">
        <v>17</v>
      </c>
      <c r="B1278" t="str">
        <f>"603324"</f>
        <v>603324</v>
      </c>
      <c r="C1278" t="s">
        <v>2836</v>
      </c>
      <c r="D1278" t="s">
        <v>1070</v>
      </c>
      <c r="F1278">
        <v>1233029659</v>
      </c>
      <c r="G1278">
        <v>937742067</v>
      </c>
      <c r="H1278">
        <v>885709412</v>
      </c>
      <c r="I1278">
        <v>871531067</v>
      </c>
      <c r="J1278">
        <v>516954461</v>
      </c>
      <c r="P1278">
        <v>29</v>
      </c>
      <c r="Q1278" t="s">
        <v>2837</v>
      </c>
    </row>
    <row r="1279" spans="1:17" x14ac:dyDescent="0.3">
      <c r="A1279" t="s">
        <v>17</v>
      </c>
      <c r="B1279" t="str">
        <f>"603326"</f>
        <v>603326</v>
      </c>
      <c r="C1279" t="s">
        <v>2838</v>
      </c>
      <c r="D1279" t="s">
        <v>2664</v>
      </c>
      <c r="F1279">
        <v>1725442589</v>
      </c>
      <c r="G1279">
        <v>1584189788</v>
      </c>
      <c r="H1279">
        <v>1332034205</v>
      </c>
      <c r="I1279">
        <v>1082053771</v>
      </c>
      <c r="J1279">
        <v>915012607</v>
      </c>
      <c r="K1279">
        <v>676198135</v>
      </c>
      <c r="L1279">
        <v>578930348</v>
      </c>
      <c r="M1279">
        <v>520385266</v>
      </c>
      <c r="P1279">
        <v>247</v>
      </c>
      <c r="Q1279" t="s">
        <v>2839</v>
      </c>
    </row>
    <row r="1280" spans="1:17" x14ac:dyDescent="0.3">
      <c r="A1280" t="s">
        <v>17</v>
      </c>
      <c r="B1280" t="str">
        <f>"603327"</f>
        <v>603327</v>
      </c>
      <c r="C1280" t="s">
        <v>2840</v>
      </c>
      <c r="D1280" t="s">
        <v>313</v>
      </c>
      <c r="F1280">
        <v>1930641855</v>
      </c>
      <c r="G1280">
        <v>1654163054</v>
      </c>
      <c r="H1280">
        <v>1299455187</v>
      </c>
      <c r="I1280">
        <v>984219425</v>
      </c>
      <c r="J1280">
        <v>1065629627</v>
      </c>
      <c r="K1280">
        <v>781375565</v>
      </c>
      <c r="P1280">
        <v>347</v>
      </c>
      <c r="Q1280" t="s">
        <v>2841</v>
      </c>
    </row>
    <row r="1281" spans="1:17" x14ac:dyDescent="0.3">
      <c r="A1281" t="s">
        <v>17</v>
      </c>
      <c r="B1281" t="str">
        <f>"603328"</f>
        <v>603328</v>
      </c>
      <c r="C1281" t="s">
        <v>2842</v>
      </c>
      <c r="D1281" t="s">
        <v>425</v>
      </c>
      <c r="F1281">
        <v>2908117598</v>
      </c>
      <c r="G1281">
        <v>2451037195</v>
      </c>
      <c r="H1281">
        <v>3010713761</v>
      </c>
      <c r="I1281">
        <v>3328616224</v>
      </c>
      <c r="J1281">
        <v>3285764402</v>
      </c>
      <c r="K1281">
        <v>2934495817</v>
      </c>
      <c r="L1281">
        <v>2928489769</v>
      </c>
      <c r="M1281">
        <v>2628320883</v>
      </c>
      <c r="N1281">
        <v>2593490168</v>
      </c>
      <c r="O1281">
        <v>2778219728</v>
      </c>
      <c r="P1281">
        <v>590</v>
      </c>
      <c r="Q1281" t="s">
        <v>2843</v>
      </c>
    </row>
    <row r="1282" spans="1:17" x14ac:dyDescent="0.3">
      <c r="A1282" t="s">
        <v>17</v>
      </c>
      <c r="B1282" t="str">
        <f>"603329"</f>
        <v>603329</v>
      </c>
      <c r="C1282" t="s">
        <v>2844</v>
      </c>
      <c r="D1282" t="s">
        <v>128</v>
      </c>
      <c r="F1282">
        <v>2593022357</v>
      </c>
      <c r="G1282">
        <v>1733897516</v>
      </c>
      <c r="H1282">
        <v>1755374980</v>
      </c>
      <c r="I1282">
        <v>1749948949</v>
      </c>
      <c r="J1282">
        <v>1700114149</v>
      </c>
      <c r="K1282">
        <v>1324765919</v>
      </c>
      <c r="L1282">
        <v>1588725432</v>
      </c>
      <c r="M1282">
        <v>1450133802</v>
      </c>
      <c r="P1282">
        <v>62</v>
      </c>
      <c r="Q1282" t="s">
        <v>2845</v>
      </c>
    </row>
    <row r="1283" spans="1:17" x14ac:dyDescent="0.3">
      <c r="A1283" t="s">
        <v>17</v>
      </c>
      <c r="B1283" t="str">
        <f>"603330"</f>
        <v>603330</v>
      </c>
      <c r="C1283" t="s">
        <v>2846</v>
      </c>
      <c r="D1283" t="s">
        <v>1192</v>
      </c>
      <c r="F1283">
        <v>1067740935</v>
      </c>
      <c r="G1283">
        <v>699056295</v>
      </c>
      <c r="H1283">
        <v>659067332</v>
      </c>
      <c r="I1283">
        <v>560823120</v>
      </c>
      <c r="J1283">
        <v>455077278</v>
      </c>
      <c r="K1283">
        <v>394549239</v>
      </c>
      <c r="L1283">
        <v>351137814</v>
      </c>
      <c r="M1283">
        <v>324363819</v>
      </c>
      <c r="N1283">
        <v>297612469</v>
      </c>
      <c r="P1283">
        <v>136</v>
      </c>
      <c r="Q1283" t="s">
        <v>2847</v>
      </c>
    </row>
    <row r="1284" spans="1:17" x14ac:dyDescent="0.3">
      <c r="A1284" t="s">
        <v>17</v>
      </c>
      <c r="B1284" t="str">
        <f>"603331"</f>
        <v>603331</v>
      </c>
      <c r="C1284" t="s">
        <v>2848</v>
      </c>
      <c r="D1284" t="s">
        <v>560</v>
      </c>
      <c r="F1284">
        <v>1218457439</v>
      </c>
      <c r="G1284">
        <v>967589793</v>
      </c>
      <c r="H1284">
        <v>852103682</v>
      </c>
      <c r="I1284">
        <v>774542086</v>
      </c>
      <c r="J1284">
        <v>727602484</v>
      </c>
      <c r="K1284">
        <v>549236169</v>
      </c>
      <c r="L1284">
        <v>475860736</v>
      </c>
      <c r="M1284">
        <v>543032375</v>
      </c>
      <c r="P1284">
        <v>83</v>
      </c>
      <c r="Q1284" t="s">
        <v>2849</v>
      </c>
    </row>
    <row r="1285" spans="1:17" x14ac:dyDescent="0.3">
      <c r="A1285" t="s">
        <v>17</v>
      </c>
      <c r="B1285" t="str">
        <f>"603332"</f>
        <v>603332</v>
      </c>
      <c r="C1285" t="s">
        <v>2850</v>
      </c>
      <c r="D1285" t="s">
        <v>2731</v>
      </c>
      <c r="F1285">
        <v>1072150905</v>
      </c>
      <c r="G1285">
        <v>879503495</v>
      </c>
      <c r="H1285">
        <v>1623664211</v>
      </c>
      <c r="I1285">
        <v>1743282500</v>
      </c>
      <c r="J1285">
        <v>1523618206</v>
      </c>
      <c r="K1285">
        <v>1207105312</v>
      </c>
      <c r="L1285">
        <v>1442556119</v>
      </c>
      <c r="P1285">
        <v>59</v>
      </c>
      <c r="Q1285" t="s">
        <v>2851</v>
      </c>
    </row>
    <row r="1286" spans="1:17" x14ac:dyDescent="0.3">
      <c r="A1286" t="s">
        <v>17</v>
      </c>
      <c r="B1286" t="str">
        <f>"603333"</f>
        <v>603333</v>
      </c>
      <c r="C1286" t="s">
        <v>2852</v>
      </c>
      <c r="D1286" t="s">
        <v>1164</v>
      </c>
      <c r="F1286">
        <v>2343640664</v>
      </c>
      <c r="G1286">
        <v>2029698883</v>
      </c>
      <c r="H1286">
        <v>2033545707</v>
      </c>
      <c r="I1286">
        <v>1575210074</v>
      </c>
      <c r="J1286">
        <v>914265517</v>
      </c>
      <c r="K1286">
        <v>558434058</v>
      </c>
      <c r="L1286">
        <v>628805297</v>
      </c>
      <c r="M1286">
        <v>606905689</v>
      </c>
      <c r="N1286">
        <v>986776147</v>
      </c>
      <c r="O1286">
        <v>1154114524</v>
      </c>
      <c r="P1286">
        <v>134</v>
      </c>
      <c r="Q1286" t="s">
        <v>2853</v>
      </c>
    </row>
    <row r="1287" spans="1:17" x14ac:dyDescent="0.3">
      <c r="A1287" t="s">
        <v>17</v>
      </c>
      <c r="B1287" t="str">
        <f>"603335"</f>
        <v>603335</v>
      </c>
      <c r="C1287" t="s">
        <v>2854</v>
      </c>
      <c r="D1287" t="s">
        <v>422</v>
      </c>
      <c r="F1287">
        <v>1304040483</v>
      </c>
      <c r="G1287">
        <v>975928934</v>
      </c>
      <c r="H1287">
        <v>816914322</v>
      </c>
      <c r="I1287">
        <v>795813345</v>
      </c>
      <c r="J1287">
        <v>781017999</v>
      </c>
      <c r="K1287">
        <v>721890481</v>
      </c>
      <c r="L1287">
        <v>736924671</v>
      </c>
      <c r="M1287">
        <v>744523976</v>
      </c>
      <c r="P1287">
        <v>66</v>
      </c>
      <c r="Q1287" t="s">
        <v>2855</v>
      </c>
    </row>
    <row r="1288" spans="1:17" x14ac:dyDescent="0.3">
      <c r="A1288" t="s">
        <v>17</v>
      </c>
      <c r="B1288" t="str">
        <f>"603336"</f>
        <v>603336</v>
      </c>
      <c r="C1288" t="s">
        <v>2856</v>
      </c>
      <c r="D1288" t="s">
        <v>258</v>
      </c>
      <c r="F1288">
        <v>974260744</v>
      </c>
      <c r="G1288">
        <v>964036409</v>
      </c>
      <c r="H1288">
        <v>851958112</v>
      </c>
      <c r="I1288">
        <v>763353835</v>
      </c>
      <c r="J1288">
        <v>684288372</v>
      </c>
      <c r="K1288">
        <v>676309713</v>
      </c>
      <c r="L1288">
        <v>631753078</v>
      </c>
      <c r="M1288">
        <v>518107432</v>
      </c>
      <c r="N1288">
        <v>461881693</v>
      </c>
      <c r="P1288">
        <v>179</v>
      </c>
      <c r="Q1288" t="s">
        <v>2857</v>
      </c>
    </row>
    <row r="1289" spans="1:17" x14ac:dyDescent="0.3">
      <c r="A1289" t="s">
        <v>17</v>
      </c>
      <c r="B1289" t="str">
        <f>"603337"</f>
        <v>603337</v>
      </c>
      <c r="C1289" t="s">
        <v>2858</v>
      </c>
      <c r="D1289" t="s">
        <v>534</v>
      </c>
      <c r="F1289">
        <v>6053600930</v>
      </c>
      <c r="G1289">
        <v>3521416460</v>
      </c>
      <c r="H1289">
        <v>3608057402</v>
      </c>
      <c r="I1289">
        <v>4151500728</v>
      </c>
      <c r="J1289">
        <v>2786623146</v>
      </c>
      <c r="K1289">
        <v>1857134727</v>
      </c>
      <c r="L1289">
        <v>1591624544</v>
      </c>
      <c r="M1289">
        <v>1723171696</v>
      </c>
      <c r="N1289">
        <v>1545210682</v>
      </c>
      <c r="P1289">
        <v>372</v>
      </c>
      <c r="Q1289" t="s">
        <v>2859</v>
      </c>
    </row>
    <row r="1290" spans="1:17" x14ac:dyDescent="0.3">
      <c r="A1290" t="s">
        <v>17</v>
      </c>
      <c r="B1290" t="str">
        <f>"603338"</f>
        <v>603338</v>
      </c>
      <c r="C1290" t="s">
        <v>2860</v>
      </c>
      <c r="D1290" t="s">
        <v>83</v>
      </c>
      <c r="F1290">
        <v>4939315985</v>
      </c>
      <c r="G1290">
        <v>2956758302</v>
      </c>
      <c r="H1290">
        <v>2389355321</v>
      </c>
      <c r="I1290">
        <v>1707538304</v>
      </c>
      <c r="J1290">
        <v>1139183826</v>
      </c>
      <c r="K1290">
        <v>694657422</v>
      </c>
      <c r="L1290">
        <v>479151199</v>
      </c>
      <c r="M1290">
        <v>374339583</v>
      </c>
      <c r="N1290">
        <v>341228365</v>
      </c>
      <c r="O1290">
        <v>290105676</v>
      </c>
      <c r="P1290">
        <v>12811</v>
      </c>
      <c r="Q1290" t="s">
        <v>2861</v>
      </c>
    </row>
    <row r="1291" spans="1:17" x14ac:dyDescent="0.3">
      <c r="A1291" t="s">
        <v>17</v>
      </c>
      <c r="B1291" t="str">
        <f>"603339"</f>
        <v>603339</v>
      </c>
      <c r="C1291" t="s">
        <v>2862</v>
      </c>
      <c r="D1291" t="s">
        <v>988</v>
      </c>
      <c r="F1291">
        <v>1649915319</v>
      </c>
      <c r="G1291">
        <v>1103203106</v>
      </c>
      <c r="H1291">
        <v>1175301034</v>
      </c>
      <c r="I1291">
        <v>1230537182</v>
      </c>
      <c r="J1291">
        <v>1008714516</v>
      </c>
      <c r="K1291">
        <v>675793333</v>
      </c>
      <c r="L1291">
        <v>737371556</v>
      </c>
      <c r="M1291">
        <v>826021524</v>
      </c>
      <c r="N1291">
        <v>803979666</v>
      </c>
      <c r="P1291">
        <v>162</v>
      </c>
      <c r="Q1291" t="s">
        <v>2863</v>
      </c>
    </row>
    <row r="1292" spans="1:17" x14ac:dyDescent="0.3">
      <c r="A1292" t="s">
        <v>17</v>
      </c>
      <c r="B1292" t="str">
        <f>"603345"</f>
        <v>603345</v>
      </c>
      <c r="C1292" t="s">
        <v>2864</v>
      </c>
      <c r="D1292" t="s">
        <v>2865</v>
      </c>
      <c r="F1292">
        <v>9272201670</v>
      </c>
      <c r="G1292">
        <v>6965114987</v>
      </c>
      <c r="H1292">
        <v>5266663002</v>
      </c>
      <c r="I1292">
        <v>4259090161</v>
      </c>
      <c r="J1292">
        <v>3484010884</v>
      </c>
      <c r="K1292">
        <v>2996503422</v>
      </c>
      <c r="L1292">
        <v>2561220631</v>
      </c>
      <c r="M1292">
        <v>2220201063</v>
      </c>
      <c r="N1292">
        <v>1786187568</v>
      </c>
      <c r="P1292">
        <v>1176</v>
      </c>
      <c r="Q1292" t="s">
        <v>2866</v>
      </c>
    </row>
    <row r="1293" spans="1:17" x14ac:dyDescent="0.3">
      <c r="A1293" t="s">
        <v>17</v>
      </c>
      <c r="B1293" t="str">
        <f>"603348"</f>
        <v>603348</v>
      </c>
      <c r="C1293" t="s">
        <v>2867</v>
      </c>
      <c r="D1293" t="s">
        <v>985</v>
      </c>
      <c r="F1293">
        <v>4111980682</v>
      </c>
      <c r="G1293">
        <v>2602568883</v>
      </c>
      <c r="H1293">
        <v>1537710088</v>
      </c>
      <c r="I1293">
        <v>1620162777</v>
      </c>
      <c r="J1293">
        <v>1557095407</v>
      </c>
      <c r="K1293">
        <v>1216644169</v>
      </c>
      <c r="L1293">
        <v>1166911929</v>
      </c>
      <c r="P1293">
        <v>193</v>
      </c>
      <c r="Q1293" t="s">
        <v>2868</v>
      </c>
    </row>
    <row r="1294" spans="1:17" x14ac:dyDescent="0.3">
      <c r="A1294" t="s">
        <v>17</v>
      </c>
      <c r="B1294" t="str">
        <f>"603351"</f>
        <v>603351</v>
      </c>
      <c r="C1294" t="s">
        <v>2869</v>
      </c>
      <c r="D1294" t="s">
        <v>496</v>
      </c>
      <c r="F1294">
        <v>1042305916</v>
      </c>
      <c r="G1294">
        <v>736063749</v>
      </c>
      <c r="H1294">
        <v>880756051</v>
      </c>
      <c r="I1294">
        <v>801451310</v>
      </c>
      <c r="J1294">
        <v>694110645</v>
      </c>
      <c r="K1294">
        <v>558443861</v>
      </c>
      <c r="L1294">
        <v>498690763</v>
      </c>
      <c r="P1294">
        <v>87</v>
      </c>
      <c r="Q1294" t="s">
        <v>2870</v>
      </c>
    </row>
    <row r="1295" spans="1:17" x14ac:dyDescent="0.3">
      <c r="A1295" t="s">
        <v>17</v>
      </c>
      <c r="B1295" t="str">
        <f>"603353"</f>
        <v>603353</v>
      </c>
      <c r="C1295" t="s">
        <v>2871</v>
      </c>
      <c r="D1295" t="s">
        <v>584</v>
      </c>
      <c r="F1295">
        <v>3933208477</v>
      </c>
      <c r="G1295">
        <v>1843528796</v>
      </c>
      <c r="H1295">
        <v>1940146689</v>
      </c>
      <c r="I1295">
        <v>2339151199</v>
      </c>
      <c r="J1295">
        <v>2065802530</v>
      </c>
      <c r="P1295">
        <v>103</v>
      </c>
      <c r="Q1295" t="s">
        <v>2872</v>
      </c>
    </row>
    <row r="1296" spans="1:17" x14ac:dyDescent="0.3">
      <c r="A1296" t="s">
        <v>17</v>
      </c>
      <c r="B1296" t="str">
        <f>"603355"</f>
        <v>603355</v>
      </c>
      <c r="C1296" t="s">
        <v>2873</v>
      </c>
      <c r="D1296" t="s">
        <v>2720</v>
      </c>
      <c r="F1296">
        <v>7945757908</v>
      </c>
      <c r="G1296">
        <v>6280796603</v>
      </c>
      <c r="H1296">
        <v>5703217184</v>
      </c>
      <c r="I1296">
        <v>5863824292</v>
      </c>
      <c r="J1296">
        <v>5709587581</v>
      </c>
      <c r="K1296">
        <v>4376663718</v>
      </c>
      <c r="L1296">
        <v>4002744130</v>
      </c>
      <c r="M1296">
        <v>4230769277</v>
      </c>
      <c r="N1296">
        <v>3672667754</v>
      </c>
      <c r="O1296">
        <v>3357314635</v>
      </c>
      <c r="P1296">
        <v>557</v>
      </c>
      <c r="Q1296" t="s">
        <v>2874</v>
      </c>
    </row>
    <row r="1297" spans="1:17" x14ac:dyDescent="0.3">
      <c r="A1297" t="s">
        <v>17</v>
      </c>
      <c r="B1297" t="str">
        <f>"603356"</f>
        <v>603356</v>
      </c>
      <c r="C1297" t="s">
        <v>2875</v>
      </c>
      <c r="D1297" t="s">
        <v>1691</v>
      </c>
      <c r="F1297">
        <v>2233924599</v>
      </c>
      <c r="G1297">
        <v>1911945764</v>
      </c>
      <c r="H1297">
        <v>1442613050</v>
      </c>
      <c r="I1297">
        <v>975833869</v>
      </c>
      <c r="J1297">
        <v>681637071</v>
      </c>
      <c r="K1297">
        <v>571229350</v>
      </c>
      <c r="L1297">
        <v>595135255</v>
      </c>
      <c r="M1297">
        <v>575555212</v>
      </c>
      <c r="P1297">
        <v>65</v>
      </c>
      <c r="Q1297" t="s">
        <v>2876</v>
      </c>
    </row>
    <row r="1298" spans="1:17" x14ac:dyDescent="0.3">
      <c r="A1298" t="s">
        <v>17</v>
      </c>
      <c r="B1298" t="str">
        <f>"603357"</f>
        <v>603357</v>
      </c>
      <c r="C1298" t="s">
        <v>2877</v>
      </c>
      <c r="D1298" t="s">
        <v>1272</v>
      </c>
      <c r="F1298">
        <v>2356962664</v>
      </c>
      <c r="G1298">
        <v>1909936556</v>
      </c>
      <c r="H1298">
        <v>1619104798</v>
      </c>
      <c r="I1298">
        <v>1648842617</v>
      </c>
      <c r="J1298">
        <v>1373600680</v>
      </c>
      <c r="K1298">
        <v>967033481</v>
      </c>
      <c r="L1298">
        <v>850688156</v>
      </c>
      <c r="M1298">
        <v>744137059</v>
      </c>
      <c r="P1298">
        <v>361</v>
      </c>
      <c r="Q1298" t="s">
        <v>2878</v>
      </c>
    </row>
    <row r="1299" spans="1:17" x14ac:dyDescent="0.3">
      <c r="A1299" t="s">
        <v>17</v>
      </c>
      <c r="B1299" t="str">
        <f>"603358"</f>
        <v>603358</v>
      </c>
      <c r="C1299" t="s">
        <v>2879</v>
      </c>
      <c r="D1299" t="s">
        <v>985</v>
      </c>
      <c r="F1299">
        <v>4716577078</v>
      </c>
      <c r="G1299">
        <v>4133828978</v>
      </c>
      <c r="H1299">
        <v>4177534859</v>
      </c>
      <c r="I1299">
        <v>4052428544</v>
      </c>
      <c r="J1299">
        <v>3172327908</v>
      </c>
      <c r="K1299">
        <v>2724754070</v>
      </c>
      <c r="L1299">
        <v>2369358057</v>
      </c>
      <c r="M1299">
        <v>2225951059</v>
      </c>
      <c r="N1299">
        <v>2063100277</v>
      </c>
      <c r="P1299">
        <v>131</v>
      </c>
      <c r="Q1299" t="s">
        <v>2880</v>
      </c>
    </row>
    <row r="1300" spans="1:17" x14ac:dyDescent="0.3">
      <c r="A1300" t="s">
        <v>17</v>
      </c>
      <c r="B1300" t="str">
        <f>"603359"</f>
        <v>603359</v>
      </c>
      <c r="C1300" t="s">
        <v>2881</v>
      </c>
      <c r="D1300" t="s">
        <v>2417</v>
      </c>
      <c r="F1300">
        <v>2710749104</v>
      </c>
      <c r="G1300">
        <v>2337907611</v>
      </c>
      <c r="H1300">
        <v>2016689201</v>
      </c>
      <c r="I1300">
        <v>1593794089</v>
      </c>
      <c r="J1300">
        <v>1224376570</v>
      </c>
      <c r="K1300">
        <v>979596788</v>
      </c>
      <c r="L1300">
        <v>878742853</v>
      </c>
      <c r="M1300">
        <v>725730180</v>
      </c>
      <c r="P1300">
        <v>187</v>
      </c>
      <c r="Q1300" t="s">
        <v>2882</v>
      </c>
    </row>
    <row r="1301" spans="1:17" x14ac:dyDescent="0.3">
      <c r="A1301" t="s">
        <v>17</v>
      </c>
      <c r="B1301" t="str">
        <f>"603360"</f>
        <v>603360</v>
      </c>
      <c r="C1301" t="s">
        <v>2883</v>
      </c>
      <c r="D1301" t="s">
        <v>853</v>
      </c>
      <c r="F1301">
        <v>1006261507</v>
      </c>
      <c r="G1301">
        <v>749541032</v>
      </c>
      <c r="H1301">
        <v>871896073</v>
      </c>
      <c r="I1301">
        <v>528171162</v>
      </c>
      <c r="J1301">
        <v>410364503</v>
      </c>
      <c r="K1301">
        <v>389433985</v>
      </c>
      <c r="L1301">
        <v>327991416</v>
      </c>
      <c r="M1301">
        <v>346635810</v>
      </c>
      <c r="N1301">
        <v>291377906</v>
      </c>
      <c r="P1301">
        <v>402</v>
      </c>
      <c r="Q1301" t="s">
        <v>2884</v>
      </c>
    </row>
    <row r="1302" spans="1:17" x14ac:dyDescent="0.3">
      <c r="A1302" t="s">
        <v>17</v>
      </c>
      <c r="B1302" t="str">
        <f>"603363"</f>
        <v>603363</v>
      </c>
      <c r="C1302" t="s">
        <v>2885</v>
      </c>
      <c r="D1302" t="s">
        <v>2886</v>
      </c>
      <c r="F1302">
        <v>18038160161</v>
      </c>
      <c r="G1302">
        <v>11517165758</v>
      </c>
      <c r="H1302">
        <v>5788080067</v>
      </c>
      <c r="I1302">
        <v>5761891948</v>
      </c>
      <c r="J1302">
        <v>4902660098</v>
      </c>
      <c r="K1302">
        <v>4978470598</v>
      </c>
      <c r="L1302">
        <v>4012709117</v>
      </c>
      <c r="M1302">
        <v>4184442705</v>
      </c>
      <c r="P1302">
        <v>310</v>
      </c>
      <c r="Q1302" t="s">
        <v>2887</v>
      </c>
    </row>
    <row r="1303" spans="1:17" x14ac:dyDescent="0.3">
      <c r="A1303" t="s">
        <v>17</v>
      </c>
      <c r="B1303" t="str">
        <f>"603365"</f>
        <v>603365</v>
      </c>
      <c r="C1303" t="s">
        <v>2888</v>
      </c>
      <c r="D1303" t="s">
        <v>2889</v>
      </c>
      <c r="F1303">
        <v>3799310683</v>
      </c>
      <c r="G1303">
        <v>3034780744</v>
      </c>
      <c r="H1303">
        <v>3001990191</v>
      </c>
      <c r="I1303">
        <v>2718888701</v>
      </c>
      <c r="J1303">
        <v>2461896884</v>
      </c>
      <c r="K1303">
        <v>1977021051</v>
      </c>
      <c r="L1303">
        <v>1851188536</v>
      </c>
      <c r="M1303">
        <v>1775580115</v>
      </c>
      <c r="P1303">
        <v>243</v>
      </c>
      <c r="Q1303" t="s">
        <v>2890</v>
      </c>
    </row>
    <row r="1304" spans="1:17" x14ac:dyDescent="0.3">
      <c r="A1304" t="s">
        <v>17</v>
      </c>
      <c r="B1304" t="str">
        <f>"603366"</f>
        <v>603366</v>
      </c>
      <c r="C1304" t="s">
        <v>2891</v>
      </c>
      <c r="D1304" t="s">
        <v>2892</v>
      </c>
      <c r="F1304">
        <v>4205558486</v>
      </c>
      <c r="G1304">
        <v>3542740925</v>
      </c>
      <c r="H1304">
        <v>3366098723</v>
      </c>
      <c r="I1304">
        <v>3176685990</v>
      </c>
      <c r="J1304">
        <v>2783914361</v>
      </c>
      <c r="K1304">
        <v>2351760251</v>
      </c>
      <c r="L1304">
        <v>2594827679</v>
      </c>
      <c r="M1304">
        <v>3050264429</v>
      </c>
      <c r="N1304">
        <v>3088099439</v>
      </c>
      <c r="O1304">
        <v>3364793196</v>
      </c>
      <c r="P1304">
        <v>121</v>
      </c>
      <c r="Q1304" t="s">
        <v>2893</v>
      </c>
    </row>
    <row r="1305" spans="1:17" x14ac:dyDescent="0.3">
      <c r="A1305" t="s">
        <v>17</v>
      </c>
      <c r="B1305" t="str">
        <f>"603367"</f>
        <v>603367</v>
      </c>
      <c r="C1305" t="s">
        <v>2894</v>
      </c>
      <c r="D1305" t="s">
        <v>143</v>
      </c>
      <c r="F1305">
        <v>3782592635</v>
      </c>
      <c r="G1305">
        <v>3674158475</v>
      </c>
      <c r="H1305">
        <v>4112785511</v>
      </c>
      <c r="I1305">
        <v>3808078426</v>
      </c>
      <c r="J1305">
        <v>2962516526</v>
      </c>
      <c r="K1305">
        <v>2564801106</v>
      </c>
      <c r="L1305">
        <v>2496971989</v>
      </c>
      <c r="M1305">
        <v>2388354564</v>
      </c>
      <c r="P1305">
        <v>245</v>
      </c>
      <c r="Q1305" t="s">
        <v>2895</v>
      </c>
    </row>
    <row r="1306" spans="1:17" x14ac:dyDescent="0.3">
      <c r="A1306" t="s">
        <v>17</v>
      </c>
      <c r="B1306" t="str">
        <f>"603368"</f>
        <v>603368</v>
      </c>
      <c r="C1306" t="s">
        <v>2896</v>
      </c>
      <c r="D1306" t="s">
        <v>125</v>
      </c>
      <c r="F1306">
        <v>17134823191</v>
      </c>
      <c r="G1306">
        <v>15668662971</v>
      </c>
      <c r="H1306">
        <v>14856825320</v>
      </c>
      <c r="I1306">
        <v>11714529708</v>
      </c>
      <c r="J1306">
        <v>9446982832</v>
      </c>
      <c r="K1306">
        <v>7559395408</v>
      </c>
      <c r="L1306">
        <v>6507659491</v>
      </c>
      <c r="M1306">
        <v>5655346715</v>
      </c>
      <c r="N1306">
        <v>4547800364</v>
      </c>
      <c r="O1306">
        <v>3558017660</v>
      </c>
      <c r="P1306">
        <v>532</v>
      </c>
      <c r="Q1306" t="s">
        <v>2897</v>
      </c>
    </row>
    <row r="1307" spans="1:17" x14ac:dyDescent="0.3">
      <c r="A1307" t="s">
        <v>17</v>
      </c>
      <c r="B1307" t="str">
        <f>"603369"</f>
        <v>603369</v>
      </c>
      <c r="C1307" t="s">
        <v>2898</v>
      </c>
      <c r="D1307" t="s">
        <v>458</v>
      </c>
      <c r="F1307">
        <v>6405504925</v>
      </c>
      <c r="G1307">
        <v>5119363385</v>
      </c>
      <c r="H1307">
        <v>4869870574</v>
      </c>
      <c r="I1307">
        <v>3736035834</v>
      </c>
      <c r="J1307">
        <v>2952210040</v>
      </c>
      <c r="K1307">
        <v>2554378047</v>
      </c>
      <c r="L1307">
        <v>2424919303</v>
      </c>
      <c r="M1307">
        <v>2399737801</v>
      </c>
      <c r="N1307">
        <v>2515421678</v>
      </c>
      <c r="O1307">
        <v>2593756843</v>
      </c>
      <c r="P1307">
        <v>35432</v>
      </c>
      <c r="Q1307" t="s">
        <v>2899</v>
      </c>
    </row>
    <row r="1308" spans="1:17" x14ac:dyDescent="0.3">
      <c r="A1308" t="s">
        <v>17</v>
      </c>
      <c r="B1308" t="str">
        <f>"603377"</f>
        <v>603377</v>
      </c>
      <c r="C1308" t="s">
        <v>2900</v>
      </c>
      <c r="D1308" t="s">
        <v>1336</v>
      </c>
      <c r="F1308">
        <v>1198554470</v>
      </c>
      <c r="G1308">
        <v>848134248</v>
      </c>
      <c r="H1308">
        <v>1114188921</v>
      </c>
      <c r="I1308">
        <v>1050918668</v>
      </c>
      <c r="J1308">
        <v>1173088311</v>
      </c>
      <c r="K1308">
        <v>1155438136</v>
      </c>
      <c r="L1308">
        <v>1326875090</v>
      </c>
      <c r="M1308">
        <v>1284699948</v>
      </c>
      <c r="N1308">
        <v>956862587</v>
      </c>
      <c r="O1308">
        <v>694699401</v>
      </c>
      <c r="P1308">
        <v>171</v>
      </c>
      <c r="Q1308" t="s">
        <v>2901</v>
      </c>
    </row>
    <row r="1309" spans="1:17" x14ac:dyDescent="0.3">
      <c r="A1309" t="s">
        <v>17</v>
      </c>
      <c r="B1309" t="str">
        <f>"603378"</f>
        <v>603378</v>
      </c>
      <c r="C1309" t="s">
        <v>2902</v>
      </c>
      <c r="D1309" t="s">
        <v>2903</v>
      </c>
      <c r="F1309">
        <v>4715130723</v>
      </c>
      <c r="G1309">
        <v>3506693614</v>
      </c>
      <c r="H1309">
        <v>2424990619</v>
      </c>
      <c r="I1309">
        <v>1662256223</v>
      </c>
      <c r="J1309">
        <v>1355346088</v>
      </c>
      <c r="K1309">
        <v>1072908581</v>
      </c>
      <c r="L1309">
        <v>893052093</v>
      </c>
      <c r="M1309">
        <v>708131856</v>
      </c>
      <c r="P1309">
        <v>203</v>
      </c>
      <c r="Q1309" t="s">
        <v>2904</v>
      </c>
    </row>
    <row r="1310" spans="1:17" x14ac:dyDescent="0.3">
      <c r="A1310" t="s">
        <v>17</v>
      </c>
      <c r="B1310" t="str">
        <f>"603379"</f>
        <v>603379</v>
      </c>
      <c r="C1310" t="s">
        <v>2905</v>
      </c>
      <c r="D1310" t="s">
        <v>375</v>
      </c>
      <c r="F1310">
        <v>4048445944</v>
      </c>
      <c r="G1310">
        <v>2720728128</v>
      </c>
      <c r="H1310">
        <v>3934602748</v>
      </c>
      <c r="I1310">
        <v>4454332448</v>
      </c>
      <c r="J1310">
        <v>3899482001</v>
      </c>
      <c r="K1310">
        <v>2700264815</v>
      </c>
      <c r="P1310">
        <v>140</v>
      </c>
      <c r="Q1310" t="s">
        <v>2906</v>
      </c>
    </row>
    <row r="1311" spans="1:17" x14ac:dyDescent="0.3">
      <c r="A1311" t="s">
        <v>17</v>
      </c>
      <c r="B1311" t="str">
        <f>"603380"</f>
        <v>603380</v>
      </c>
      <c r="C1311" t="s">
        <v>2907</v>
      </c>
      <c r="D1311" t="s">
        <v>313</v>
      </c>
      <c r="F1311">
        <v>1751570744</v>
      </c>
      <c r="G1311">
        <v>1289047909</v>
      </c>
      <c r="H1311">
        <v>1027475296</v>
      </c>
      <c r="I1311">
        <v>951181811</v>
      </c>
      <c r="J1311">
        <v>862815558</v>
      </c>
      <c r="K1311">
        <v>688292999</v>
      </c>
      <c r="L1311">
        <v>602466967</v>
      </c>
      <c r="M1311">
        <v>524307658</v>
      </c>
      <c r="P1311">
        <v>211</v>
      </c>
      <c r="Q1311" t="s">
        <v>2908</v>
      </c>
    </row>
    <row r="1312" spans="1:17" x14ac:dyDescent="0.3">
      <c r="A1312" t="s">
        <v>17</v>
      </c>
      <c r="B1312" t="str">
        <f>"603383"</f>
        <v>603383</v>
      </c>
      <c r="C1312" t="s">
        <v>2909</v>
      </c>
      <c r="D1312" t="s">
        <v>945</v>
      </c>
      <c r="F1312">
        <v>502930934</v>
      </c>
      <c r="G1312">
        <v>350026640</v>
      </c>
      <c r="H1312">
        <v>339891141</v>
      </c>
      <c r="I1312">
        <v>295522213</v>
      </c>
      <c r="J1312">
        <v>243776726</v>
      </c>
      <c r="K1312">
        <v>204692489</v>
      </c>
      <c r="L1312">
        <v>195122487</v>
      </c>
      <c r="M1312">
        <v>162543467</v>
      </c>
      <c r="P1312">
        <v>190</v>
      </c>
      <c r="Q1312" t="s">
        <v>2910</v>
      </c>
    </row>
    <row r="1313" spans="1:17" x14ac:dyDescent="0.3">
      <c r="A1313" t="s">
        <v>17</v>
      </c>
      <c r="B1313" t="str">
        <f>"603385"</f>
        <v>603385</v>
      </c>
      <c r="C1313" t="s">
        <v>2911</v>
      </c>
      <c r="D1313" t="s">
        <v>2912</v>
      </c>
      <c r="F1313">
        <v>3892951142</v>
      </c>
      <c r="G1313">
        <v>3217809032</v>
      </c>
      <c r="H1313">
        <v>3210228497</v>
      </c>
      <c r="I1313">
        <v>2900006368</v>
      </c>
      <c r="J1313">
        <v>2748201453</v>
      </c>
      <c r="K1313">
        <v>2277472867</v>
      </c>
      <c r="L1313">
        <v>2231746195</v>
      </c>
      <c r="M1313">
        <v>2093236936</v>
      </c>
      <c r="P1313">
        <v>192</v>
      </c>
      <c r="Q1313" t="s">
        <v>2913</v>
      </c>
    </row>
    <row r="1314" spans="1:17" x14ac:dyDescent="0.3">
      <c r="A1314" t="s">
        <v>17</v>
      </c>
      <c r="B1314" t="str">
        <f>"603386"</f>
        <v>603386</v>
      </c>
      <c r="C1314" t="s">
        <v>2914</v>
      </c>
      <c r="D1314" t="s">
        <v>425</v>
      </c>
      <c r="F1314">
        <v>2726901375</v>
      </c>
      <c r="G1314">
        <v>2065746952</v>
      </c>
      <c r="H1314">
        <v>1472180954</v>
      </c>
      <c r="I1314">
        <v>1120072954</v>
      </c>
      <c r="J1314">
        <v>988455520</v>
      </c>
      <c r="K1314">
        <v>799690144</v>
      </c>
      <c r="L1314">
        <v>584458647</v>
      </c>
      <c r="M1314">
        <v>435948028</v>
      </c>
      <c r="P1314">
        <v>182</v>
      </c>
      <c r="Q1314" t="s">
        <v>2915</v>
      </c>
    </row>
    <row r="1315" spans="1:17" x14ac:dyDescent="0.3">
      <c r="A1315" t="s">
        <v>17</v>
      </c>
      <c r="B1315" t="str">
        <f>"603387"</f>
        <v>603387</v>
      </c>
      <c r="C1315" t="s">
        <v>2916</v>
      </c>
      <c r="D1315" t="s">
        <v>1305</v>
      </c>
      <c r="F1315">
        <v>1401701386</v>
      </c>
      <c r="G1315">
        <v>1123335619</v>
      </c>
      <c r="H1315">
        <v>968204285</v>
      </c>
      <c r="I1315">
        <v>686238290</v>
      </c>
      <c r="J1315">
        <v>488582766</v>
      </c>
      <c r="K1315">
        <v>369090357</v>
      </c>
      <c r="L1315">
        <v>276420264</v>
      </c>
      <c r="M1315">
        <v>210293367</v>
      </c>
      <c r="P1315">
        <v>1500</v>
      </c>
      <c r="Q1315" t="s">
        <v>2917</v>
      </c>
    </row>
    <row r="1316" spans="1:17" x14ac:dyDescent="0.3">
      <c r="A1316" t="s">
        <v>17</v>
      </c>
      <c r="B1316" t="str">
        <f>"603388"</f>
        <v>603388</v>
      </c>
      <c r="C1316" t="s">
        <v>2918</v>
      </c>
      <c r="D1316" t="s">
        <v>2417</v>
      </c>
      <c r="F1316">
        <v>572929407</v>
      </c>
      <c r="G1316">
        <v>714763820</v>
      </c>
      <c r="H1316">
        <v>1007890013</v>
      </c>
      <c r="I1316">
        <v>1244331973</v>
      </c>
      <c r="J1316">
        <v>841892320</v>
      </c>
      <c r="K1316">
        <v>545506613</v>
      </c>
      <c r="L1316">
        <v>443525086</v>
      </c>
      <c r="M1316">
        <v>520643361</v>
      </c>
      <c r="P1316">
        <v>63</v>
      </c>
      <c r="Q1316" t="s">
        <v>2919</v>
      </c>
    </row>
    <row r="1317" spans="1:17" x14ac:dyDescent="0.3">
      <c r="A1317" t="s">
        <v>17</v>
      </c>
      <c r="B1317" t="str">
        <f>"603389"</f>
        <v>603389</v>
      </c>
      <c r="C1317" t="s">
        <v>2920</v>
      </c>
      <c r="D1317" t="s">
        <v>757</v>
      </c>
      <c r="F1317">
        <v>275957624</v>
      </c>
      <c r="G1317">
        <v>311920901</v>
      </c>
      <c r="H1317">
        <v>372359582</v>
      </c>
      <c r="I1317">
        <v>417071870</v>
      </c>
      <c r="J1317">
        <v>572705720</v>
      </c>
      <c r="K1317">
        <v>561955128</v>
      </c>
      <c r="L1317">
        <v>583404370</v>
      </c>
      <c r="M1317">
        <v>563154892</v>
      </c>
      <c r="N1317">
        <v>540828341</v>
      </c>
      <c r="P1317">
        <v>80</v>
      </c>
      <c r="Q1317" t="s">
        <v>2921</v>
      </c>
    </row>
    <row r="1318" spans="1:17" x14ac:dyDescent="0.3">
      <c r="A1318" t="s">
        <v>17</v>
      </c>
      <c r="B1318" t="str">
        <f>"603390"</f>
        <v>603390</v>
      </c>
      <c r="C1318" t="s">
        <v>2922</v>
      </c>
      <c r="D1318" t="s">
        <v>1415</v>
      </c>
      <c r="F1318">
        <v>540333095</v>
      </c>
      <c r="G1318">
        <v>641895030</v>
      </c>
      <c r="H1318">
        <v>784398927</v>
      </c>
      <c r="I1318">
        <v>952470964</v>
      </c>
      <c r="J1318">
        <v>783076215</v>
      </c>
      <c r="K1318">
        <v>577612165</v>
      </c>
      <c r="P1318">
        <v>89</v>
      </c>
      <c r="Q1318" t="s">
        <v>2923</v>
      </c>
    </row>
    <row r="1319" spans="1:17" x14ac:dyDescent="0.3">
      <c r="A1319" t="s">
        <v>17</v>
      </c>
      <c r="B1319" t="str">
        <f>"603392"</f>
        <v>603392</v>
      </c>
      <c r="C1319" t="s">
        <v>2924</v>
      </c>
      <c r="D1319" t="s">
        <v>1305</v>
      </c>
      <c r="F1319">
        <v>5750329075</v>
      </c>
      <c r="G1319">
        <v>2354256830</v>
      </c>
      <c r="H1319">
        <v>1183754230</v>
      </c>
      <c r="I1319">
        <v>982686708</v>
      </c>
      <c r="J1319">
        <v>949524531</v>
      </c>
      <c r="P1319">
        <v>553</v>
      </c>
      <c r="Q1319" t="s">
        <v>2925</v>
      </c>
    </row>
    <row r="1320" spans="1:17" x14ac:dyDescent="0.3">
      <c r="A1320" t="s">
        <v>17</v>
      </c>
      <c r="B1320" t="str">
        <f>"603393"</f>
        <v>603393</v>
      </c>
      <c r="C1320" t="s">
        <v>2926</v>
      </c>
      <c r="D1320" t="s">
        <v>749</v>
      </c>
      <c r="F1320">
        <v>2616981738</v>
      </c>
      <c r="G1320">
        <v>2112295989</v>
      </c>
      <c r="H1320">
        <v>2296274568</v>
      </c>
      <c r="I1320">
        <v>1631812004</v>
      </c>
      <c r="J1320">
        <v>1016211041</v>
      </c>
      <c r="K1320">
        <v>914506741</v>
      </c>
      <c r="L1320">
        <v>949712770</v>
      </c>
      <c r="M1320">
        <v>1012634274</v>
      </c>
      <c r="N1320">
        <v>773560046</v>
      </c>
      <c r="P1320">
        <v>498</v>
      </c>
      <c r="Q1320" t="s">
        <v>2927</v>
      </c>
    </row>
    <row r="1321" spans="1:17" x14ac:dyDescent="0.3">
      <c r="A1321" t="s">
        <v>17</v>
      </c>
      <c r="B1321" t="str">
        <f>"603396"</f>
        <v>603396</v>
      </c>
      <c r="C1321" t="s">
        <v>2928</v>
      </c>
      <c r="D1321" t="s">
        <v>2671</v>
      </c>
      <c r="F1321">
        <v>1609752690</v>
      </c>
      <c r="G1321">
        <v>1060752735</v>
      </c>
      <c r="H1321">
        <v>862017231</v>
      </c>
      <c r="I1321">
        <v>756328033</v>
      </c>
      <c r="J1321">
        <v>570833433</v>
      </c>
      <c r="K1321">
        <v>428655026</v>
      </c>
      <c r="L1321">
        <v>292458312</v>
      </c>
      <c r="M1321">
        <v>198704066</v>
      </c>
      <c r="P1321">
        <v>217</v>
      </c>
      <c r="Q1321" t="s">
        <v>2929</v>
      </c>
    </row>
    <row r="1322" spans="1:17" x14ac:dyDescent="0.3">
      <c r="A1322" t="s">
        <v>17</v>
      </c>
      <c r="B1322" t="str">
        <f>"603398"</f>
        <v>603398</v>
      </c>
      <c r="C1322" t="s">
        <v>2930</v>
      </c>
      <c r="D1322" t="s">
        <v>2931</v>
      </c>
      <c r="F1322">
        <v>322476046</v>
      </c>
      <c r="G1322">
        <v>501592118</v>
      </c>
      <c r="H1322">
        <v>537139110</v>
      </c>
      <c r="I1322">
        <v>389326517</v>
      </c>
      <c r="J1322">
        <v>331108198</v>
      </c>
      <c r="K1322">
        <v>281560550</v>
      </c>
      <c r="L1322">
        <v>309456781</v>
      </c>
      <c r="M1322">
        <v>298775441</v>
      </c>
      <c r="N1322">
        <v>278114142</v>
      </c>
      <c r="O1322">
        <v>249063025</v>
      </c>
      <c r="P1322">
        <v>89</v>
      </c>
      <c r="Q1322" t="s">
        <v>2932</v>
      </c>
    </row>
    <row r="1323" spans="1:17" x14ac:dyDescent="0.3">
      <c r="A1323" t="s">
        <v>17</v>
      </c>
      <c r="B1323" t="str">
        <f>"603399"</f>
        <v>603399</v>
      </c>
      <c r="C1323" t="s">
        <v>2933</v>
      </c>
      <c r="D1323" t="s">
        <v>2363</v>
      </c>
      <c r="F1323">
        <v>3860927088</v>
      </c>
      <c r="G1323">
        <v>2290284504</v>
      </c>
      <c r="H1323">
        <v>2854919439</v>
      </c>
      <c r="I1323">
        <v>3730381318</v>
      </c>
      <c r="J1323">
        <v>2198909742</v>
      </c>
      <c r="K1323">
        <v>1373422992</v>
      </c>
      <c r="L1323">
        <v>1614311800</v>
      </c>
      <c r="M1323">
        <v>2284239161</v>
      </c>
      <c r="N1323">
        <v>2197645677</v>
      </c>
      <c r="O1323">
        <v>2582212566</v>
      </c>
      <c r="P1323">
        <v>72</v>
      </c>
      <c r="Q1323" t="s">
        <v>2934</v>
      </c>
    </row>
    <row r="1324" spans="1:17" x14ac:dyDescent="0.3">
      <c r="A1324" t="s">
        <v>17</v>
      </c>
      <c r="B1324" t="str">
        <f>"603408"</f>
        <v>603408</v>
      </c>
      <c r="C1324" t="s">
        <v>2935</v>
      </c>
      <c r="D1324" t="s">
        <v>2912</v>
      </c>
      <c r="F1324">
        <v>4712116198</v>
      </c>
      <c r="G1324">
        <v>3835077863</v>
      </c>
      <c r="H1324">
        <v>3393033931</v>
      </c>
      <c r="I1324">
        <v>3529589697</v>
      </c>
      <c r="J1324">
        <v>3089941215</v>
      </c>
      <c r="P1324">
        <v>98</v>
      </c>
      <c r="Q1324" t="s">
        <v>2936</v>
      </c>
    </row>
    <row r="1325" spans="1:17" x14ac:dyDescent="0.3">
      <c r="A1325" t="s">
        <v>17</v>
      </c>
      <c r="B1325" t="str">
        <f>"603416"</f>
        <v>603416</v>
      </c>
      <c r="C1325" t="s">
        <v>2937</v>
      </c>
      <c r="D1325" t="s">
        <v>2938</v>
      </c>
      <c r="F1325">
        <v>1299333197</v>
      </c>
      <c r="G1325">
        <v>1134392413</v>
      </c>
      <c r="H1325">
        <v>649641628</v>
      </c>
      <c r="I1325">
        <v>590380206</v>
      </c>
      <c r="J1325">
        <v>483573418</v>
      </c>
      <c r="K1325">
        <v>353470016</v>
      </c>
      <c r="L1325">
        <v>302584111</v>
      </c>
      <c r="M1325">
        <v>294121501</v>
      </c>
      <c r="N1325">
        <v>247728956</v>
      </c>
      <c r="P1325">
        <v>325</v>
      </c>
      <c r="Q1325" t="s">
        <v>2939</v>
      </c>
    </row>
    <row r="1326" spans="1:17" x14ac:dyDescent="0.3">
      <c r="A1326" t="s">
        <v>17</v>
      </c>
      <c r="B1326" t="str">
        <f>"603421"</f>
        <v>603421</v>
      </c>
      <c r="C1326" t="s">
        <v>2940</v>
      </c>
      <c r="D1326" t="s">
        <v>1019</v>
      </c>
      <c r="F1326">
        <v>2821323507</v>
      </c>
      <c r="G1326">
        <v>2101709270</v>
      </c>
      <c r="H1326">
        <v>1810257679</v>
      </c>
      <c r="I1326">
        <v>1744169042</v>
      </c>
      <c r="J1326">
        <v>1514648218</v>
      </c>
      <c r="K1326">
        <v>1386010512</v>
      </c>
      <c r="L1326">
        <v>990187015</v>
      </c>
      <c r="M1326">
        <v>992382139</v>
      </c>
      <c r="N1326">
        <v>654937775</v>
      </c>
      <c r="P1326">
        <v>138</v>
      </c>
      <c r="Q1326" t="s">
        <v>2941</v>
      </c>
    </row>
    <row r="1327" spans="1:17" x14ac:dyDescent="0.3">
      <c r="A1327" t="s">
        <v>17</v>
      </c>
      <c r="B1327" t="str">
        <f>"603429"</f>
        <v>603429</v>
      </c>
      <c r="C1327" t="s">
        <v>2942</v>
      </c>
      <c r="D1327" t="s">
        <v>2165</v>
      </c>
      <c r="F1327">
        <v>703665407</v>
      </c>
      <c r="G1327">
        <v>464167939</v>
      </c>
      <c r="H1327">
        <v>671499239</v>
      </c>
      <c r="I1327">
        <v>458396574</v>
      </c>
      <c r="J1327">
        <v>233880722</v>
      </c>
      <c r="K1327">
        <v>187196475</v>
      </c>
      <c r="L1327">
        <v>175071616</v>
      </c>
      <c r="M1327">
        <v>134952111</v>
      </c>
      <c r="N1327">
        <v>123806836</v>
      </c>
      <c r="P1327">
        <v>368</v>
      </c>
      <c r="Q1327" t="s">
        <v>2943</v>
      </c>
    </row>
    <row r="1328" spans="1:17" x14ac:dyDescent="0.3">
      <c r="A1328" t="s">
        <v>17</v>
      </c>
      <c r="B1328" t="str">
        <f>"603439"</f>
        <v>603439</v>
      </c>
      <c r="C1328" t="s">
        <v>2944</v>
      </c>
      <c r="D1328" t="s">
        <v>188</v>
      </c>
      <c r="F1328">
        <v>938966120</v>
      </c>
      <c r="G1328">
        <v>630224958</v>
      </c>
      <c r="H1328">
        <v>883782738</v>
      </c>
      <c r="I1328">
        <v>722346118</v>
      </c>
      <c r="J1328">
        <v>638331037</v>
      </c>
      <c r="P1328">
        <v>293</v>
      </c>
      <c r="Q1328" t="s">
        <v>2945</v>
      </c>
    </row>
    <row r="1329" spans="1:17" x14ac:dyDescent="0.3">
      <c r="A1329" t="s">
        <v>17</v>
      </c>
      <c r="B1329" t="str">
        <f>"603444"</f>
        <v>603444</v>
      </c>
      <c r="C1329" t="s">
        <v>2946</v>
      </c>
      <c r="D1329" t="s">
        <v>517</v>
      </c>
      <c r="F1329">
        <v>4619046081</v>
      </c>
      <c r="G1329">
        <v>2742292403</v>
      </c>
      <c r="H1329">
        <v>2170371924</v>
      </c>
      <c r="I1329">
        <v>1654695047</v>
      </c>
      <c r="J1329">
        <v>1440007668</v>
      </c>
      <c r="K1329">
        <v>1305428576</v>
      </c>
      <c r="L1329">
        <v>300045378</v>
      </c>
      <c r="M1329">
        <v>322645201</v>
      </c>
      <c r="N1329">
        <v>276607749</v>
      </c>
      <c r="P1329">
        <v>4236</v>
      </c>
      <c r="Q1329" t="s">
        <v>2947</v>
      </c>
    </row>
    <row r="1330" spans="1:17" x14ac:dyDescent="0.3">
      <c r="A1330" t="s">
        <v>17</v>
      </c>
      <c r="B1330" t="str">
        <f>"603456"</f>
        <v>603456</v>
      </c>
      <c r="C1330" t="s">
        <v>2948</v>
      </c>
      <c r="D1330" t="s">
        <v>1461</v>
      </c>
      <c r="F1330">
        <v>4063181916</v>
      </c>
      <c r="G1330">
        <v>2647284163</v>
      </c>
      <c r="H1330">
        <v>2016815854</v>
      </c>
      <c r="I1330">
        <v>1862225159</v>
      </c>
      <c r="J1330">
        <v>1717440600</v>
      </c>
      <c r="K1330">
        <v>1653177210</v>
      </c>
      <c r="L1330">
        <v>1444511085</v>
      </c>
      <c r="M1330">
        <v>1286206766</v>
      </c>
      <c r="N1330">
        <v>1309584204</v>
      </c>
      <c r="O1330">
        <v>1143419751</v>
      </c>
      <c r="P1330">
        <v>452</v>
      </c>
      <c r="Q1330" t="s">
        <v>2949</v>
      </c>
    </row>
    <row r="1331" spans="1:17" x14ac:dyDescent="0.3">
      <c r="A1331" t="s">
        <v>17</v>
      </c>
      <c r="B1331" t="str">
        <f>"603458"</f>
        <v>603458</v>
      </c>
      <c r="C1331" t="s">
        <v>2950</v>
      </c>
      <c r="D1331" t="s">
        <v>1272</v>
      </c>
      <c r="F1331">
        <v>3039431545</v>
      </c>
      <c r="G1331">
        <v>2797839345</v>
      </c>
      <c r="H1331">
        <v>2563308389</v>
      </c>
      <c r="I1331">
        <v>2151576192</v>
      </c>
      <c r="J1331">
        <v>1926873954</v>
      </c>
      <c r="K1331">
        <v>1586041394</v>
      </c>
      <c r="L1331">
        <v>1531432049</v>
      </c>
      <c r="M1331">
        <v>1549537445</v>
      </c>
      <c r="P1331">
        <v>474</v>
      </c>
      <c r="Q1331" t="s">
        <v>2951</v>
      </c>
    </row>
    <row r="1332" spans="1:17" x14ac:dyDescent="0.3">
      <c r="A1332" t="s">
        <v>17</v>
      </c>
      <c r="B1332" t="str">
        <f>"603466"</f>
        <v>603466</v>
      </c>
      <c r="C1332" t="s">
        <v>2952</v>
      </c>
      <c r="D1332" t="s">
        <v>2953</v>
      </c>
      <c r="F1332">
        <v>2939906282</v>
      </c>
      <c r="G1332">
        <v>2256301889</v>
      </c>
      <c r="H1332">
        <v>2029915182</v>
      </c>
      <c r="I1332">
        <v>1708361292</v>
      </c>
      <c r="J1332">
        <v>1499199025</v>
      </c>
      <c r="K1332">
        <v>1227233429</v>
      </c>
      <c r="L1332">
        <v>1018793630</v>
      </c>
      <c r="M1332">
        <v>804146487</v>
      </c>
      <c r="P1332">
        <v>406</v>
      </c>
      <c r="Q1332" t="s">
        <v>2954</v>
      </c>
    </row>
    <row r="1333" spans="1:17" x14ac:dyDescent="0.3">
      <c r="A1333" t="s">
        <v>17</v>
      </c>
      <c r="B1333" t="str">
        <f>"603477"</f>
        <v>603477</v>
      </c>
      <c r="C1333" t="s">
        <v>2955</v>
      </c>
      <c r="D1333" t="s">
        <v>2956</v>
      </c>
      <c r="F1333">
        <v>2982922736</v>
      </c>
      <c r="G1333">
        <v>1439190604</v>
      </c>
      <c r="H1333">
        <v>555559033</v>
      </c>
      <c r="I1333">
        <v>618892057</v>
      </c>
      <c r="J1333">
        <v>655487654</v>
      </c>
      <c r="K1333">
        <v>591650738</v>
      </c>
      <c r="L1333">
        <v>543320866</v>
      </c>
      <c r="M1333">
        <v>432933161</v>
      </c>
      <c r="P1333">
        <v>136</v>
      </c>
      <c r="Q1333" t="s">
        <v>2957</v>
      </c>
    </row>
    <row r="1334" spans="1:17" x14ac:dyDescent="0.3">
      <c r="A1334" t="s">
        <v>17</v>
      </c>
      <c r="B1334" t="str">
        <f>"603486"</f>
        <v>603486</v>
      </c>
      <c r="C1334" t="s">
        <v>2958</v>
      </c>
      <c r="D1334" t="s">
        <v>2720</v>
      </c>
      <c r="F1334">
        <v>13086007405</v>
      </c>
      <c r="G1334">
        <v>7233756499</v>
      </c>
      <c r="H1334">
        <v>5312194275</v>
      </c>
      <c r="I1334">
        <v>5693656086</v>
      </c>
      <c r="J1334">
        <v>4551025608</v>
      </c>
      <c r="K1334">
        <v>3276746991</v>
      </c>
      <c r="L1334">
        <v>2694839785</v>
      </c>
      <c r="P1334">
        <v>833</v>
      </c>
      <c r="Q1334" t="s">
        <v>2959</v>
      </c>
    </row>
    <row r="1335" spans="1:17" x14ac:dyDescent="0.3">
      <c r="A1335" t="s">
        <v>17</v>
      </c>
      <c r="B1335" t="str">
        <f>"603488"</f>
        <v>603488</v>
      </c>
      <c r="C1335" t="s">
        <v>2960</v>
      </c>
      <c r="D1335" t="s">
        <v>1691</v>
      </c>
      <c r="F1335">
        <v>485246988</v>
      </c>
      <c r="G1335">
        <v>407034946</v>
      </c>
      <c r="H1335">
        <v>371738308</v>
      </c>
      <c r="I1335">
        <v>314470889</v>
      </c>
      <c r="J1335">
        <v>279203456</v>
      </c>
      <c r="K1335">
        <v>281697031</v>
      </c>
      <c r="L1335">
        <v>297426939</v>
      </c>
      <c r="M1335">
        <v>295661104</v>
      </c>
      <c r="P1335">
        <v>64</v>
      </c>
      <c r="Q1335" t="s">
        <v>2961</v>
      </c>
    </row>
    <row r="1336" spans="1:17" x14ac:dyDescent="0.3">
      <c r="A1336" t="s">
        <v>17</v>
      </c>
      <c r="B1336" t="str">
        <f>"603489"</f>
        <v>603489</v>
      </c>
      <c r="C1336" t="s">
        <v>2962</v>
      </c>
      <c r="D1336" t="s">
        <v>1171</v>
      </c>
      <c r="F1336">
        <v>2647228671</v>
      </c>
      <c r="G1336">
        <v>1397194255</v>
      </c>
      <c r="H1336">
        <v>1196645497</v>
      </c>
      <c r="I1336">
        <v>942100758</v>
      </c>
      <c r="J1336">
        <v>615406394</v>
      </c>
      <c r="K1336">
        <v>391713939</v>
      </c>
      <c r="P1336">
        <v>490</v>
      </c>
      <c r="Q1336" t="s">
        <v>2963</v>
      </c>
    </row>
    <row r="1337" spans="1:17" x14ac:dyDescent="0.3">
      <c r="A1337" t="s">
        <v>17</v>
      </c>
      <c r="B1337" t="str">
        <f>"603496"</f>
        <v>603496</v>
      </c>
      <c r="C1337" t="s">
        <v>2964</v>
      </c>
      <c r="D1337" t="s">
        <v>236</v>
      </c>
      <c r="F1337">
        <v>678205680</v>
      </c>
      <c r="G1337">
        <v>533124549</v>
      </c>
      <c r="H1337">
        <v>434114198</v>
      </c>
      <c r="I1337">
        <v>431398216</v>
      </c>
      <c r="J1337">
        <v>312209928</v>
      </c>
      <c r="K1337">
        <v>247742651</v>
      </c>
      <c r="L1337">
        <v>210027644</v>
      </c>
      <c r="M1337">
        <v>156890776</v>
      </c>
      <c r="P1337">
        <v>193</v>
      </c>
      <c r="Q1337" t="s">
        <v>2965</v>
      </c>
    </row>
    <row r="1338" spans="1:17" x14ac:dyDescent="0.3">
      <c r="A1338" t="s">
        <v>17</v>
      </c>
      <c r="B1338" t="str">
        <f>"603499"</f>
        <v>603499</v>
      </c>
      <c r="C1338" t="s">
        <v>2966</v>
      </c>
      <c r="D1338" t="s">
        <v>2165</v>
      </c>
      <c r="F1338">
        <v>647713100</v>
      </c>
      <c r="G1338">
        <v>483937621</v>
      </c>
      <c r="H1338">
        <v>325155137</v>
      </c>
      <c r="I1338">
        <v>357444865</v>
      </c>
      <c r="J1338">
        <v>339299543</v>
      </c>
      <c r="K1338">
        <v>284905241</v>
      </c>
      <c r="L1338">
        <v>274447405</v>
      </c>
      <c r="M1338">
        <v>241034391</v>
      </c>
      <c r="P1338">
        <v>83</v>
      </c>
      <c r="Q1338" t="s">
        <v>2967</v>
      </c>
    </row>
    <row r="1339" spans="1:17" x14ac:dyDescent="0.3">
      <c r="A1339" t="s">
        <v>17</v>
      </c>
      <c r="B1339" t="str">
        <f>"603500"</f>
        <v>603500</v>
      </c>
      <c r="C1339" t="s">
        <v>2968</v>
      </c>
      <c r="D1339" t="s">
        <v>1012</v>
      </c>
      <c r="F1339">
        <v>488430079</v>
      </c>
      <c r="G1339">
        <v>273155332</v>
      </c>
      <c r="H1339">
        <v>335518953</v>
      </c>
      <c r="I1339">
        <v>339931317</v>
      </c>
      <c r="J1339">
        <v>299683043</v>
      </c>
      <c r="K1339">
        <v>262352250</v>
      </c>
      <c r="L1339">
        <v>315103092</v>
      </c>
      <c r="M1339">
        <v>225956725</v>
      </c>
      <c r="P1339">
        <v>91</v>
      </c>
      <c r="Q1339" t="s">
        <v>2969</v>
      </c>
    </row>
    <row r="1340" spans="1:17" x14ac:dyDescent="0.3">
      <c r="A1340" t="s">
        <v>17</v>
      </c>
      <c r="B1340" t="str">
        <f>"603501"</f>
        <v>603501</v>
      </c>
      <c r="C1340" t="s">
        <v>2970</v>
      </c>
      <c r="D1340" t="s">
        <v>461</v>
      </c>
      <c r="F1340">
        <v>24103509571</v>
      </c>
      <c r="G1340">
        <v>19823965432</v>
      </c>
      <c r="H1340">
        <v>13631670630</v>
      </c>
      <c r="I1340">
        <v>3963509425</v>
      </c>
      <c r="J1340">
        <v>2405916267</v>
      </c>
      <c r="K1340">
        <v>2160769530</v>
      </c>
      <c r="L1340">
        <v>1983271234</v>
      </c>
      <c r="M1340">
        <v>1407671633</v>
      </c>
      <c r="P1340">
        <v>2200</v>
      </c>
      <c r="Q1340" t="s">
        <v>2971</v>
      </c>
    </row>
    <row r="1341" spans="1:17" x14ac:dyDescent="0.3">
      <c r="A1341" t="s">
        <v>17</v>
      </c>
      <c r="B1341" t="str">
        <f>"603505"</f>
        <v>603505</v>
      </c>
      <c r="C1341" t="s">
        <v>2972</v>
      </c>
      <c r="D1341" t="s">
        <v>375</v>
      </c>
      <c r="F1341">
        <v>1043229850</v>
      </c>
      <c r="G1341">
        <v>879306979</v>
      </c>
      <c r="H1341">
        <v>808843356</v>
      </c>
      <c r="I1341">
        <v>587649371</v>
      </c>
      <c r="J1341">
        <v>377568148</v>
      </c>
      <c r="K1341">
        <v>283360795</v>
      </c>
      <c r="L1341">
        <v>218814826</v>
      </c>
      <c r="M1341">
        <v>239795089</v>
      </c>
      <c r="P1341">
        <v>325</v>
      </c>
      <c r="Q1341" t="s">
        <v>2973</v>
      </c>
    </row>
    <row r="1342" spans="1:17" x14ac:dyDescent="0.3">
      <c r="A1342" t="s">
        <v>17</v>
      </c>
      <c r="B1342" t="str">
        <f>"603506"</f>
        <v>603506</v>
      </c>
      <c r="C1342" t="s">
        <v>2974</v>
      </c>
      <c r="D1342" t="s">
        <v>2975</v>
      </c>
      <c r="F1342">
        <v>1592917104</v>
      </c>
      <c r="G1342">
        <v>1413474555</v>
      </c>
      <c r="H1342">
        <v>1244468463</v>
      </c>
      <c r="I1342">
        <v>1058628608</v>
      </c>
      <c r="J1342">
        <v>819523429</v>
      </c>
      <c r="K1342">
        <v>577745319</v>
      </c>
      <c r="L1342">
        <v>470762403</v>
      </c>
      <c r="M1342">
        <v>390861466</v>
      </c>
      <c r="P1342">
        <v>355</v>
      </c>
      <c r="Q1342" t="s">
        <v>2976</v>
      </c>
    </row>
    <row r="1343" spans="1:17" x14ac:dyDescent="0.3">
      <c r="A1343" t="s">
        <v>17</v>
      </c>
      <c r="B1343" t="str">
        <f>"603507"</f>
        <v>603507</v>
      </c>
      <c r="C1343" t="s">
        <v>2977</v>
      </c>
      <c r="D1343" t="s">
        <v>950</v>
      </c>
      <c r="F1343">
        <v>2424659108</v>
      </c>
      <c r="G1343">
        <v>1931352189</v>
      </c>
      <c r="H1343">
        <v>1786087638</v>
      </c>
      <c r="I1343">
        <v>979934732</v>
      </c>
      <c r="J1343">
        <v>942657547</v>
      </c>
      <c r="K1343">
        <v>822505130</v>
      </c>
      <c r="L1343">
        <v>421883933</v>
      </c>
      <c r="M1343">
        <v>201026711</v>
      </c>
      <c r="P1343">
        <v>135</v>
      </c>
      <c r="Q1343" t="s">
        <v>2978</v>
      </c>
    </row>
    <row r="1344" spans="1:17" x14ac:dyDescent="0.3">
      <c r="A1344" t="s">
        <v>17</v>
      </c>
      <c r="B1344" t="str">
        <f>"603508"</f>
        <v>603508</v>
      </c>
      <c r="C1344" t="s">
        <v>2979</v>
      </c>
      <c r="D1344" t="s">
        <v>2980</v>
      </c>
      <c r="F1344">
        <v>1064495348</v>
      </c>
      <c r="G1344">
        <v>843552843</v>
      </c>
      <c r="H1344">
        <v>902327244</v>
      </c>
      <c r="I1344">
        <v>541424353</v>
      </c>
      <c r="J1344">
        <v>460092066</v>
      </c>
      <c r="K1344">
        <v>610268420</v>
      </c>
      <c r="L1344">
        <v>735376996</v>
      </c>
      <c r="M1344">
        <v>641662312</v>
      </c>
      <c r="N1344">
        <v>436085926</v>
      </c>
      <c r="O1344">
        <v>373346938</v>
      </c>
      <c r="P1344">
        <v>219</v>
      </c>
      <c r="Q1344" t="s">
        <v>2981</v>
      </c>
    </row>
    <row r="1345" spans="1:17" x14ac:dyDescent="0.3">
      <c r="A1345" t="s">
        <v>17</v>
      </c>
      <c r="B1345" t="str">
        <f>"603511"</f>
        <v>603511</v>
      </c>
      <c r="C1345" t="s">
        <v>2982</v>
      </c>
      <c r="D1345" t="s">
        <v>330</v>
      </c>
      <c r="F1345">
        <v>3518830377</v>
      </c>
      <c r="G1345">
        <v>3362232509</v>
      </c>
      <c r="H1345">
        <v>3317961786</v>
      </c>
      <c r="I1345">
        <v>3118576554</v>
      </c>
      <c r="J1345">
        <v>2946908282</v>
      </c>
      <c r="P1345">
        <v>47</v>
      </c>
      <c r="Q1345" t="s">
        <v>2983</v>
      </c>
    </row>
    <row r="1346" spans="1:17" x14ac:dyDescent="0.3">
      <c r="A1346" t="s">
        <v>17</v>
      </c>
      <c r="B1346" t="str">
        <f>"603515"</f>
        <v>603515</v>
      </c>
      <c r="C1346" t="s">
        <v>2984</v>
      </c>
      <c r="D1346" t="s">
        <v>598</v>
      </c>
      <c r="F1346">
        <v>8846626704</v>
      </c>
      <c r="G1346">
        <v>7969732718</v>
      </c>
      <c r="H1346">
        <v>8354858629</v>
      </c>
      <c r="I1346">
        <v>8003869733</v>
      </c>
      <c r="J1346">
        <v>6957046208</v>
      </c>
      <c r="K1346">
        <v>5476638649</v>
      </c>
      <c r="L1346">
        <v>4468858418</v>
      </c>
      <c r="M1346">
        <v>3843035394</v>
      </c>
      <c r="N1346">
        <v>3390043695</v>
      </c>
      <c r="P1346">
        <v>2557</v>
      </c>
      <c r="Q1346" t="s">
        <v>2985</v>
      </c>
    </row>
    <row r="1347" spans="1:17" x14ac:dyDescent="0.3">
      <c r="A1347" t="s">
        <v>17</v>
      </c>
      <c r="B1347" t="str">
        <f>"603516"</f>
        <v>603516</v>
      </c>
      <c r="C1347" t="s">
        <v>2986</v>
      </c>
      <c r="D1347" t="s">
        <v>236</v>
      </c>
      <c r="F1347">
        <v>468096140</v>
      </c>
      <c r="G1347">
        <v>482603632</v>
      </c>
      <c r="H1347">
        <v>371252212</v>
      </c>
      <c r="I1347">
        <v>275557115</v>
      </c>
      <c r="J1347">
        <v>250326874</v>
      </c>
      <c r="K1347">
        <v>219126946</v>
      </c>
      <c r="L1347">
        <v>169291294</v>
      </c>
      <c r="M1347">
        <v>149571539</v>
      </c>
      <c r="P1347">
        <v>202</v>
      </c>
      <c r="Q1347" t="s">
        <v>2987</v>
      </c>
    </row>
    <row r="1348" spans="1:17" x14ac:dyDescent="0.3">
      <c r="A1348" t="s">
        <v>17</v>
      </c>
      <c r="B1348" t="str">
        <f>"603517"</f>
        <v>603517</v>
      </c>
      <c r="C1348" t="s">
        <v>2988</v>
      </c>
      <c r="D1348" t="s">
        <v>2989</v>
      </c>
      <c r="F1348">
        <v>6548621784</v>
      </c>
      <c r="G1348">
        <v>5276079668</v>
      </c>
      <c r="H1348">
        <v>5171962172</v>
      </c>
      <c r="I1348">
        <v>4367982964</v>
      </c>
      <c r="J1348">
        <v>3850167592</v>
      </c>
      <c r="K1348">
        <v>3274144755</v>
      </c>
      <c r="L1348">
        <v>2921298504</v>
      </c>
      <c r="M1348">
        <v>2629726039</v>
      </c>
      <c r="N1348">
        <v>2270094051</v>
      </c>
      <c r="P1348">
        <v>2369</v>
      </c>
      <c r="Q1348" t="s">
        <v>2990</v>
      </c>
    </row>
    <row r="1349" spans="1:17" x14ac:dyDescent="0.3">
      <c r="A1349" t="s">
        <v>17</v>
      </c>
      <c r="B1349" t="str">
        <f>"603518"</f>
        <v>603518</v>
      </c>
      <c r="C1349" t="s">
        <v>2991</v>
      </c>
      <c r="D1349" t="s">
        <v>255</v>
      </c>
      <c r="F1349">
        <v>4324418205</v>
      </c>
      <c r="G1349">
        <v>3339906829</v>
      </c>
      <c r="H1349">
        <v>2913022360</v>
      </c>
      <c r="I1349">
        <v>3085609336</v>
      </c>
      <c r="J1349">
        <v>2564142763</v>
      </c>
      <c r="K1349">
        <v>744317188</v>
      </c>
      <c r="L1349">
        <v>824351844</v>
      </c>
      <c r="M1349">
        <v>847178472</v>
      </c>
      <c r="N1349">
        <v>746253054</v>
      </c>
      <c r="O1349">
        <v>597931480</v>
      </c>
      <c r="P1349">
        <v>206</v>
      </c>
      <c r="Q1349" t="s">
        <v>2992</v>
      </c>
    </row>
    <row r="1350" spans="1:17" x14ac:dyDescent="0.3">
      <c r="A1350" t="s">
        <v>17</v>
      </c>
      <c r="B1350" t="str">
        <f>"603519"</f>
        <v>603519</v>
      </c>
      <c r="C1350" t="s">
        <v>2993</v>
      </c>
      <c r="D1350" t="s">
        <v>1253</v>
      </c>
      <c r="F1350">
        <v>1586785341</v>
      </c>
      <c r="G1350">
        <v>1298949683</v>
      </c>
      <c r="H1350">
        <v>1284268310</v>
      </c>
      <c r="I1350">
        <v>1282678654</v>
      </c>
      <c r="J1350">
        <v>1223241655</v>
      </c>
      <c r="K1350">
        <v>862783265</v>
      </c>
      <c r="L1350">
        <v>786738116</v>
      </c>
      <c r="M1350">
        <v>737289644</v>
      </c>
      <c r="N1350">
        <v>671690714</v>
      </c>
      <c r="O1350">
        <v>528857740</v>
      </c>
      <c r="P1350">
        <v>148</v>
      </c>
      <c r="Q1350" t="s">
        <v>2994</v>
      </c>
    </row>
    <row r="1351" spans="1:17" x14ac:dyDescent="0.3">
      <c r="A1351" t="s">
        <v>17</v>
      </c>
      <c r="B1351" t="str">
        <f>"603520"</f>
        <v>603520</v>
      </c>
      <c r="C1351" t="s">
        <v>2995</v>
      </c>
      <c r="D1351" t="s">
        <v>496</v>
      </c>
      <c r="F1351">
        <v>1999916888</v>
      </c>
      <c r="G1351">
        <v>1367087241</v>
      </c>
      <c r="H1351">
        <v>1308841635</v>
      </c>
      <c r="I1351">
        <v>890470781</v>
      </c>
      <c r="J1351">
        <v>710939019</v>
      </c>
      <c r="K1351">
        <v>672945254</v>
      </c>
      <c r="L1351">
        <v>695660001</v>
      </c>
      <c r="M1351">
        <v>658482616</v>
      </c>
      <c r="N1351">
        <v>685904772</v>
      </c>
      <c r="O1351">
        <v>574710789</v>
      </c>
      <c r="P1351">
        <v>384</v>
      </c>
      <c r="Q1351" t="s">
        <v>2996</v>
      </c>
    </row>
    <row r="1352" spans="1:17" x14ac:dyDescent="0.3">
      <c r="A1352" t="s">
        <v>17</v>
      </c>
      <c r="B1352" t="str">
        <f>"603527"</f>
        <v>603527</v>
      </c>
      <c r="C1352" t="s">
        <v>2997</v>
      </c>
      <c r="D1352" t="s">
        <v>263</v>
      </c>
      <c r="F1352">
        <v>6779789662</v>
      </c>
      <c r="G1352">
        <v>3835993202</v>
      </c>
      <c r="H1352">
        <v>3223651511</v>
      </c>
      <c r="I1352">
        <v>3209253471</v>
      </c>
      <c r="J1352">
        <v>2984174881</v>
      </c>
      <c r="K1352">
        <v>2154104316</v>
      </c>
      <c r="L1352">
        <v>2202258075</v>
      </c>
      <c r="M1352">
        <v>2192607834</v>
      </c>
      <c r="P1352">
        <v>53</v>
      </c>
      <c r="Q1352" t="s">
        <v>2998</v>
      </c>
    </row>
    <row r="1353" spans="1:17" x14ac:dyDescent="0.3">
      <c r="A1353" t="s">
        <v>17</v>
      </c>
      <c r="B1353" t="str">
        <f>"603528"</f>
        <v>603528</v>
      </c>
      <c r="C1353" t="s">
        <v>2999</v>
      </c>
      <c r="D1353" t="s">
        <v>945</v>
      </c>
      <c r="F1353">
        <v>714661261</v>
      </c>
      <c r="G1353">
        <v>635621703</v>
      </c>
      <c r="H1353">
        <v>697875264</v>
      </c>
      <c r="I1353">
        <v>550103603</v>
      </c>
      <c r="J1353">
        <v>508753398</v>
      </c>
      <c r="K1353">
        <v>832156436</v>
      </c>
      <c r="L1353">
        <v>733040107</v>
      </c>
      <c r="M1353">
        <v>662531650</v>
      </c>
      <c r="N1353">
        <v>451899765</v>
      </c>
      <c r="P1353">
        <v>195</v>
      </c>
      <c r="Q1353" t="s">
        <v>3000</v>
      </c>
    </row>
    <row r="1354" spans="1:17" x14ac:dyDescent="0.3">
      <c r="A1354" t="s">
        <v>17</v>
      </c>
      <c r="B1354" t="str">
        <f>"603529"</f>
        <v>603529</v>
      </c>
      <c r="C1354" t="s">
        <v>3001</v>
      </c>
      <c r="D1354" t="s">
        <v>233</v>
      </c>
      <c r="F1354">
        <v>15398710871</v>
      </c>
      <c r="G1354">
        <v>12904586099</v>
      </c>
      <c r="H1354">
        <v>10423830990</v>
      </c>
      <c r="I1354">
        <v>8989778924</v>
      </c>
      <c r="J1354">
        <v>7794486946</v>
      </c>
      <c r="K1354">
        <v>6443850067</v>
      </c>
      <c r="P1354">
        <v>73</v>
      </c>
      <c r="Q1354" t="s">
        <v>3002</v>
      </c>
    </row>
    <row r="1355" spans="1:17" x14ac:dyDescent="0.3">
      <c r="A1355" t="s">
        <v>17</v>
      </c>
      <c r="B1355" t="str">
        <f>"603530"</f>
        <v>603530</v>
      </c>
      <c r="C1355" t="s">
        <v>3003</v>
      </c>
      <c r="D1355" t="s">
        <v>1164</v>
      </c>
      <c r="F1355">
        <v>731174912</v>
      </c>
      <c r="G1355">
        <v>662973845</v>
      </c>
      <c r="H1355">
        <v>628744707</v>
      </c>
      <c r="I1355">
        <v>653580550</v>
      </c>
      <c r="J1355">
        <v>680474112</v>
      </c>
      <c r="K1355">
        <v>561090093</v>
      </c>
      <c r="P1355">
        <v>88</v>
      </c>
      <c r="Q1355" t="s">
        <v>3004</v>
      </c>
    </row>
    <row r="1356" spans="1:17" x14ac:dyDescent="0.3">
      <c r="A1356" t="s">
        <v>17</v>
      </c>
      <c r="B1356" t="str">
        <f>"603533"</f>
        <v>603533</v>
      </c>
      <c r="C1356" t="s">
        <v>3005</v>
      </c>
      <c r="D1356" t="s">
        <v>3006</v>
      </c>
      <c r="F1356">
        <v>2070784337</v>
      </c>
      <c r="G1356">
        <v>2060658762</v>
      </c>
      <c r="H1356">
        <v>1882346953</v>
      </c>
      <c r="I1356">
        <v>1903150734</v>
      </c>
      <c r="J1356">
        <v>1666990531</v>
      </c>
      <c r="K1356">
        <v>1197630408</v>
      </c>
      <c r="L1356">
        <v>639670922</v>
      </c>
      <c r="M1356">
        <v>419616491</v>
      </c>
      <c r="P1356">
        <v>872</v>
      </c>
      <c r="Q1356" t="s">
        <v>3007</v>
      </c>
    </row>
    <row r="1357" spans="1:17" x14ac:dyDescent="0.3">
      <c r="A1357" t="s">
        <v>17</v>
      </c>
      <c r="B1357" t="str">
        <f>"603535"</f>
        <v>603535</v>
      </c>
      <c r="C1357" t="s">
        <v>3008</v>
      </c>
      <c r="D1357" t="s">
        <v>287</v>
      </c>
      <c r="F1357">
        <v>1269049480</v>
      </c>
      <c r="G1357">
        <v>1151376646</v>
      </c>
      <c r="H1357">
        <v>1194210119</v>
      </c>
      <c r="I1357">
        <v>1115613222</v>
      </c>
      <c r="J1357">
        <v>1034261956</v>
      </c>
      <c r="K1357">
        <v>858548583</v>
      </c>
      <c r="L1357">
        <v>717722235</v>
      </c>
      <c r="M1357">
        <v>675729226</v>
      </c>
      <c r="P1357">
        <v>85</v>
      </c>
      <c r="Q1357" t="s">
        <v>3009</v>
      </c>
    </row>
    <row r="1358" spans="1:17" x14ac:dyDescent="0.3">
      <c r="A1358" t="s">
        <v>17</v>
      </c>
      <c r="B1358" t="str">
        <f>"603536"</f>
        <v>603536</v>
      </c>
      <c r="C1358" t="s">
        <v>3010</v>
      </c>
      <c r="D1358" t="s">
        <v>2865</v>
      </c>
      <c r="F1358">
        <v>1650922440</v>
      </c>
      <c r="G1358">
        <v>1409232388</v>
      </c>
      <c r="H1358">
        <v>1209814314</v>
      </c>
      <c r="I1358">
        <v>1041776539</v>
      </c>
      <c r="J1358">
        <v>938511928</v>
      </c>
      <c r="K1358">
        <v>889818985</v>
      </c>
      <c r="L1358">
        <v>837033629</v>
      </c>
      <c r="M1358">
        <v>981166365</v>
      </c>
      <c r="P1358">
        <v>125</v>
      </c>
      <c r="Q1358" t="s">
        <v>3011</v>
      </c>
    </row>
    <row r="1359" spans="1:17" x14ac:dyDescent="0.3">
      <c r="A1359" t="s">
        <v>17</v>
      </c>
      <c r="B1359" t="str">
        <f>"603538"</f>
        <v>603538</v>
      </c>
      <c r="C1359" t="s">
        <v>3012</v>
      </c>
      <c r="D1359" t="s">
        <v>496</v>
      </c>
      <c r="F1359">
        <v>1258147710</v>
      </c>
      <c r="G1359">
        <v>1193697918</v>
      </c>
      <c r="H1359">
        <v>1180205326</v>
      </c>
      <c r="I1359">
        <v>848961518</v>
      </c>
      <c r="J1359">
        <v>605320594</v>
      </c>
      <c r="K1359">
        <v>578087831</v>
      </c>
      <c r="L1359">
        <v>597166229</v>
      </c>
      <c r="M1359">
        <v>636304956</v>
      </c>
      <c r="P1359">
        <v>265</v>
      </c>
      <c r="Q1359" t="s">
        <v>3013</v>
      </c>
    </row>
    <row r="1360" spans="1:17" x14ac:dyDescent="0.3">
      <c r="A1360" t="s">
        <v>17</v>
      </c>
      <c r="B1360" t="str">
        <f>"603551"</f>
        <v>603551</v>
      </c>
      <c r="C1360" t="s">
        <v>3014</v>
      </c>
      <c r="D1360" t="s">
        <v>2892</v>
      </c>
      <c r="F1360">
        <v>2058098467</v>
      </c>
      <c r="G1360">
        <v>1593026260</v>
      </c>
      <c r="H1360">
        <v>1649820362</v>
      </c>
      <c r="I1360">
        <v>1684405887</v>
      </c>
      <c r="J1360">
        <v>1584136359</v>
      </c>
      <c r="K1360">
        <v>1249732505</v>
      </c>
      <c r="P1360">
        <v>116</v>
      </c>
      <c r="Q1360" t="s">
        <v>3015</v>
      </c>
    </row>
    <row r="1361" spans="1:17" x14ac:dyDescent="0.3">
      <c r="A1361" t="s">
        <v>17</v>
      </c>
      <c r="B1361" t="str">
        <f>"603555"</f>
        <v>603555</v>
      </c>
      <c r="C1361" t="s">
        <v>3016</v>
      </c>
      <c r="D1361" t="s">
        <v>3017</v>
      </c>
      <c r="F1361">
        <v>1419055804</v>
      </c>
      <c r="G1361">
        <v>1188179186</v>
      </c>
      <c r="H1361">
        <v>1581478302</v>
      </c>
      <c r="I1361">
        <v>2812460500</v>
      </c>
      <c r="J1361">
        <v>3252075598</v>
      </c>
      <c r="K1361">
        <v>2279020179</v>
      </c>
      <c r="L1361">
        <v>1969022044</v>
      </c>
      <c r="M1361">
        <v>1919650412</v>
      </c>
      <c r="N1361">
        <v>2405921409</v>
      </c>
      <c r="O1361">
        <v>2855425144</v>
      </c>
      <c r="P1361">
        <v>81</v>
      </c>
      <c r="Q1361" t="s">
        <v>3018</v>
      </c>
    </row>
    <row r="1362" spans="1:17" x14ac:dyDescent="0.3">
      <c r="A1362" t="s">
        <v>17</v>
      </c>
      <c r="B1362" t="str">
        <f>"603556"</f>
        <v>603556</v>
      </c>
      <c r="C1362" t="s">
        <v>3019</v>
      </c>
      <c r="D1362" t="s">
        <v>2180</v>
      </c>
      <c r="F1362">
        <v>2691084904</v>
      </c>
      <c r="G1362">
        <v>2805952367</v>
      </c>
      <c r="H1362">
        <v>2954172901</v>
      </c>
      <c r="I1362">
        <v>2552901256</v>
      </c>
      <c r="J1362">
        <v>3025410050</v>
      </c>
      <c r="K1362">
        <v>2180835416</v>
      </c>
      <c r="L1362">
        <v>2000373967</v>
      </c>
      <c r="M1362">
        <v>1718673075</v>
      </c>
      <c r="N1362">
        <v>1637803158</v>
      </c>
      <c r="P1362">
        <v>218</v>
      </c>
      <c r="Q1362" t="s">
        <v>3020</v>
      </c>
    </row>
    <row r="1363" spans="1:17" x14ac:dyDescent="0.3">
      <c r="A1363" t="s">
        <v>17</v>
      </c>
      <c r="B1363" t="str">
        <f>"603557"</f>
        <v>603557</v>
      </c>
      <c r="C1363" t="s">
        <v>3021</v>
      </c>
      <c r="D1363" t="s">
        <v>330</v>
      </c>
      <c r="F1363">
        <v>1050068514</v>
      </c>
      <c r="G1363">
        <v>773372455</v>
      </c>
      <c r="H1363">
        <v>1523397819</v>
      </c>
      <c r="I1363">
        <v>1398774948</v>
      </c>
      <c r="J1363">
        <v>1339491099</v>
      </c>
      <c r="K1363">
        <v>1233837716</v>
      </c>
      <c r="L1363">
        <v>1127588800</v>
      </c>
      <c r="M1363">
        <v>914032621</v>
      </c>
      <c r="P1363">
        <v>118</v>
      </c>
      <c r="Q1363" t="s">
        <v>3022</v>
      </c>
    </row>
    <row r="1364" spans="1:17" x14ac:dyDescent="0.3">
      <c r="A1364" t="s">
        <v>17</v>
      </c>
      <c r="B1364" t="str">
        <f>"603558"</f>
        <v>603558</v>
      </c>
      <c r="C1364" t="s">
        <v>3023</v>
      </c>
      <c r="D1364" t="s">
        <v>1009</v>
      </c>
      <c r="F1364">
        <v>2051681254</v>
      </c>
      <c r="G1364">
        <v>1582449087</v>
      </c>
      <c r="H1364">
        <v>1780368878</v>
      </c>
      <c r="I1364">
        <v>1577468307</v>
      </c>
      <c r="J1364">
        <v>1138010080</v>
      </c>
      <c r="K1364">
        <v>663805768</v>
      </c>
      <c r="L1364">
        <v>714706499</v>
      </c>
      <c r="M1364">
        <v>644850551</v>
      </c>
      <c r="N1364">
        <v>558280098</v>
      </c>
      <c r="O1364">
        <v>444661219</v>
      </c>
      <c r="P1364">
        <v>136</v>
      </c>
      <c r="Q1364" t="s">
        <v>3024</v>
      </c>
    </row>
    <row r="1365" spans="1:17" x14ac:dyDescent="0.3">
      <c r="A1365" t="s">
        <v>17</v>
      </c>
      <c r="B1365" t="str">
        <f>"603559"</f>
        <v>603559</v>
      </c>
      <c r="C1365" t="s">
        <v>3025</v>
      </c>
      <c r="D1365" t="s">
        <v>654</v>
      </c>
      <c r="F1365">
        <v>518178761</v>
      </c>
      <c r="G1365">
        <v>657077985</v>
      </c>
      <c r="H1365">
        <v>714252634</v>
      </c>
      <c r="I1365">
        <v>722595358</v>
      </c>
      <c r="J1365">
        <v>542789005</v>
      </c>
      <c r="K1365">
        <v>494189210</v>
      </c>
      <c r="L1365">
        <v>409002202</v>
      </c>
      <c r="M1365">
        <v>371475003</v>
      </c>
      <c r="N1365">
        <v>354841713</v>
      </c>
      <c r="P1365">
        <v>159</v>
      </c>
      <c r="Q1365" t="s">
        <v>3026</v>
      </c>
    </row>
    <row r="1366" spans="1:17" x14ac:dyDescent="0.3">
      <c r="A1366" t="s">
        <v>17</v>
      </c>
      <c r="B1366" t="str">
        <f>"603565"</f>
        <v>603565</v>
      </c>
      <c r="C1366" t="s">
        <v>3027</v>
      </c>
      <c r="D1366" t="s">
        <v>69</v>
      </c>
      <c r="F1366">
        <v>12291181868</v>
      </c>
      <c r="G1366">
        <v>10419184227</v>
      </c>
      <c r="H1366">
        <v>9900313062</v>
      </c>
      <c r="I1366">
        <v>8078121845</v>
      </c>
      <c r="J1366">
        <v>5600382564</v>
      </c>
      <c r="K1366">
        <v>4082183200</v>
      </c>
      <c r="P1366">
        <v>225</v>
      </c>
      <c r="Q1366" t="s">
        <v>3028</v>
      </c>
    </row>
    <row r="1367" spans="1:17" x14ac:dyDescent="0.3">
      <c r="A1367" t="s">
        <v>17</v>
      </c>
      <c r="B1367" t="str">
        <f>"603566"</f>
        <v>603566</v>
      </c>
      <c r="C1367" t="s">
        <v>3029</v>
      </c>
      <c r="D1367" t="s">
        <v>453</v>
      </c>
      <c r="F1367">
        <v>1098568104</v>
      </c>
      <c r="G1367">
        <v>928511813</v>
      </c>
      <c r="H1367">
        <v>663194737</v>
      </c>
      <c r="I1367">
        <v>608059265</v>
      </c>
      <c r="J1367">
        <v>529895208</v>
      </c>
      <c r="K1367">
        <v>583102020</v>
      </c>
      <c r="L1367">
        <v>478138171</v>
      </c>
      <c r="M1367">
        <v>475689703</v>
      </c>
      <c r="N1367">
        <v>472081960</v>
      </c>
      <c r="O1367">
        <v>417525649</v>
      </c>
      <c r="P1367">
        <v>233</v>
      </c>
      <c r="Q1367" t="s">
        <v>3030</v>
      </c>
    </row>
    <row r="1368" spans="1:17" x14ac:dyDescent="0.3">
      <c r="A1368" t="s">
        <v>17</v>
      </c>
      <c r="B1368" t="str">
        <f>"603567"</f>
        <v>603567</v>
      </c>
      <c r="C1368" t="s">
        <v>3031</v>
      </c>
      <c r="D1368" t="s">
        <v>188</v>
      </c>
      <c r="F1368">
        <v>4126813896</v>
      </c>
      <c r="G1368">
        <v>3403747281</v>
      </c>
      <c r="H1368">
        <v>3291855970</v>
      </c>
      <c r="I1368">
        <v>2780909895</v>
      </c>
      <c r="J1368">
        <v>3136522107</v>
      </c>
      <c r="K1368">
        <v>2391235153</v>
      </c>
      <c r="L1368">
        <v>2073059862</v>
      </c>
      <c r="M1368">
        <v>1592911249</v>
      </c>
      <c r="N1368">
        <v>1414805431</v>
      </c>
      <c r="O1368">
        <v>1379697221</v>
      </c>
      <c r="P1368">
        <v>134</v>
      </c>
      <c r="Q1368" t="s">
        <v>3032</v>
      </c>
    </row>
    <row r="1369" spans="1:17" x14ac:dyDescent="0.3">
      <c r="A1369" t="s">
        <v>17</v>
      </c>
      <c r="B1369" t="str">
        <f>"603568"</f>
        <v>603568</v>
      </c>
      <c r="C1369" t="s">
        <v>3033</v>
      </c>
      <c r="D1369" t="s">
        <v>499</v>
      </c>
      <c r="F1369">
        <v>4185369510</v>
      </c>
      <c r="G1369">
        <v>3123489238</v>
      </c>
      <c r="H1369">
        <v>2038106160</v>
      </c>
      <c r="I1369">
        <v>1547127532</v>
      </c>
      <c r="J1369">
        <v>1029457365</v>
      </c>
      <c r="K1369">
        <v>693169189</v>
      </c>
      <c r="L1369">
        <v>675060787</v>
      </c>
      <c r="M1369">
        <v>667017472</v>
      </c>
      <c r="N1369">
        <v>530521760</v>
      </c>
      <c r="O1369">
        <v>395411662</v>
      </c>
      <c r="P1369">
        <v>16265</v>
      </c>
      <c r="Q1369" t="s">
        <v>3034</v>
      </c>
    </row>
    <row r="1370" spans="1:17" x14ac:dyDescent="0.3">
      <c r="A1370" t="s">
        <v>17</v>
      </c>
      <c r="B1370" t="str">
        <f>"603569"</f>
        <v>603569</v>
      </c>
      <c r="C1370" t="s">
        <v>3035</v>
      </c>
      <c r="D1370" t="s">
        <v>2503</v>
      </c>
      <c r="F1370">
        <v>4486547408</v>
      </c>
      <c r="G1370">
        <v>4077186279</v>
      </c>
      <c r="H1370">
        <v>4785370371</v>
      </c>
      <c r="I1370">
        <v>5482633570</v>
      </c>
      <c r="J1370">
        <v>4960665431</v>
      </c>
      <c r="K1370">
        <v>4296200432</v>
      </c>
      <c r="L1370">
        <v>3394869935</v>
      </c>
      <c r="M1370">
        <v>3042900545</v>
      </c>
      <c r="N1370">
        <v>2635458500</v>
      </c>
      <c r="P1370">
        <v>198</v>
      </c>
      <c r="Q1370" t="s">
        <v>3036</v>
      </c>
    </row>
    <row r="1371" spans="1:17" x14ac:dyDescent="0.3">
      <c r="A1371" t="s">
        <v>17</v>
      </c>
      <c r="B1371" t="str">
        <f>"603577"</f>
        <v>603577</v>
      </c>
      <c r="C1371" t="s">
        <v>3037</v>
      </c>
      <c r="D1371" t="s">
        <v>1164</v>
      </c>
      <c r="F1371">
        <v>2498434840</v>
      </c>
      <c r="G1371">
        <v>1937063005</v>
      </c>
      <c r="H1371">
        <v>1618323856</v>
      </c>
      <c r="I1371">
        <v>958240959</v>
      </c>
      <c r="J1371">
        <v>802707279</v>
      </c>
      <c r="K1371">
        <v>652287756</v>
      </c>
      <c r="L1371">
        <v>552819605</v>
      </c>
      <c r="M1371">
        <v>542388799</v>
      </c>
      <c r="N1371">
        <v>608875243</v>
      </c>
      <c r="P1371">
        <v>90</v>
      </c>
      <c r="Q1371" t="s">
        <v>3038</v>
      </c>
    </row>
    <row r="1372" spans="1:17" x14ac:dyDescent="0.3">
      <c r="A1372" t="s">
        <v>17</v>
      </c>
      <c r="B1372" t="str">
        <f>"603578"</f>
        <v>603578</v>
      </c>
      <c r="C1372" t="s">
        <v>3039</v>
      </c>
      <c r="D1372" t="s">
        <v>1253</v>
      </c>
      <c r="F1372">
        <v>825917297</v>
      </c>
      <c r="G1372">
        <v>427076977</v>
      </c>
      <c r="H1372">
        <v>340031385</v>
      </c>
      <c r="I1372">
        <v>326713549</v>
      </c>
      <c r="J1372">
        <v>298949307</v>
      </c>
      <c r="K1372">
        <v>273529725</v>
      </c>
      <c r="L1372">
        <v>238432716</v>
      </c>
      <c r="M1372">
        <v>235520885</v>
      </c>
      <c r="P1372">
        <v>131</v>
      </c>
      <c r="Q1372" t="s">
        <v>3040</v>
      </c>
    </row>
    <row r="1373" spans="1:17" x14ac:dyDescent="0.3">
      <c r="A1373" t="s">
        <v>17</v>
      </c>
      <c r="B1373" t="str">
        <f>"603579"</f>
        <v>603579</v>
      </c>
      <c r="C1373" t="s">
        <v>3041</v>
      </c>
      <c r="D1373" t="s">
        <v>3042</v>
      </c>
      <c r="F1373">
        <v>2612570400</v>
      </c>
      <c r="G1373">
        <v>2020516424</v>
      </c>
      <c r="H1373">
        <v>2313911804</v>
      </c>
      <c r="I1373">
        <v>2295648225</v>
      </c>
      <c r="J1373">
        <v>1918007384</v>
      </c>
      <c r="K1373">
        <v>1285049735</v>
      </c>
      <c r="L1373">
        <v>1023978063</v>
      </c>
      <c r="M1373">
        <v>723141867</v>
      </c>
      <c r="N1373">
        <v>411401405</v>
      </c>
      <c r="P1373">
        <v>597</v>
      </c>
      <c r="Q1373" t="s">
        <v>3043</v>
      </c>
    </row>
    <row r="1374" spans="1:17" x14ac:dyDescent="0.3">
      <c r="A1374" t="s">
        <v>17</v>
      </c>
      <c r="B1374" t="str">
        <f>"603580"</f>
        <v>603580</v>
      </c>
      <c r="C1374" t="s">
        <v>3044</v>
      </c>
      <c r="D1374" t="s">
        <v>1192</v>
      </c>
      <c r="F1374">
        <v>252483298</v>
      </c>
      <c r="G1374">
        <v>194159733</v>
      </c>
      <c r="H1374">
        <v>193502066</v>
      </c>
      <c r="I1374">
        <v>188114469</v>
      </c>
      <c r="J1374">
        <v>155020774</v>
      </c>
      <c r="K1374">
        <v>149385638</v>
      </c>
      <c r="L1374">
        <v>147108356</v>
      </c>
      <c r="M1374">
        <v>143788473</v>
      </c>
      <c r="P1374">
        <v>57</v>
      </c>
      <c r="Q1374" t="s">
        <v>3045</v>
      </c>
    </row>
    <row r="1375" spans="1:17" x14ac:dyDescent="0.3">
      <c r="A1375" t="s">
        <v>17</v>
      </c>
      <c r="B1375" t="str">
        <f>"603583"</f>
        <v>603583</v>
      </c>
      <c r="C1375" t="s">
        <v>3046</v>
      </c>
      <c r="D1375" t="s">
        <v>2432</v>
      </c>
      <c r="F1375">
        <v>2636980920</v>
      </c>
      <c r="G1375">
        <v>1868274061</v>
      </c>
      <c r="H1375">
        <v>1407770832</v>
      </c>
      <c r="I1375">
        <v>1115973141</v>
      </c>
      <c r="J1375">
        <v>694725744</v>
      </c>
      <c r="K1375">
        <v>506115741</v>
      </c>
      <c r="L1375">
        <v>365588412</v>
      </c>
      <c r="P1375">
        <v>704</v>
      </c>
      <c r="Q1375" t="s">
        <v>3047</v>
      </c>
    </row>
    <row r="1376" spans="1:17" x14ac:dyDescent="0.3">
      <c r="A1376" t="s">
        <v>17</v>
      </c>
      <c r="B1376" t="str">
        <f>"603585"</f>
        <v>603585</v>
      </c>
      <c r="C1376" t="s">
        <v>3048</v>
      </c>
      <c r="D1376" t="s">
        <v>853</v>
      </c>
      <c r="F1376">
        <v>2291648718</v>
      </c>
      <c r="G1376">
        <v>1558610029</v>
      </c>
      <c r="H1376">
        <v>1812605555</v>
      </c>
      <c r="I1376">
        <v>1645899048</v>
      </c>
      <c r="J1376">
        <v>1456615015</v>
      </c>
      <c r="K1376">
        <v>1350565250</v>
      </c>
      <c r="L1376">
        <v>1122807698</v>
      </c>
      <c r="M1376">
        <v>890096047</v>
      </c>
      <c r="N1376">
        <v>813425696</v>
      </c>
      <c r="P1376">
        <v>546</v>
      </c>
      <c r="Q1376" t="s">
        <v>3049</v>
      </c>
    </row>
    <row r="1377" spans="1:17" x14ac:dyDescent="0.3">
      <c r="A1377" t="s">
        <v>17</v>
      </c>
      <c r="B1377" t="str">
        <f>"603586"</f>
        <v>603586</v>
      </c>
      <c r="C1377" t="s">
        <v>3050</v>
      </c>
      <c r="D1377" t="s">
        <v>348</v>
      </c>
      <c r="F1377">
        <v>1393101251</v>
      </c>
      <c r="G1377">
        <v>1286781515</v>
      </c>
      <c r="H1377">
        <v>1622080434</v>
      </c>
      <c r="I1377">
        <v>1399413851</v>
      </c>
      <c r="J1377">
        <v>1499641659</v>
      </c>
      <c r="K1377">
        <v>1290455413</v>
      </c>
      <c r="L1377">
        <v>1121747232</v>
      </c>
      <c r="M1377">
        <v>1057921791</v>
      </c>
      <c r="P1377">
        <v>109</v>
      </c>
      <c r="Q1377" t="s">
        <v>3051</v>
      </c>
    </row>
    <row r="1378" spans="1:17" x14ac:dyDescent="0.3">
      <c r="A1378" t="s">
        <v>17</v>
      </c>
      <c r="B1378" t="str">
        <f>"603587"</f>
        <v>603587</v>
      </c>
      <c r="C1378" t="s">
        <v>3052</v>
      </c>
      <c r="D1378" t="s">
        <v>255</v>
      </c>
      <c r="F1378">
        <v>2897599885</v>
      </c>
      <c r="G1378">
        <v>2564170558</v>
      </c>
      <c r="H1378">
        <v>2378416519</v>
      </c>
      <c r="I1378">
        <v>2100454622</v>
      </c>
      <c r="J1378">
        <v>1945908435</v>
      </c>
      <c r="K1378">
        <v>1815501350</v>
      </c>
      <c r="L1378">
        <v>1851874731</v>
      </c>
      <c r="M1378">
        <v>1773983644</v>
      </c>
      <c r="P1378">
        <v>1011</v>
      </c>
      <c r="Q1378" t="s">
        <v>3053</v>
      </c>
    </row>
    <row r="1379" spans="1:17" x14ac:dyDescent="0.3">
      <c r="A1379" t="s">
        <v>17</v>
      </c>
      <c r="B1379" t="str">
        <f>"603588"</f>
        <v>603588</v>
      </c>
      <c r="C1379" t="s">
        <v>3054</v>
      </c>
      <c r="D1379" t="s">
        <v>499</v>
      </c>
      <c r="F1379">
        <v>7826771311</v>
      </c>
      <c r="G1379">
        <v>6826732845</v>
      </c>
      <c r="H1379">
        <v>5075386925</v>
      </c>
      <c r="I1379">
        <v>3762250271</v>
      </c>
      <c r="J1379">
        <v>2305240054</v>
      </c>
      <c r="K1379">
        <v>1564622861</v>
      </c>
      <c r="L1379">
        <v>1018433518</v>
      </c>
      <c r="M1379">
        <v>776512642</v>
      </c>
      <c r="N1379">
        <v>782009899</v>
      </c>
      <c r="O1379">
        <v>653759832</v>
      </c>
      <c r="P1379">
        <v>580</v>
      </c>
      <c r="Q1379" t="s">
        <v>3055</v>
      </c>
    </row>
    <row r="1380" spans="1:17" x14ac:dyDescent="0.3">
      <c r="A1380" t="s">
        <v>17</v>
      </c>
      <c r="B1380" t="str">
        <f>"603589"</f>
        <v>603589</v>
      </c>
      <c r="C1380" t="s">
        <v>3056</v>
      </c>
      <c r="D1380" t="s">
        <v>458</v>
      </c>
      <c r="F1380">
        <v>5028598347</v>
      </c>
      <c r="G1380">
        <v>4011144407</v>
      </c>
      <c r="H1380">
        <v>4672086012</v>
      </c>
      <c r="I1380">
        <v>4268964662</v>
      </c>
      <c r="J1380">
        <v>3602647170</v>
      </c>
      <c r="K1380">
        <v>2830178670</v>
      </c>
      <c r="L1380">
        <v>2584012483</v>
      </c>
      <c r="M1380">
        <v>2258553837</v>
      </c>
      <c r="N1380">
        <v>2447151233</v>
      </c>
      <c r="O1380">
        <v>2506547080</v>
      </c>
      <c r="P1380">
        <v>6957</v>
      </c>
      <c r="Q1380" t="s">
        <v>3057</v>
      </c>
    </row>
    <row r="1381" spans="1:17" x14ac:dyDescent="0.3">
      <c r="A1381" t="s">
        <v>17</v>
      </c>
      <c r="B1381" t="str">
        <f>"603590"</f>
        <v>603590</v>
      </c>
      <c r="C1381" t="s">
        <v>3058</v>
      </c>
      <c r="D1381" t="s">
        <v>1379</v>
      </c>
      <c r="F1381">
        <v>809782218</v>
      </c>
      <c r="G1381">
        <v>808643948</v>
      </c>
      <c r="H1381">
        <v>1065924551</v>
      </c>
      <c r="I1381">
        <v>1022164266</v>
      </c>
      <c r="J1381">
        <v>590580085</v>
      </c>
      <c r="K1381">
        <v>346225369</v>
      </c>
      <c r="L1381">
        <v>436147628</v>
      </c>
      <c r="P1381">
        <v>158</v>
      </c>
      <c r="Q1381" t="s">
        <v>3059</v>
      </c>
    </row>
    <row r="1382" spans="1:17" x14ac:dyDescent="0.3">
      <c r="A1382" t="s">
        <v>17</v>
      </c>
      <c r="B1382" t="str">
        <f>"603595"</f>
        <v>603595</v>
      </c>
      <c r="C1382" t="s">
        <v>3060</v>
      </c>
      <c r="D1382" t="s">
        <v>313</v>
      </c>
      <c r="F1382">
        <v>1339010863</v>
      </c>
      <c r="G1382">
        <v>928103630</v>
      </c>
      <c r="H1382">
        <v>660789817</v>
      </c>
      <c r="I1382">
        <v>872403509</v>
      </c>
      <c r="J1382">
        <v>726398071</v>
      </c>
      <c r="K1382">
        <v>331682827</v>
      </c>
      <c r="L1382">
        <v>292095490</v>
      </c>
      <c r="M1382">
        <v>208202329</v>
      </c>
      <c r="P1382">
        <v>184</v>
      </c>
      <c r="Q1382" t="s">
        <v>3061</v>
      </c>
    </row>
    <row r="1383" spans="1:17" x14ac:dyDescent="0.3">
      <c r="A1383" t="s">
        <v>17</v>
      </c>
      <c r="B1383" t="str">
        <f>"603596"</f>
        <v>603596</v>
      </c>
      <c r="C1383" t="s">
        <v>3062</v>
      </c>
      <c r="D1383" t="s">
        <v>348</v>
      </c>
      <c r="F1383">
        <v>3492283095</v>
      </c>
      <c r="G1383">
        <v>3041892125</v>
      </c>
      <c r="H1383">
        <v>3156611296</v>
      </c>
      <c r="I1383">
        <v>2602488127</v>
      </c>
      <c r="J1383">
        <v>2419186930</v>
      </c>
      <c r="K1383">
        <v>2212327103</v>
      </c>
      <c r="L1383">
        <v>1470922294</v>
      </c>
      <c r="P1383">
        <v>369</v>
      </c>
      <c r="Q1383" t="s">
        <v>3063</v>
      </c>
    </row>
    <row r="1384" spans="1:17" x14ac:dyDescent="0.3">
      <c r="A1384" t="s">
        <v>17</v>
      </c>
      <c r="B1384" t="str">
        <f>"603598"</f>
        <v>603598</v>
      </c>
      <c r="C1384" t="s">
        <v>3064</v>
      </c>
      <c r="D1384" t="s">
        <v>207</v>
      </c>
      <c r="F1384">
        <v>5496738497</v>
      </c>
      <c r="G1384">
        <v>5596166689</v>
      </c>
      <c r="H1384">
        <v>2999796247</v>
      </c>
      <c r="I1384">
        <v>3147127036</v>
      </c>
      <c r="J1384">
        <v>2582315414</v>
      </c>
      <c r="K1384">
        <v>1732033000</v>
      </c>
      <c r="L1384">
        <v>1858126554</v>
      </c>
      <c r="M1384">
        <v>1424595967</v>
      </c>
      <c r="N1384">
        <v>1393337993</v>
      </c>
      <c r="O1384">
        <v>938400482</v>
      </c>
      <c r="P1384">
        <v>113</v>
      </c>
      <c r="Q1384" t="s">
        <v>3065</v>
      </c>
    </row>
    <row r="1385" spans="1:17" x14ac:dyDescent="0.3">
      <c r="A1385" t="s">
        <v>17</v>
      </c>
      <c r="B1385" t="str">
        <f>"603599"</f>
        <v>603599</v>
      </c>
      <c r="C1385" t="s">
        <v>3066</v>
      </c>
      <c r="D1385" t="s">
        <v>853</v>
      </c>
      <c r="F1385">
        <v>5549906817</v>
      </c>
      <c r="G1385">
        <v>3402428649</v>
      </c>
      <c r="H1385">
        <v>3110364092</v>
      </c>
      <c r="I1385">
        <v>2846965167</v>
      </c>
      <c r="J1385">
        <v>2346149425</v>
      </c>
      <c r="K1385">
        <v>1502171249</v>
      </c>
      <c r="L1385">
        <v>1325481814</v>
      </c>
      <c r="M1385">
        <v>1214295877</v>
      </c>
      <c r="N1385">
        <v>908780890</v>
      </c>
      <c r="O1385">
        <v>943683968</v>
      </c>
      <c r="P1385">
        <v>304</v>
      </c>
      <c r="Q1385" t="s">
        <v>3067</v>
      </c>
    </row>
    <row r="1386" spans="1:17" x14ac:dyDescent="0.3">
      <c r="A1386" t="s">
        <v>17</v>
      </c>
      <c r="B1386" t="str">
        <f>"603600"</f>
        <v>603600</v>
      </c>
      <c r="C1386" t="s">
        <v>3068</v>
      </c>
      <c r="D1386" t="s">
        <v>757</v>
      </c>
      <c r="F1386">
        <v>4658619128</v>
      </c>
      <c r="G1386">
        <v>3433721546</v>
      </c>
      <c r="H1386">
        <v>2450475377</v>
      </c>
      <c r="I1386">
        <v>2411083379</v>
      </c>
      <c r="J1386">
        <v>1840632700</v>
      </c>
      <c r="K1386">
        <v>1401922475</v>
      </c>
      <c r="L1386">
        <v>1135753111</v>
      </c>
      <c r="M1386">
        <v>959851586</v>
      </c>
      <c r="N1386">
        <v>897177782</v>
      </c>
      <c r="O1386">
        <v>723200409</v>
      </c>
      <c r="P1386">
        <v>290</v>
      </c>
      <c r="Q1386" t="s">
        <v>3069</v>
      </c>
    </row>
    <row r="1387" spans="1:17" x14ac:dyDescent="0.3">
      <c r="A1387" t="s">
        <v>17</v>
      </c>
      <c r="B1387" t="str">
        <f>"603601"</f>
        <v>603601</v>
      </c>
      <c r="C1387" t="s">
        <v>3070</v>
      </c>
      <c r="D1387" t="s">
        <v>411</v>
      </c>
      <c r="F1387">
        <v>1619710843</v>
      </c>
      <c r="G1387">
        <v>1884228703</v>
      </c>
      <c r="H1387">
        <v>1252193566</v>
      </c>
      <c r="I1387">
        <v>1082121826</v>
      </c>
      <c r="J1387">
        <v>639744459</v>
      </c>
      <c r="K1387">
        <v>319942896</v>
      </c>
      <c r="L1387">
        <v>233623373</v>
      </c>
      <c r="M1387">
        <v>213426026</v>
      </c>
      <c r="N1387">
        <v>205780670</v>
      </c>
      <c r="O1387">
        <v>153433752</v>
      </c>
      <c r="P1387">
        <v>500</v>
      </c>
      <c r="Q1387" t="s">
        <v>3071</v>
      </c>
    </row>
    <row r="1388" spans="1:17" x14ac:dyDescent="0.3">
      <c r="A1388" t="s">
        <v>17</v>
      </c>
      <c r="B1388" t="str">
        <f>"603602"</f>
        <v>603602</v>
      </c>
      <c r="C1388" t="s">
        <v>3072</v>
      </c>
      <c r="D1388" t="s">
        <v>654</v>
      </c>
      <c r="F1388">
        <v>883803175</v>
      </c>
      <c r="G1388">
        <v>777554759</v>
      </c>
      <c r="H1388">
        <v>864752198</v>
      </c>
      <c r="I1388">
        <v>583727379</v>
      </c>
      <c r="J1388">
        <v>588029579</v>
      </c>
      <c r="K1388">
        <v>510990823</v>
      </c>
      <c r="L1388">
        <v>417515178</v>
      </c>
      <c r="M1388">
        <v>331900132</v>
      </c>
      <c r="P1388">
        <v>193</v>
      </c>
      <c r="Q1388" t="s">
        <v>3073</v>
      </c>
    </row>
    <row r="1389" spans="1:17" x14ac:dyDescent="0.3">
      <c r="A1389" t="s">
        <v>17</v>
      </c>
      <c r="B1389" t="str">
        <f>"603603"</f>
        <v>603603</v>
      </c>
      <c r="C1389" t="s">
        <v>3074</v>
      </c>
      <c r="D1389" t="s">
        <v>33</v>
      </c>
      <c r="F1389">
        <v>1147541381</v>
      </c>
      <c r="G1389">
        <v>1920470875</v>
      </c>
      <c r="H1389">
        <v>2889202973</v>
      </c>
      <c r="I1389">
        <v>4335884424</v>
      </c>
      <c r="J1389">
        <v>3046038836</v>
      </c>
      <c r="K1389">
        <v>2518744689</v>
      </c>
      <c r="L1389">
        <v>1991074172</v>
      </c>
      <c r="M1389">
        <v>1506247630</v>
      </c>
      <c r="N1389">
        <v>933900093</v>
      </c>
      <c r="P1389">
        <v>118</v>
      </c>
      <c r="Q1389" t="s">
        <v>3075</v>
      </c>
    </row>
    <row r="1390" spans="1:17" x14ac:dyDescent="0.3">
      <c r="A1390" t="s">
        <v>17</v>
      </c>
      <c r="B1390" t="str">
        <f>"603605"</f>
        <v>603605</v>
      </c>
      <c r="C1390" t="s">
        <v>3076</v>
      </c>
      <c r="D1390" t="s">
        <v>709</v>
      </c>
      <c r="F1390">
        <v>4633150538</v>
      </c>
      <c r="G1390">
        <v>3752386849</v>
      </c>
      <c r="H1390">
        <v>3123520212</v>
      </c>
      <c r="I1390">
        <v>2361248767</v>
      </c>
      <c r="J1390">
        <v>1783028737</v>
      </c>
      <c r="K1390">
        <v>1623373887</v>
      </c>
      <c r="L1390">
        <v>1645210436</v>
      </c>
      <c r="M1390">
        <v>1740101794</v>
      </c>
      <c r="P1390">
        <v>1725</v>
      </c>
      <c r="Q1390" t="s">
        <v>3077</v>
      </c>
    </row>
    <row r="1391" spans="1:17" x14ac:dyDescent="0.3">
      <c r="A1391" t="s">
        <v>17</v>
      </c>
      <c r="B1391" t="str">
        <f>"603606"</f>
        <v>603606</v>
      </c>
      <c r="C1391" t="s">
        <v>3078</v>
      </c>
      <c r="D1391" t="s">
        <v>1164</v>
      </c>
      <c r="F1391">
        <v>7932209015</v>
      </c>
      <c r="G1391">
        <v>5052336114</v>
      </c>
      <c r="H1391">
        <v>3690430874</v>
      </c>
      <c r="I1391">
        <v>3024221686</v>
      </c>
      <c r="J1391">
        <v>2061968020</v>
      </c>
      <c r="K1391">
        <v>1741587912</v>
      </c>
      <c r="L1391">
        <v>1821592072</v>
      </c>
      <c r="M1391">
        <v>1593266603</v>
      </c>
      <c r="N1391">
        <v>1333507882</v>
      </c>
      <c r="O1391">
        <v>1465701125</v>
      </c>
      <c r="P1391">
        <v>1568</v>
      </c>
      <c r="Q1391" t="s">
        <v>3079</v>
      </c>
    </row>
    <row r="1392" spans="1:17" x14ac:dyDescent="0.3">
      <c r="A1392" t="s">
        <v>17</v>
      </c>
      <c r="B1392" t="str">
        <f>"603607"</f>
        <v>603607</v>
      </c>
      <c r="C1392" t="s">
        <v>3080</v>
      </c>
      <c r="D1392" t="s">
        <v>2448</v>
      </c>
      <c r="F1392">
        <v>876705374</v>
      </c>
      <c r="G1392">
        <v>704234025</v>
      </c>
      <c r="H1392">
        <v>670537100</v>
      </c>
      <c r="I1392">
        <v>555027267</v>
      </c>
      <c r="J1392">
        <v>536207731</v>
      </c>
      <c r="K1392">
        <v>440607578</v>
      </c>
      <c r="L1392">
        <v>428589267</v>
      </c>
      <c r="M1392">
        <v>473226731</v>
      </c>
      <c r="P1392">
        <v>109</v>
      </c>
      <c r="Q1392" t="s">
        <v>3081</v>
      </c>
    </row>
    <row r="1393" spans="1:17" x14ac:dyDescent="0.3">
      <c r="A1393" t="s">
        <v>17</v>
      </c>
      <c r="B1393" t="str">
        <f>"603608"</f>
        <v>603608</v>
      </c>
      <c r="C1393" t="s">
        <v>3082</v>
      </c>
      <c r="D1393" t="s">
        <v>330</v>
      </c>
      <c r="F1393">
        <v>1925410170</v>
      </c>
      <c r="G1393">
        <v>1878085689</v>
      </c>
      <c r="H1393">
        <v>2089205001</v>
      </c>
      <c r="I1393">
        <v>2052342115</v>
      </c>
      <c r="J1393">
        <v>1733843632</v>
      </c>
      <c r="K1393">
        <v>1547982385</v>
      </c>
      <c r="L1393">
        <v>1630670222</v>
      </c>
      <c r="M1393">
        <v>1685876461</v>
      </c>
      <c r="N1393">
        <v>1509717402</v>
      </c>
      <c r="O1393">
        <v>1291681389</v>
      </c>
      <c r="P1393">
        <v>138</v>
      </c>
      <c r="Q1393" t="s">
        <v>3083</v>
      </c>
    </row>
    <row r="1394" spans="1:17" x14ac:dyDescent="0.3">
      <c r="A1394" t="s">
        <v>17</v>
      </c>
      <c r="B1394" t="str">
        <f>"603609"</f>
        <v>603609</v>
      </c>
      <c r="C1394" t="s">
        <v>3084</v>
      </c>
      <c r="D1394" t="s">
        <v>2886</v>
      </c>
      <c r="F1394">
        <v>29468925900</v>
      </c>
      <c r="G1394">
        <v>23817600766</v>
      </c>
      <c r="H1394">
        <v>17792091974</v>
      </c>
      <c r="I1394">
        <v>15750798121</v>
      </c>
      <c r="J1394">
        <v>13695843459</v>
      </c>
      <c r="K1394">
        <v>11870578122</v>
      </c>
      <c r="L1394">
        <v>9696306639</v>
      </c>
      <c r="M1394">
        <v>9139450171</v>
      </c>
      <c r="N1394">
        <v>8525459080</v>
      </c>
      <c r="O1394">
        <v>8138519510</v>
      </c>
      <c r="P1394">
        <v>507</v>
      </c>
      <c r="Q1394" t="s">
        <v>3085</v>
      </c>
    </row>
    <row r="1395" spans="1:17" x14ac:dyDescent="0.3">
      <c r="A1395" t="s">
        <v>17</v>
      </c>
      <c r="B1395" t="str">
        <f>"603610"</f>
        <v>603610</v>
      </c>
      <c r="C1395" t="s">
        <v>3086</v>
      </c>
      <c r="D1395" t="s">
        <v>757</v>
      </c>
      <c r="F1395">
        <v>2966828877</v>
      </c>
      <c r="G1395">
        <v>2259908657</v>
      </c>
      <c r="H1395">
        <v>2529260681</v>
      </c>
      <c r="I1395">
        <v>2391090963</v>
      </c>
      <c r="J1395">
        <v>1388477145</v>
      </c>
      <c r="K1395">
        <v>1265392619</v>
      </c>
      <c r="P1395">
        <v>230</v>
      </c>
      <c r="Q1395" t="s">
        <v>3087</v>
      </c>
    </row>
    <row r="1396" spans="1:17" x14ac:dyDescent="0.3">
      <c r="A1396" t="s">
        <v>17</v>
      </c>
      <c r="B1396" t="str">
        <f>"603611"</f>
        <v>603611</v>
      </c>
      <c r="C1396" t="s">
        <v>3088</v>
      </c>
      <c r="D1396" t="s">
        <v>83</v>
      </c>
      <c r="F1396">
        <v>5886978021</v>
      </c>
      <c r="G1396">
        <v>4077054877</v>
      </c>
      <c r="H1396">
        <v>3087252484</v>
      </c>
      <c r="I1396">
        <v>2552635045</v>
      </c>
      <c r="J1396">
        <v>2119601121</v>
      </c>
      <c r="K1396">
        <v>1309755568</v>
      </c>
      <c r="L1396">
        <v>1149089040</v>
      </c>
      <c r="M1396">
        <v>1205889476</v>
      </c>
      <c r="N1396">
        <v>1120990931</v>
      </c>
      <c r="O1396">
        <v>1208989841</v>
      </c>
      <c r="P1396">
        <v>315</v>
      </c>
      <c r="Q1396" t="s">
        <v>3089</v>
      </c>
    </row>
    <row r="1397" spans="1:17" x14ac:dyDescent="0.3">
      <c r="A1397" t="s">
        <v>17</v>
      </c>
      <c r="B1397" t="str">
        <f>"603612"</f>
        <v>603612</v>
      </c>
      <c r="C1397" t="s">
        <v>3090</v>
      </c>
      <c r="D1397" t="s">
        <v>2762</v>
      </c>
      <c r="F1397">
        <v>9457947449</v>
      </c>
      <c r="G1397">
        <v>5850837028</v>
      </c>
      <c r="H1397">
        <v>4371643483</v>
      </c>
      <c r="I1397">
        <v>3354029294</v>
      </c>
      <c r="J1397">
        <v>3281121771</v>
      </c>
      <c r="K1397">
        <v>1965456165</v>
      </c>
      <c r="L1397">
        <v>1727987461</v>
      </c>
      <c r="M1397">
        <v>1823689705</v>
      </c>
      <c r="P1397">
        <v>164</v>
      </c>
      <c r="Q1397" t="s">
        <v>3091</v>
      </c>
    </row>
    <row r="1398" spans="1:17" x14ac:dyDescent="0.3">
      <c r="A1398" t="s">
        <v>17</v>
      </c>
      <c r="B1398" t="str">
        <f>"603613"</f>
        <v>603613</v>
      </c>
      <c r="C1398" t="s">
        <v>3092</v>
      </c>
      <c r="D1398" t="s">
        <v>3093</v>
      </c>
      <c r="F1398">
        <v>37229790030</v>
      </c>
      <c r="G1398">
        <v>17157783238</v>
      </c>
      <c r="H1398">
        <v>7197680122</v>
      </c>
      <c r="I1398">
        <v>3673604797</v>
      </c>
      <c r="J1398">
        <v>1999773535</v>
      </c>
      <c r="K1398">
        <v>909427364</v>
      </c>
      <c r="P1398">
        <v>827</v>
      </c>
      <c r="Q1398" t="s">
        <v>3094</v>
      </c>
    </row>
    <row r="1399" spans="1:17" x14ac:dyDescent="0.3">
      <c r="A1399" t="s">
        <v>17</v>
      </c>
      <c r="B1399" t="str">
        <f>"603615"</f>
        <v>603615</v>
      </c>
      <c r="C1399" t="s">
        <v>3095</v>
      </c>
      <c r="D1399" t="s">
        <v>2445</v>
      </c>
      <c r="F1399">
        <v>798787755</v>
      </c>
      <c r="G1399">
        <v>689892417</v>
      </c>
      <c r="H1399">
        <v>786665001</v>
      </c>
      <c r="I1399">
        <v>762557407</v>
      </c>
      <c r="J1399">
        <v>720126315</v>
      </c>
      <c r="K1399">
        <v>670622530</v>
      </c>
      <c r="L1399">
        <v>680021045</v>
      </c>
      <c r="M1399">
        <v>622241464</v>
      </c>
      <c r="N1399">
        <v>612887912</v>
      </c>
      <c r="P1399">
        <v>107</v>
      </c>
      <c r="Q1399" t="s">
        <v>3096</v>
      </c>
    </row>
    <row r="1400" spans="1:17" x14ac:dyDescent="0.3">
      <c r="A1400" t="s">
        <v>17</v>
      </c>
      <c r="B1400" t="str">
        <f>"603616"</f>
        <v>603616</v>
      </c>
      <c r="C1400" t="s">
        <v>3097</v>
      </c>
      <c r="D1400" t="s">
        <v>3098</v>
      </c>
      <c r="F1400">
        <v>1517517971</v>
      </c>
      <c r="G1400">
        <v>976941574</v>
      </c>
      <c r="H1400">
        <v>977430418</v>
      </c>
      <c r="I1400">
        <v>1048597187</v>
      </c>
      <c r="J1400">
        <v>747360177</v>
      </c>
      <c r="K1400">
        <v>696161509</v>
      </c>
      <c r="L1400">
        <v>607229534</v>
      </c>
      <c r="M1400">
        <v>1240844151</v>
      </c>
      <c r="N1400">
        <v>889540343</v>
      </c>
      <c r="O1400">
        <v>469255007</v>
      </c>
      <c r="P1400">
        <v>71</v>
      </c>
      <c r="Q1400" t="s">
        <v>3099</v>
      </c>
    </row>
    <row r="1401" spans="1:17" x14ac:dyDescent="0.3">
      <c r="A1401" t="s">
        <v>17</v>
      </c>
      <c r="B1401" t="str">
        <f>"603617"</f>
        <v>603617</v>
      </c>
      <c r="C1401" t="s">
        <v>3100</v>
      </c>
      <c r="D1401" t="s">
        <v>560</v>
      </c>
      <c r="F1401">
        <v>975365390</v>
      </c>
      <c r="G1401">
        <v>738097199</v>
      </c>
      <c r="H1401">
        <v>672713236</v>
      </c>
      <c r="I1401">
        <v>637285435</v>
      </c>
      <c r="J1401">
        <v>578035941</v>
      </c>
      <c r="K1401">
        <v>492974259</v>
      </c>
      <c r="L1401">
        <v>435478679</v>
      </c>
      <c r="M1401">
        <v>432155182</v>
      </c>
      <c r="P1401">
        <v>104</v>
      </c>
      <c r="Q1401" t="s">
        <v>3101</v>
      </c>
    </row>
    <row r="1402" spans="1:17" x14ac:dyDescent="0.3">
      <c r="A1402" t="s">
        <v>17</v>
      </c>
      <c r="B1402" t="str">
        <f>"603618"</f>
        <v>603618</v>
      </c>
      <c r="C1402" t="s">
        <v>3102</v>
      </c>
      <c r="D1402" t="s">
        <v>1164</v>
      </c>
      <c r="F1402">
        <v>7442564211</v>
      </c>
      <c r="G1402">
        <v>5813677967</v>
      </c>
      <c r="H1402">
        <v>4909197834</v>
      </c>
      <c r="I1402">
        <v>4377309272</v>
      </c>
      <c r="J1402">
        <v>4160958410</v>
      </c>
      <c r="K1402">
        <v>3429389248</v>
      </c>
      <c r="L1402">
        <v>3114252014</v>
      </c>
      <c r="M1402">
        <v>2668069508</v>
      </c>
      <c r="N1402">
        <v>2407779037</v>
      </c>
      <c r="O1402">
        <v>2070460956</v>
      </c>
      <c r="P1402">
        <v>169</v>
      </c>
      <c r="Q1402" t="s">
        <v>3103</v>
      </c>
    </row>
    <row r="1403" spans="1:17" x14ac:dyDescent="0.3">
      <c r="A1403" t="s">
        <v>17</v>
      </c>
      <c r="B1403" t="str">
        <f>"603619"</f>
        <v>603619</v>
      </c>
      <c r="C1403" t="s">
        <v>3104</v>
      </c>
      <c r="D1403" t="s">
        <v>1762</v>
      </c>
      <c r="F1403">
        <v>1753808922</v>
      </c>
      <c r="G1403">
        <v>1584663894</v>
      </c>
      <c r="H1403">
        <v>2462904761</v>
      </c>
      <c r="I1403">
        <v>1389738514</v>
      </c>
      <c r="J1403">
        <v>1772378874</v>
      </c>
      <c r="K1403">
        <v>1595300564</v>
      </c>
      <c r="L1403">
        <v>1631909916</v>
      </c>
      <c r="M1403">
        <v>1314391867</v>
      </c>
      <c r="P1403">
        <v>73</v>
      </c>
      <c r="Q1403" t="s">
        <v>3105</v>
      </c>
    </row>
    <row r="1404" spans="1:17" x14ac:dyDescent="0.3">
      <c r="A1404" t="s">
        <v>17</v>
      </c>
      <c r="B1404" t="str">
        <f>"603626"</f>
        <v>603626</v>
      </c>
      <c r="C1404" t="s">
        <v>3106</v>
      </c>
      <c r="D1404" t="s">
        <v>313</v>
      </c>
      <c r="F1404">
        <v>4147039115</v>
      </c>
      <c r="G1404">
        <v>3467021450</v>
      </c>
      <c r="H1404">
        <v>2127271802</v>
      </c>
      <c r="I1404">
        <v>2408320132</v>
      </c>
      <c r="J1404">
        <v>2164957831</v>
      </c>
      <c r="K1404">
        <v>1302779284</v>
      </c>
      <c r="L1404">
        <v>1090312939</v>
      </c>
      <c r="M1404">
        <v>404730281</v>
      </c>
      <c r="N1404">
        <v>262351117</v>
      </c>
      <c r="P1404">
        <v>173</v>
      </c>
      <c r="Q1404" t="s">
        <v>3107</v>
      </c>
    </row>
    <row r="1405" spans="1:17" x14ac:dyDescent="0.3">
      <c r="A1405" t="s">
        <v>17</v>
      </c>
      <c r="B1405" t="str">
        <f>"603628"</f>
        <v>603628</v>
      </c>
      <c r="C1405" t="s">
        <v>3108</v>
      </c>
      <c r="D1405" t="s">
        <v>478</v>
      </c>
      <c r="F1405">
        <v>1017982061</v>
      </c>
      <c r="G1405">
        <v>900474452</v>
      </c>
      <c r="H1405">
        <v>1250053842</v>
      </c>
      <c r="I1405">
        <v>961392116</v>
      </c>
      <c r="J1405">
        <v>782643114</v>
      </c>
      <c r="K1405">
        <v>702895538</v>
      </c>
      <c r="L1405">
        <v>596729948</v>
      </c>
      <c r="M1405">
        <v>523638492</v>
      </c>
      <c r="N1405">
        <v>453840579</v>
      </c>
      <c r="P1405">
        <v>80</v>
      </c>
      <c r="Q1405" t="s">
        <v>3109</v>
      </c>
    </row>
    <row r="1406" spans="1:17" x14ac:dyDescent="0.3">
      <c r="A1406" t="s">
        <v>17</v>
      </c>
      <c r="B1406" t="str">
        <f>"603629"</f>
        <v>603629</v>
      </c>
      <c r="C1406" t="s">
        <v>3110</v>
      </c>
      <c r="D1406" t="s">
        <v>313</v>
      </c>
      <c r="F1406">
        <v>1804495655</v>
      </c>
      <c r="G1406">
        <v>1647616190</v>
      </c>
      <c r="H1406">
        <v>1620250982</v>
      </c>
      <c r="I1406">
        <v>1594594985</v>
      </c>
      <c r="J1406">
        <v>1669980941</v>
      </c>
      <c r="K1406">
        <v>1384063200</v>
      </c>
      <c r="L1406">
        <v>952009819</v>
      </c>
      <c r="P1406">
        <v>51</v>
      </c>
      <c r="Q1406" t="s">
        <v>3111</v>
      </c>
    </row>
    <row r="1407" spans="1:17" x14ac:dyDescent="0.3">
      <c r="A1407" t="s">
        <v>17</v>
      </c>
      <c r="B1407" t="str">
        <f>"603630"</f>
        <v>603630</v>
      </c>
      <c r="C1407" t="s">
        <v>3112</v>
      </c>
      <c r="D1407" t="s">
        <v>709</v>
      </c>
      <c r="F1407">
        <v>1101002906</v>
      </c>
      <c r="G1407">
        <v>983826313</v>
      </c>
      <c r="H1407">
        <v>964849668</v>
      </c>
      <c r="I1407">
        <v>964139444</v>
      </c>
      <c r="J1407">
        <v>981121198</v>
      </c>
      <c r="K1407">
        <v>1048975905</v>
      </c>
      <c r="L1407">
        <v>984687638</v>
      </c>
      <c r="M1407">
        <v>933495573</v>
      </c>
      <c r="P1407">
        <v>148</v>
      </c>
      <c r="Q1407" t="s">
        <v>3113</v>
      </c>
    </row>
    <row r="1408" spans="1:17" x14ac:dyDescent="0.3">
      <c r="A1408" t="s">
        <v>17</v>
      </c>
      <c r="B1408" t="str">
        <f>"603633"</f>
        <v>603633</v>
      </c>
      <c r="C1408" t="s">
        <v>3114</v>
      </c>
      <c r="D1408" t="s">
        <v>313</v>
      </c>
      <c r="F1408">
        <v>685544158</v>
      </c>
      <c r="G1408">
        <v>529450283</v>
      </c>
      <c r="H1408">
        <v>465004695</v>
      </c>
      <c r="I1408">
        <v>434356092</v>
      </c>
      <c r="J1408">
        <v>374126729</v>
      </c>
      <c r="K1408">
        <v>340197303</v>
      </c>
      <c r="L1408">
        <v>315439189</v>
      </c>
      <c r="M1408">
        <v>328809487</v>
      </c>
      <c r="N1408">
        <v>309469838</v>
      </c>
      <c r="P1408">
        <v>90</v>
      </c>
      <c r="Q1408" t="s">
        <v>3115</v>
      </c>
    </row>
    <row r="1409" spans="1:17" x14ac:dyDescent="0.3">
      <c r="A1409" t="s">
        <v>17</v>
      </c>
      <c r="B1409" t="str">
        <f>"603636"</f>
        <v>603636</v>
      </c>
      <c r="C1409" t="s">
        <v>3116</v>
      </c>
      <c r="D1409" t="s">
        <v>316</v>
      </c>
      <c r="F1409">
        <v>1716333455</v>
      </c>
      <c r="G1409">
        <v>1539150370</v>
      </c>
      <c r="H1409">
        <v>1379258881</v>
      </c>
      <c r="I1409">
        <v>979043905</v>
      </c>
      <c r="J1409">
        <v>807313136</v>
      </c>
      <c r="K1409">
        <v>468074427</v>
      </c>
      <c r="L1409">
        <v>342493302</v>
      </c>
      <c r="M1409">
        <v>323315557</v>
      </c>
      <c r="N1409">
        <v>280587601</v>
      </c>
      <c r="O1409">
        <v>241833325</v>
      </c>
      <c r="P1409">
        <v>202</v>
      </c>
      <c r="Q1409" t="s">
        <v>3117</v>
      </c>
    </row>
    <row r="1410" spans="1:17" x14ac:dyDescent="0.3">
      <c r="A1410" t="s">
        <v>17</v>
      </c>
      <c r="B1410" t="str">
        <f>"603637"</f>
        <v>603637</v>
      </c>
      <c r="C1410" t="s">
        <v>3118</v>
      </c>
      <c r="D1410" t="s">
        <v>2025</v>
      </c>
      <c r="F1410">
        <v>1100056235</v>
      </c>
      <c r="G1410">
        <v>1096207910</v>
      </c>
      <c r="H1410">
        <v>1033013800</v>
      </c>
      <c r="I1410">
        <v>633906500</v>
      </c>
      <c r="J1410">
        <v>292375844</v>
      </c>
      <c r="K1410">
        <v>304657461</v>
      </c>
      <c r="L1410">
        <v>554703911</v>
      </c>
      <c r="M1410">
        <v>256738468</v>
      </c>
      <c r="N1410">
        <v>223845850</v>
      </c>
      <c r="P1410">
        <v>70</v>
      </c>
      <c r="Q1410" t="s">
        <v>3119</v>
      </c>
    </row>
    <row r="1411" spans="1:17" x14ac:dyDescent="0.3">
      <c r="A1411" t="s">
        <v>17</v>
      </c>
      <c r="B1411" t="str">
        <f>"603638"</f>
        <v>603638</v>
      </c>
      <c r="C1411" t="s">
        <v>3120</v>
      </c>
      <c r="D1411" t="s">
        <v>2007</v>
      </c>
      <c r="F1411">
        <v>2683957096</v>
      </c>
      <c r="G1411">
        <v>2255624478</v>
      </c>
      <c r="H1411">
        <v>1442445006</v>
      </c>
      <c r="I1411">
        <v>1020652943</v>
      </c>
      <c r="J1411">
        <v>641329293</v>
      </c>
      <c r="K1411">
        <v>400060860</v>
      </c>
      <c r="L1411">
        <v>316610239</v>
      </c>
      <c r="M1411">
        <v>308567065</v>
      </c>
      <c r="N1411">
        <v>290741250</v>
      </c>
      <c r="P1411">
        <v>665</v>
      </c>
      <c r="Q1411" t="s">
        <v>3121</v>
      </c>
    </row>
    <row r="1412" spans="1:17" x14ac:dyDescent="0.3">
      <c r="A1412" t="s">
        <v>17</v>
      </c>
      <c r="B1412" t="str">
        <f>"603639"</f>
        <v>603639</v>
      </c>
      <c r="C1412" t="s">
        <v>3122</v>
      </c>
      <c r="D1412" t="s">
        <v>853</v>
      </c>
      <c r="F1412">
        <v>3698878564</v>
      </c>
      <c r="G1412">
        <v>3227189877</v>
      </c>
      <c r="H1412">
        <v>2466784002</v>
      </c>
      <c r="I1412">
        <v>2191465178</v>
      </c>
      <c r="J1412">
        <v>1589421938</v>
      </c>
      <c r="K1412">
        <v>1025552513</v>
      </c>
      <c r="L1412">
        <v>1016310434</v>
      </c>
      <c r="M1412">
        <v>914420939</v>
      </c>
      <c r="N1412">
        <v>873908373</v>
      </c>
      <c r="P1412">
        <v>1562</v>
      </c>
      <c r="Q1412" t="s">
        <v>3123</v>
      </c>
    </row>
    <row r="1413" spans="1:17" x14ac:dyDescent="0.3">
      <c r="A1413" t="s">
        <v>17</v>
      </c>
      <c r="B1413" t="str">
        <f>"603648"</f>
        <v>603648</v>
      </c>
      <c r="C1413" t="s">
        <v>3124</v>
      </c>
      <c r="D1413" t="s">
        <v>3125</v>
      </c>
      <c r="F1413">
        <v>1592954569</v>
      </c>
      <c r="G1413">
        <v>1516830485</v>
      </c>
      <c r="H1413">
        <v>1295315708</v>
      </c>
      <c r="I1413">
        <v>1233237640</v>
      </c>
      <c r="J1413">
        <v>1150704483</v>
      </c>
      <c r="K1413">
        <v>1168295736</v>
      </c>
      <c r="L1413">
        <v>1201847465</v>
      </c>
      <c r="M1413">
        <v>1054547970</v>
      </c>
      <c r="P1413">
        <v>72</v>
      </c>
      <c r="Q1413" t="s">
        <v>3126</v>
      </c>
    </row>
    <row r="1414" spans="1:17" x14ac:dyDescent="0.3">
      <c r="A1414" t="s">
        <v>17</v>
      </c>
      <c r="B1414" t="str">
        <f>"603650"</f>
        <v>603650</v>
      </c>
      <c r="C1414" t="s">
        <v>3127</v>
      </c>
      <c r="D1414" t="s">
        <v>3128</v>
      </c>
      <c r="F1414">
        <v>2308359691</v>
      </c>
      <c r="G1414">
        <v>2045887061</v>
      </c>
      <c r="H1414">
        <v>2207997729</v>
      </c>
      <c r="I1414">
        <v>2174875188</v>
      </c>
      <c r="J1414">
        <v>1900942361</v>
      </c>
      <c r="K1414">
        <v>1732676472</v>
      </c>
      <c r="L1414">
        <v>1560178493</v>
      </c>
      <c r="P1414">
        <v>258</v>
      </c>
      <c r="Q1414" t="s">
        <v>3129</v>
      </c>
    </row>
    <row r="1415" spans="1:17" x14ac:dyDescent="0.3">
      <c r="A1415" t="s">
        <v>17</v>
      </c>
      <c r="B1415" t="str">
        <f>"603655"</f>
        <v>603655</v>
      </c>
      <c r="C1415" t="s">
        <v>3130</v>
      </c>
      <c r="D1415" t="s">
        <v>985</v>
      </c>
      <c r="F1415">
        <v>193212273</v>
      </c>
      <c r="G1415">
        <v>168689410</v>
      </c>
      <c r="H1415">
        <v>159977931</v>
      </c>
      <c r="I1415">
        <v>174312411</v>
      </c>
      <c r="J1415">
        <v>187470775</v>
      </c>
      <c r="K1415">
        <v>156339837</v>
      </c>
      <c r="L1415">
        <v>142340289</v>
      </c>
      <c r="M1415">
        <v>133695670</v>
      </c>
      <c r="P1415">
        <v>88</v>
      </c>
      <c r="Q1415" t="s">
        <v>3131</v>
      </c>
    </row>
    <row r="1416" spans="1:17" x14ac:dyDescent="0.3">
      <c r="A1416" t="s">
        <v>17</v>
      </c>
      <c r="B1416" t="str">
        <f>"603656"</f>
        <v>603656</v>
      </c>
      <c r="C1416" t="s">
        <v>3132</v>
      </c>
      <c r="D1416" t="s">
        <v>741</v>
      </c>
      <c r="F1416">
        <v>518571777</v>
      </c>
      <c r="G1416">
        <v>474759160</v>
      </c>
      <c r="H1416">
        <v>385162338</v>
      </c>
      <c r="I1416">
        <v>407347725</v>
      </c>
      <c r="J1416">
        <v>385149471</v>
      </c>
      <c r="K1416">
        <v>370656298</v>
      </c>
      <c r="L1416">
        <v>310131074</v>
      </c>
      <c r="M1416">
        <v>273029734</v>
      </c>
      <c r="N1416">
        <v>210141886</v>
      </c>
      <c r="P1416">
        <v>80</v>
      </c>
      <c r="Q1416" t="s">
        <v>3133</v>
      </c>
    </row>
    <row r="1417" spans="1:17" x14ac:dyDescent="0.3">
      <c r="A1417" t="s">
        <v>17</v>
      </c>
      <c r="B1417" t="str">
        <f>"603657"</f>
        <v>603657</v>
      </c>
      <c r="C1417" t="s">
        <v>3134</v>
      </c>
      <c r="D1417" t="s">
        <v>1253</v>
      </c>
      <c r="F1417">
        <v>1294565058</v>
      </c>
      <c r="G1417">
        <v>854002048</v>
      </c>
      <c r="H1417">
        <v>562866268</v>
      </c>
      <c r="I1417">
        <v>507084394</v>
      </c>
      <c r="J1417">
        <v>456558352</v>
      </c>
      <c r="K1417">
        <v>369240139</v>
      </c>
      <c r="L1417">
        <v>390493136</v>
      </c>
      <c r="P1417">
        <v>152</v>
      </c>
      <c r="Q1417" t="s">
        <v>3135</v>
      </c>
    </row>
    <row r="1418" spans="1:17" x14ac:dyDescent="0.3">
      <c r="A1418" t="s">
        <v>17</v>
      </c>
      <c r="B1418" t="str">
        <f>"603658"</f>
        <v>603658</v>
      </c>
      <c r="C1418" t="s">
        <v>3136</v>
      </c>
      <c r="D1418" t="s">
        <v>1305</v>
      </c>
      <c r="F1418">
        <v>3765916989</v>
      </c>
      <c r="G1418">
        <v>2978131605</v>
      </c>
      <c r="H1418">
        <v>2679435637</v>
      </c>
      <c r="I1418">
        <v>1929676027</v>
      </c>
      <c r="J1418">
        <v>1400142047</v>
      </c>
      <c r="K1418">
        <v>980222975</v>
      </c>
      <c r="L1418">
        <v>716488577</v>
      </c>
      <c r="M1418">
        <v>563295573</v>
      </c>
      <c r="N1418">
        <v>409364583</v>
      </c>
      <c r="P1418">
        <v>2606</v>
      </c>
      <c r="Q1418" t="s">
        <v>3137</v>
      </c>
    </row>
    <row r="1419" spans="1:17" x14ac:dyDescent="0.3">
      <c r="A1419" t="s">
        <v>17</v>
      </c>
      <c r="B1419" t="str">
        <f>"603659"</f>
        <v>603659</v>
      </c>
      <c r="C1419" t="s">
        <v>3138</v>
      </c>
      <c r="D1419" t="s">
        <v>1790</v>
      </c>
      <c r="F1419">
        <v>8995894111</v>
      </c>
      <c r="G1419">
        <v>5280674059</v>
      </c>
      <c r="H1419">
        <v>4798526031</v>
      </c>
      <c r="I1419">
        <v>3311025339</v>
      </c>
      <c r="J1419">
        <v>2249358777</v>
      </c>
      <c r="K1419">
        <v>1677319916</v>
      </c>
      <c r="L1419">
        <v>922751462</v>
      </c>
      <c r="M1419">
        <v>503508797</v>
      </c>
      <c r="P1419">
        <v>1047</v>
      </c>
      <c r="Q1419" t="s">
        <v>3139</v>
      </c>
    </row>
    <row r="1420" spans="1:17" x14ac:dyDescent="0.3">
      <c r="A1420" t="s">
        <v>17</v>
      </c>
      <c r="B1420" t="str">
        <f>"603660"</f>
        <v>603660</v>
      </c>
      <c r="C1420" t="s">
        <v>3140</v>
      </c>
      <c r="D1420" t="s">
        <v>236</v>
      </c>
      <c r="F1420">
        <v>2613382739</v>
      </c>
      <c r="G1420">
        <v>2353776496</v>
      </c>
      <c r="H1420">
        <v>2546505667</v>
      </c>
      <c r="I1420">
        <v>2453638455</v>
      </c>
      <c r="J1420">
        <v>1825436497</v>
      </c>
      <c r="K1420">
        <v>1448575883</v>
      </c>
      <c r="L1420">
        <v>1221877881</v>
      </c>
      <c r="M1420">
        <v>979377390</v>
      </c>
      <c r="N1420">
        <v>889757323</v>
      </c>
      <c r="P1420">
        <v>291</v>
      </c>
      <c r="Q1420" t="s">
        <v>3141</v>
      </c>
    </row>
    <row r="1421" spans="1:17" x14ac:dyDescent="0.3">
      <c r="A1421" t="s">
        <v>17</v>
      </c>
      <c r="B1421" t="str">
        <f>"603661"</f>
        <v>603661</v>
      </c>
      <c r="C1421" t="s">
        <v>3142</v>
      </c>
      <c r="D1421" t="s">
        <v>757</v>
      </c>
      <c r="F1421">
        <v>5777795371</v>
      </c>
      <c r="G1421">
        <v>4743093735</v>
      </c>
      <c r="H1421">
        <v>2903737031</v>
      </c>
      <c r="I1421">
        <v>2317811065</v>
      </c>
      <c r="J1421">
        <v>1895893756</v>
      </c>
      <c r="K1421">
        <v>1723029881</v>
      </c>
      <c r="L1421">
        <v>1530166999</v>
      </c>
      <c r="M1421">
        <v>1397984281</v>
      </c>
      <c r="P1421">
        <v>148</v>
      </c>
      <c r="Q1421" t="s">
        <v>3143</v>
      </c>
    </row>
    <row r="1422" spans="1:17" x14ac:dyDescent="0.3">
      <c r="A1422" t="s">
        <v>17</v>
      </c>
      <c r="B1422" t="str">
        <f>"603662"</f>
        <v>603662</v>
      </c>
      <c r="C1422" t="s">
        <v>3144</v>
      </c>
      <c r="D1422" t="s">
        <v>2566</v>
      </c>
      <c r="F1422">
        <v>1031129788</v>
      </c>
      <c r="G1422">
        <v>835357792</v>
      </c>
      <c r="H1422">
        <v>740456072</v>
      </c>
      <c r="I1422">
        <v>709417665</v>
      </c>
      <c r="J1422">
        <v>627946978</v>
      </c>
      <c r="K1422">
        <v>575577761</v>
      </c>
      <c r="P1422">
        <v>125</v>
      </c>
      <c r="Q1422" t="s">
        <v>3145</v>
      </c>
    </row>
    <row r="1423" spans="1:17" x14ac:dyDescent="0.3">
      <c r="A1423" t="s">
        <v>17</v>
      </c>
      <c r="B1423" t="str">
        <f>"603663"</f>
        <v>603663</v>
      </c>
      <c r="C1423" t="s">
        <v>3146</v>
      </c>
      <c r="D1423" t="s">
        <v>736</v>
      </c>
      <c r="F1423">
        <v>789206904</v>
      </c>
      <c r="G1423">
        <v>733112876</v>
      </c>
      <c r="H1423">
        <v>761083725</v>
      </c>
      <c r="I1423">
        <v>598534286</v>
      </c>
      <c r="J1423">
        <v>407846075</v>
      </c>
      <c r="K1423">
        <v>277670390</v>
      </c>
      <c r="L1423">
        <v>277271952</v>
      </c>
      <c r="M1423">
        <v>308183813</v>
      </c>
      <c r="N1423">
        <v>323291771</v>
      </c>
      <c r="P1423">
        <v>143</v>
      </c>
      <c r="Q1423" t="s">
        <v>3147</v>
      </c>
    </row>
    <row r="1424" spans="1:17" x14ac:dyDescent="0.3">
      <c r="A1424" t="s">
        <v>17</v>
      </c>
      <c r="B1424" t="str">
        <f>"603665"</f>
        <v>603665</v>
      </c>
      <c r="C1424" t="s">
        <v>3148</v>
      </c>
      <c r="D1424" t="s">
        <v>330</v>
      </c>
      <c r="F1424">
        <v>1052594414</v>
      </c>
      <c r="G1424">
        <v>1073560266</v>
      </c>
      <c r="H1424">
        <v>986827445</v>
      </c>
      <c r="I1424">
        <v>905396187</v>
      </c>
      <c r="J1424">
        <v>767266907</v>
      </c>
      <c r="K1424">
        <v>716082558</v>
      </c>
      <c r="L1424">
        <v>613446847</v>
      </c>
      <c r="M1424">
        <v>631403372</v>
      </c>
      <c r="P1424">
        <v>89</v>
      </c>
      <c r="Q1424" t="s">
        <v>3149</v>
      </c>
    </row>
    <row r="1425" spans="1:17" x14ac:dyDescent="0.3">
      <c r="A1425" t="s">
        <v>17</v>
      </c>
      <c r="B1425" t="str">
        <f>"603666"</f>
        <v>603666</v>
      </c>
      <c r="C1425" t="s">
        <v>3150</v>
      </c>
      <c r="D1425" t="s">
        <v>2938</v>
      </c>
      <c r="F1425">
        <v>1284934150</v>
      </c>
      <c r="G1425">
        <v>1005607703</v>
      </c>
      <c r="H1425">
        <v>723745739</v>
      </c>
      <c r="I1425">
        <v>505108743</v>
      </c>
      <c r="J1425">
        <v>373880195</v>
      </c>
      <c r="K1425">
        <v>261998487</v>
      </c>
      <c r="L1425">
        <v>190151055</v>
      </c>
      <c r="P1425">
        <v>451</v>
      </c>
      <c r="Q1425" t="s">
        <v>3151</v>
      </c>
    </row>
    <row r="1426" spans="1:17" x14ac:dyDescent="0.3">
      <c r="A1426" t="s">
        <v>17</v>
      </c>
      <c r="B1426" t="str">
        <f>"603667"</f>
        <v>603667</v>
      </c>
      <c r="C1426" t="s">
        <v>3152</v>
      </c>
      <c r="D1426" t="s">
        <v>274</v>
      </c>
      <c r="F1426">
        <v>2423179371</v>
      </c>
      <c r="G1426">
        <v>1753991020</v>
      </c>
      <c r="H1426">
        <v>1817599402</v>
      </c>
      <c r="I1426">
        <v>1373586161</v>
      </c>
      <c r="J1426">
        <v>1145821600</v>
      </c>
      <c r="K1426">
        <v>1073335358</v>
      </c>
      <c r="L1426">
        <v>939741248</v>
      </c>
      <c r="M1426">
        <v>923175640</v>
      </c>
      <c r="N1426">
        <v>854659654</v>
      </c>
      <c r="P1426">
        <v>115</v>
      </c>
      <c r="Q1426" t="s">
        <v>3153</v>
      </c>
    </row>
    <row r="1427" spans="1:17" x14ac:dyDescent="0.3">
      <c r="A1427" t="s">
        <v>17</v>
      </c>
      <c r="B1427" t="str">
        <f>"603668"</f>
        <v>603668</v>
      </c>
      <c r="C1427" t="s">
        <v>3154</v>
      </c>
      <c r="D1427" t="s">
        <v>3155</v>
      </c>
      <c r="F1427">
        <v>5419021956</v>
      </c>
      <c r="G1427">
        <v>3639957005</v>
      </c>
      <c r="H1427">
        <v>2428383825</v>
      </c>
      <c r="I1427">
        <v>1506181113</v>
      </c>
      <c r="J1427">
        <v>1136350115</v>
      </c>
      <c r="K1427">
        <v>843663374</v>
      </c>
      <c r="L1427">
        <v>808604845</v>
      </c>
      <c r="M1427">
        <v>699395484</v>
      </c>
      <c r="N1427">
        <v>550626693</v>
      </c>
      <c r="P1427">
        <v>126</v>
      </c>
      <c r="Q1427" t="s">
        <v>3156</v>
      </c>
    </row>
    <row r="1428" spans="1:17" x14ac:dyDescent="0.3">
      <c r="A1428" t="s">
        <v>17</v>
      </c>
      <c r="B1428" t="str">
        <f>"603669"</f>
        <v>603669</v>
      </c>
      <c r="C1428" t="s">
        <v>3157</v>
      </c>
      <c r="D1428" t="s">
        <v>143</v>
      </c>
      <c r="F1428">
        <v>740327524</v>
      </c>
      <c r="G1428">
        <v>1001002363</v>
      </c>
      <c r="H1428">
        <v>1635000378</v>
      </c>
      <c r="I1428">
        <v>1669431335</v>
      </c>
      <c r="J1428">
        <v>1005079966</v>
      </c>
      <c r="K1428">
        <v>478588633</v>
      </c>
      <c r="L1428">
        <v>550644864</v>
      </c>
      <c r="M1428">
        <v>576402063</v>
      </c>
      <c r="N1428">
        <v>494245766</v>
      </c>
      <c r="O1428">
        <v>468279841</v>
      </c>
      <c r="P1428">
        <v>194</v>
      </c>
      <c r="Q1428" t="s">
        <v>3158</v>
      </c>
    </row>
    <row r="1429" spans="1:17" x14ac:dyDescent="0.3">
      <c r="A1429" t="s">
        <v>17</v>
      </c>
      <c r="B1429" t="str">
        <f>"603676"</f>
        <v>603676</v>
      </c>
      <c r="C1429" t="s">
        <v>3159</v>
      </c>
      <c r="D1429" t="s">
        <v>143</v>
      </c>
      <c r="F1429">
        <v>1033622525</v>
      </c>
      <c r="G1429">
        <v>715666808</v>
      </c>
      <c r="H1429">
        <v>740963155</v>
      </c>
      <c r="I1429">
        <v>746324815</v>
      </c>
      <c r="J1429">
        <v>420381506</v>
      </c>
      <c r="K1429">
        <v>426360895</v>
      </c>
      <c r="L1429">
        <v>440233688</v>
      </c>
      <c r="M1429">
        <v>390794633</v>
      </c>
      <c r="P1429">
        <v>107</v>
      </c>
      <c r="Q1429" t="s">
        <v>3160</v>
      </c>
    </row>
    <row r="1430" spans="1:17" x14ac:dyDescent="0.3">
      <c r="A1430" t="s">
        <v>17</v>
      </c>
      <c r="B1430" t="str">
        <f>"603677"</f>
        <v>603677</v>
      </c>
      <c r="C1430" t="s">
        <v>3161</v>
      </c>
      <c r="D1430" t="s">
        <v>1253</v>
      </c>
      <c r="F1430">
        <v>2005264572</v>
      </c>
      <c r="G1430">
        <v>1559374078</v>
      </c>
      <c r="H1430">
        <v>1666390456</v>
      </c>
      <c r="I1430">
        <v>1381296711</v>
      </c>
      <c r="J1430">
        <v>1292260482</v>
      </c>
      <c r="K1430">
        <v>1117591685</v>
      </c>
      <c r="L1430">
        <v>1260207500</v>
      </c>
      <c r="M1430">
        <v>1218734387</v>
      </c>
      <c r="N1430">
        <v>1252159611</v>
      </c>
      <c r="P1430">
        <v>124</v>
      </c>
      <c r="Q1430" t="s">
        <v>3162</v>
      </c>
    </row>
    <row r="1431" spans="1:17" x14ac:dyDescent="0.3">
      <c r="A1431" t="s">
        <v>17</v>
      </c>
      <c r="B1431" t="str">
        <f>"603678"</f>
        <v>603678</v>
      </c>
      <c r="C1431" t="s">
        <v>3163</v>
      </c>
      <c r="D1431" t="s">
        <v>1136</v>
      </c>
      <c r="F1431">
        <v>4734159809</v>
      </c>
      <c r="G1431">
        <v>3656246816</v>
      </c>
      <c r="H1431">
        <v>2569393413</v>
      </c>
      <c r="I1431">
        <v>2024346911</v>
      </c>
      <c r="J1431">
        <v>1888132952</v>
      </c>
      <c r="K1431">
        <v>1502517830</v>
      </c>
      <c r="L1431">
        <v>1084322253</v>
      </c>
      <c r="M1431">
        <v>890935413</v>
      </c>
      <c r="N1431">
        <v>804436378</v>
      </c>
      <c r="O1431">
        <v>709575862</v>
      </c>
      <c r="P1431">
        <v>639</v>
      </c>
      <c r="Q1431" t="s">
        <v>3164</v>
      </c>
    </row>
    <row r="1432" spans="1:17" x14ac:dyDescent="0.3">
      <c r="A1432" t="s">
        <v>17</v>
      </c>
      <c r="B1432" t="str">
        <f>"603679"</f>
        <v>603679</v>
      </c>
      <c r="C1432" t="s">
        <v>3165</v>
      </c>
      <c r="D1432" t="s">
        <v>803</v>
      </c>
      <c r="F1432">
        <v>590076276</v>
      </c>
      <c r="G1432">
        <v>702362858</v>
      </c>
      <c r="H1432">
        <v>711861582</v>
      </c>
      <c r="I1432">
        <v>526490809</v>
      </c>
      <c r="J1432">
        <v>480274499</v>
      </c>
      <c r="K1432">
        <v>408055439</v>
      </c>
      <c r="L1432">
        <v>370887382</v>
      </c>
      <c r="M1432">
        <v>360717868</v>
      </c>
      <c r="P1432">
        <v>164</v>
      </c>
      <c r="Q1432" t="s">
        <v>3166</v>
      </c>
    </row>
    <row r="1433" spans="1:17" x14ac:dyDescent="0.3">
      <c r="A1433" t="s">
        <v>17</v>
      </c>
      <c r="B1433" t="str">
        <f>"603680"</f>
        <v>603680</v>
      </c>
      <c r="C1433" t="s">
        <v>3167</v>
      </c>
      <c r="D1433" t="s">
        <v>1012</v>
      </c>
      <c r="F1433">
        <v>3794309572</v>
      </c>
      <c r="G1433">
        <v>3877594184</v>
      </c>
      <c r="H1433">
        <v>3752829082</v>
      </c>
      <c r="I1433">
        <v>3228216729</v>
      </c>
      <c r="J1433">
        <v>2931925104</v>
      </c>
      <c r="K1433">
        <v>2571516982</v>
      </c>
      <c r="L1433">
        <v>2473482157</v>
      </c>
      <c r="M1433">
        <v>2020055813</v>
      </c>
      <c r="P1433">
        <v>81</v>
      </c>
      <c r="Q1433" t="s">
        <v>3168</v>
      </c>
    </row>
    <row r="1434" spans="1:17" x14ac:dyDescent="0.3">
      <c r="A1434" t="s">
        <v>17</v>
      </c>
      <c r="B1434" t="str">
        <f>"603681"</f>
        <v>603681</v>
      </c>
      <c r="C1434" t="s">
        <v>3169</v>
      </c>
      <c r="D1434" t="s">
        <v>3170</v>
      </c>
      <c r="F1434">
        <v>3840048137</v>
      </c>
      <c r="G1434">
        <v>2414078217</v>
      </c>
      <c r="H1434">
        <v>2144257350</v>
      </c>
      <c r="I1434">
        <v>1701050527</v>
      </c>
      <c r="J1434">
        <v>1410193948</v>
      </c>
      <c r="K1434">
        <v>992775724</v>
      </c>
      <c r="L1434">
        <v>700024673</v>
      </c>
      <c r="P1434">
        <v>113</v>
      </c>
      <c r="Q1434" t="s">
        <v>3171</v>
      </c>
    </row>
    <row r="1435" spans="1:17" x14ac:dyDescent="0.3">
      <c r="A1435" t="s">
        <v>17</v>
      </c>
      <c r="B1435" t="str">
        <f>"603682"</f>
        <v>603682</v>
      </c>
      <c r="C1435" t="s">
        <v>3172</v>
      </c>
      <c r="D1435" t="s">
        <v>271</v>
      </c>
      <c r="F1435">
        <v>908759535</v>
      </c>
      <c r="G1435">
        <v>739262605</v>
      </c>
      <c r="H1435">
        <v>821960790</v>
      </c>
      <c r="I1435">
        <v>799935886</v>
      </c>
      <c r="J1435">
        <v>644280317</v>
      </c>
      <c r="K1435">
        <v>530453082</v>
      </c>
      <c r="P1435">
        <v>156</v>
      </c>
      <c r="Q1435" t="s">
        <v>3173</v>
      </c>
    </row>
    <row r="1436" spans="1:17" x14ac:dyDescent="0.3">
      <c r="A1436" t="s">
        <v>17</v>
      </c>
      <c r="B1436" t="str">
        <f>"603683"</f>
        <v>603683</v>
      </c>
      <c r="C1436" t="s">
        <v>3174</v>
      </c>
      <c r="D1436" t="s">
        <v>3170</v>
      </c>
      <c r="F1436">
        <v>1394717049</v>
      </c>
      <c r="G1436">
        <v>1038740714</v>
      </c>
      <c r="H1436">
        <v>931387074</v>
      </c>
      <c r="I1436">
        <v>880894052</v>
      </c>
      <c r="J1436">
        <v>727532241</v>
      </c>
      <c r="K1436">
        <v>656724857</v>
      </c>
      <c r="L1436">
        <v>610196564</v>
      </c>
      <c r="M1436">
        <v>688883513</v>
      </c>
      <c r="P1436">
        <v>58</v>
      </c>
      <c r="Q1436" t="s">
        <v>3175</v>
      </c>
    </row>
    <row r="1437" spans="1:17" x14ac:dyDescent="0.3">
      <c r="A1437" t="s">
        <v>17</v>
      </c>
      <c r="B1437" t="str">
        <f>"603685"</f>
        <v>603685</v>
      </c>
      <c r="C1437" t="s">
        <v>3176</v>
      </c>
      <c r="D1437" t="s">
        <v>803</v>
      </c>
      <c r="F1437">
        <v>1548141993</v>
      </c>
      <c r="G1437">
        <v>1172811372</v>
      </c>
      <c r="H1437">
        <v>1116995893</v>
      </c>
      <c r="I1437">
        <v>877074387</v>
      </c>
      <c r="J1437">
        <v>776798535</v>
      </c>
      <c r="K1437">
        <v>581507438</v>
      </c>
      <c r="L1437">
        <v>462002266</v>
      </c>
      <c r="M1437">
        <v>302411850</v>
      </c>
      <c r="P1437">
        <v>102</v>
      </c>
      <c r="Q1437" t="s">
        <v>3177</v>
      </c>
    </row>
    <row r="1438" spans="1:17" x14ac:dyDescent="0.3">
      <c r="A1438" t="s">
        <v>17</v>
      </c>
      <c r="B1438" t="str">
        <f>"603686"</f>
        <v>603686</v>
      </c>
      <c r="C1438" t="s">
        <v>3178</v>
      </c>
      <c r="D1438" t="s">
        <v>1070</v>
      </c>
      <c r="F1438">
        <v>5701942371</v>
      </c>
      <c r="G1438">
        <v>5443356243</v>
      </c>
      <c r="H1438">
        <v>4227925740</v>
      </c>
      <c r="I1438">
        <v>3443580174</v>
      </c>
      <c r="J1438">
        <v>3084834420</v>
      </c>
      <c r="K1438">
        <v>2218273287</v>
      </c>
      <c r="L1438">
        <v>1531999897</v>
      </c>
      <c r="M1438">
        <v>1181939489</v>
      </c>
      <c r="N1438">
        <v>879614446</v>
      </c>
      <c r="O1438">
        <v>716799289</v>
      </c>
      <c r="P1438">
        <v>760</v>
      </c>
      <c r="Q1438" t="s">
        <v>3179</v>
      </c>
    </row>
    <row r="1439" spans="1:17" x14ac:dyDescent="0.3">
      <c r="A1439" t="s">
        <v>17</v>
      </c>
      <c r="B1439" t="str">
        <f>"603687"</f>
        <v>603687</v>
      </c>
      <c r="C1439" t="s">
        <v>3180</v>
      </c>
      <c r="D1439" t="s">
        <v>2165</v>
      </c>
      <c r="F1439">
        <v>1664395971</v>
      </c>
      <c r="G1439">
        <v>1350979472</v>
      </c>
      <c r="H1439">
        <v>1266362024</v>
      </c>
      <c r="I1439">
        <v>1285380508</v>
      </c>
      <c r="J1439">
        <v>1209947066</v>
      </c>
      <c r="K1439">
        <v>1084079656</v>
      </c>
      <c r="P1439">
        <v>92</v>
      </c>
      <c r="Q1439" t="s">
        <v>3181</v>
      </c>
    </row>
    <row r="1440" spans="1:17" x14ac:dyDescent="0.3">
      <c r="A1440" t="s">
        <v>17</v>
      </c>
      <c r="B1440" t="str">
        <f>"603688"</f>
        <v>603688</v>
      </c>
      <c r="C1440" t="s">
        <v>3182</v>
      </c>
      <c r="D1440" t="s">
        <v>2762</v>
      </c>
      <c r="F1440">
        <v>960680919</v>
      </c>
      <c r="G1440">
        <v>645566605</v>
      </c>
      <c r="H1440">
        <v>622338046</v>
      </c>
      <c r="I1440">
        <v>633297424</v>
      </c>
      <c r="J1440">
        <v>563121082</v>
      </c>
      <c r="K1440">
        <v>446585427</v>
      </c>
      <c r="L1440">
        <v>408750287</v>
      </c>
      <c r="M1440">
        <v>355675712</v>
      </c>
      <c r="N1440">
        <v>339019748</v>
      </c>
      <c r="O1440">
        <v>320426597</v>
      </c>
      <c r="P1440">
        <v>219</v>
      </c>
      <c r="Q1440" t="s">
        <v>3183</v>
      </c>
    </row>
    <row r="1441" spans="1:17" x14ac:dyDescent="0.3">
      <c r="A1441" t="s">
        <v>17</v>
      </c>
      <c r="B1441" t="str">
        <f>"603689"</f>
        <v>603689</v>
      </c>
      <c r="C1441" t="s">
        <v>3184</v>
      </c>
      <c r="D1441" t="s">
        <v>749</v>
      </c>
      <c r="F1441">
        <v>4936671787</v>
      </c>
      <c r="G1441">
        <v>4763596975</v>
      </c>
      <c r="H1441">
        <v>4171197902</v>
      </c>
      <c r="I1441">
        <v>3240975796</v>
      </c>
      <c r="J1441">
        <v>2570784709</v>
      </c>
      <c r="K1441">
        <v>2155499726</v>
      </c>
      <c r="L1441">
        <v>2625592671</v>
      </c>
      <c r="M1441">
        <v>2332067095</v>
      </c>
      <c r="N1441">
        <v>1731136948</v>
      </c>
      <c r="P1441">
        <v>117</v>
      </c>
      <c r="Q1441" t="s">
        <v>3185</v>
      </c>
    </row>
    <row r="1442" spans="1:17" x14ac:dyDescent="0.3">
      <c r="A1442" t="s">
        <v>17</v>
      </c>
      <c r="B1442" t="str">
        <f>"603690"</f>
        <v>603690</v>
      </c>
      <c r="C1442" t="s">
        <v>3186</v>
      </c>
      <c r="D1442" t="s">
        <v>3187</v>
      </c>
      <c r="F1442">
        <v>2084097721</v>
      </c>
      <c r="G1442">
        <v>1397056129</v>
      </c>
      <c r="H1442">
        <v>986439195</v>
      </c>
      <c r="I1442">
        <v>674090653</v>
      </c>
      <c r="J1442">
        <v>369077915</v>
      </c>
      <c r="K1442">
        <v>263297956</v>
      </c>
      <c r="L1442">
        <v>207506795</v>
      </c>
      <c r="M1442">
        <v>201814771</v>
      </c>
      <c r="N1442">
        <v>202234060</v>
      </c>
      <c r="P1442">
        <v>450</v>
      </c>
      <c r="Q1442" t="s">
        <v>3188</v>
      </c>
    </row>
    <row r="1443" spans="1:17" x14ac:dyDescent="0.3">
      <c r="A1443" t="s">
        <v>17</v>
      </c>
      <c r="B1443" t="str">
        <f>"603693"</f>
        <v>603693</v>
      </c>
      <c r="C1443" t="s">
        <v>3189</v>
      </c>
      <c r="D1443" t="s">
        <v>383</v>
      </c>
      <c r="F1443">
        <v>1856720177</v>
      </c>
      <c r="G1443">
        <v>1546722243</v>
      </c>
      <c r="H1443">
        <v>1484404013</v>
      </c>
      <c r="I1443">
        <v>1472814118</v>
      </c>
      <c r="J1443">
        <v>1417696580</v>
      </c>
      <c r="K1443">
        <v>1145790338</v>
      </c>
      <c r="L1443">
        <v>870703990</v>
      </c>
      <c r="P1443">
        <v>160</v>
      </c>
      <c r="Q1443" t="s">
        <v>3190</v>
      </c>
    </row>
    <row r="1444" spans="1:17" x14ac:dyDescent="0.3">
      <c r="A1444" t="s">
        <v>17</v>
      </c>
      <c r="B1444" t="str">
        <f>"603696"</f>
        <v>603696</v>
      </c>
      <c r="C1444" t="s">
        <v>3191</v>
      </c>
      <c r="D1444" t="s">
        <v>433</v>
      </c>
      <c r="F1444">
        <v>548965239</v>
      </c>
      <c r="G1444">
        <v>420400962</v>
      </c>
      <c r="H1444">
        <v>421296739</v>
      </c>
      <c r="I1444">
        <v>339010123</v>
      </c>
      <c r="J1444">
        <v>253785917</v>
      </c>
      <c r="K1444">
        <v>258743843</v>
      </c>
      <c r="L1444">
        <v>266136109</v>
      </c>
      <c r="M1444">
        <v>278889004</v>
      </c>
      <c r="N1444">
        <v>268029538</v>
      </c>
      <c r="O1444">
        <v>305188294</v>
      </c>
      <c r="P1444">
        <v>195</v>
      </c>
      <c r="Q1444" t="s">
        <v>3192</v>
      </c>
    </row>
    <row r="1445" spans="1:17" x14ac:dyDescent="0.3">
      <c r="A1445" t="s">
        <v>17</v>
      </c>
      <c r="B1445" t="str">
        <f>"603697"</f>
        <v>603697</v>
      </c>
      <c r="C1445" t="s">
        <v>3193</v>
      </c>
      <c r="D1445" t="s">
        <v>3194</v>
      </c>
      <c r="F1445">
        <v>1219673294</v>
      </c>
      <c r="G1445">
        <v>1092699480</v>
      </c>
      <c r="H1445">
        <v>1007993037</v>
      </c>
      <c r="I1445">
        <v>1100948681</v>
      </c>
      <c r="J1445">
        <v>989718287</v>
      </c>
      <c r="K1445">
        <v>827161249</v>
      </c>
      <c r="P1445">
        <v>393</v>
      </c>
      <c r="Q1445" t="s">
        <v>3195</v>
      </c>
    </row>
    <row r="1446" spans="1:17" x14ac:dyDescent="0.3">
      <c r="A1446" t="s">
        <v>17</v>
      </c>
      <c r="B1446" t="str">
        <f>"603698"</f>
        <v>603698</v>
      </c>
      <c r="C1446" t="s">
        <v>3196</v>
      </c>
      <c r="D1446" t="s">
        <v>395</v>
      </c>
      <c r="F1446">
        <v>2431555519</v>
      </c>
      <c r="G1446">
        <v>2070524565</v>
      </c>
      <c r="H1446">
        <v>1776492743</v>
      </c>
      <c r="I1446">
        <v>1619506981</v>
      </c>
      <c r="J1446">
        <v>1216078983</v>
      </c>
      <c r="K1446">
        <v>1303030051</v>
      </c>
      <c r="L1446">
        <v>1550211902</v>
      </c>
      <c r="M1446">
        <v>1235878648</v>
      </c>
      <c r="N1446">
        <v>1044449461</v>
      </c>
      <c r="O1446">
        <v>764342452</v>
      </c>
      <c r="P1446">
        <v>108</v>
      </c>
      <c r="Q1446" t="s">
        <v>3197</v>
      </c>
    </row>
    <row r="1447" spans="1:17" x14ac:dyDescent="0.3">
      <c r="A1447" t="s">
        <v>17</v>
      </c>
      <c r="B1447" t="str">
        <f>"603699"</f>
        <v>603699</v>
      </c>
      <c r="C1447" t="s">
        <v>3198</v>
      </c>
      <c r="D1447" t="s">
        <v>274</v>
      </c>
      <c r="F1447">
        <v>3961742815</v>
      </c>
      <c r="G1447">
        <v>3632231615</v>
      </c>
      <c r="H1447">
        <v>3056636849</v>
      </c>
      <c r="I1447">
        <v>2780896901</v>
      </c>
      <c r="J1447">
        <v>2395169024</v>
      </c>
      <c r="K1447">
        <v>2045455490</v>
      </c>
      <c r="L1447">
        <v>2149882618</v>
      </c>
      <c r="M1447">
        <v>2734278823</v>
      </c>
      <c r="N1447">
        <v>2458060288</v>
      </c>
      <c r="O1447">
        <v>2198251818</v>
      </c>
      <c r="P1447">
        <v>271</v>
      </c>
      <c r="Q1447" t="s">
        <v>3199</v>
      </c>
    </row>
    <row r="1448" spans="1:17" x14ac:dyDescent="0.3">
      <c r="A1448" t="s">
        <v>17</v>
      </c>
      <c r="B1448" t="str">
        <f>"603700"</f>
        <v>603700</v>
      </c>
      <c r="C1448" t="s">
        <v>3200</v>
      </c>
      <c r="D1448" t="s">
        <v>2566</v>
      </c>
      <c r="F1448">
        <v>1717290642</v>
      </c>
      <c r="G1448">
        <v>1590152353</v>
      </c>
      <c r="H1448">
        <v>1371124666</v>
      </c>
      <c r="I1448">
        <v>1029312559</v>
      </c>
      <c r="J1448">
        <v>814176167</v>
      </c>
      <c r="K1448">
        <v>826202170</v>
      </c>
      <c r="L1448">
        <v>734709415</v>
      </c>
      <c r="P1448">
        <v>395</v>
      </c>
      <c r="Q1448" t="s">
        <v>3201</v>
      </c>
    </row>
    <row r="1449" spans="1:17" x14ac:dyDescent="0.3">
      <c r="A1449" t="s">
        <v>17</v>
      </c>
      <c r="B1449" t="str">
        <f>"603701"</f>
        <v>603701</v>
      </c>
      <c r="C1449" t="s">
        <v>3202</v>
      </c>
      <c r="D1449" t="s">
        <v>348</v>
      </c>
      <c r="F1449">
        <v>592538397</v>
      </c>
      <c r="G1449">
        <v>599760702</v>
      </c>
      <c r="H1449">
        <v>476199765</v>
      </c>
      <c r="I1449">
        <v>458956505</v>
      </c>
      <c r="J1449">
        <v>509031387</v>
      </c>
      <c r="K1449">
        <v>415982444</v>
      </c>
      <c r="L1449">
        <v>409431255</v>
      </c>
      <c r="M1449">
        <v>417281259</v>
      </c>
      <c r="N1449">
        <v>377113762</v>
      </c>
      <c r="O1449">
        <v>329260783</v>
      </c>
      <c r="P1449">
        <v>93</v>
      </c>
      <c r="Q1449" t="s">
        <v>3203</v>
      </c>
    </row>
    <row r="1450" spans="1:17" x14ac:dyDescent="0.3">
      <c r="A1450" t="s">
        <v>17</v>
      </c>
      <c r="B1450" t="str">
        <f>"603703"</f>
        <v>603703</v>
      </c>
      <c r="C1450" t="s">
        <v>3204</v>
      </c>
      <c r="D1450" t="s">
        <v>803</v>
      </c>
      <c r="F1450">
        <v>975183819</v>
      </c>
      <c r="G1450">
        <v>747630748</v>
      </c>
      <c r="H1450">
        <v>834454521</v>
      </c>
      <c r="I1450">
        <v>595607495</v>
      </c>
      <c r="J1450">
        <v>859978989</v>
      </c>
      <c r="K1450">
        <v>425992223</v>
      </c>
      <c r="L1450">
        <v>360340059</v>
      </c>
      <c r="M1450">
        <v>397681065</v>
      </c>
      <c r="N1450">
        <v>346324303</v>
      </c>
      <c r="O1450">
        <v>334585802</v>
      </c>
      <c r="P1450">
        <v>78</v>
      </c>
      <c r="Q1450" t="s">
        <v>3205</v>
      </c>
    </row>
    <row r="1451" spans="1:17" x14ac:dyDescent="0.3">
      <c r="A1451" t="s">
        <v>17</v>
      </c>
      <c r="B1451" t="str">
        <f>"603706"</f>
        <v>603706</v>
      </c>
      <c r="C1451" t="s">
        <v>3206</v>
      </c>
      <c r="D1451" t="s">
        <v>749</v>
      </c>
      <c r="F1451">
        <v>988344646</v>
      </c>
      <c r="G1451">
        <v>804633154</v>
      </c>
      <c r="H1451">
        <v>451717798</v>
      </c>
      <c r="I1451">
        <v>419418124</v>
      </c>
      <c r="J1451">
        <v>445230861</v>
      </c>
      <c r="K1451">
        <v>325314816</v>
      </c>
      <c r="L1451">
        <v>349136447</v>
      </c>
      <c r="P1451">
        <v>91</v>
      </c>
      <c r="Q1451" t="s">
        <v>3207</v>
      </c>
    </row>
    <row r="1452" spans="1:17" x14ac:dyDescent="0.3">
      <c r="A1452" t="s">
        <v>17</v>
      </c>
      <c r="B1452" t="str">
        <f>"603707"</f>
        <v>603707</v>
      </c>
      <c r="C1452" t="s">
        <v>3208</v>
      </c>
      <c r="D1452" t="s">
        <v>143</v>
      </c>
      <c r="F1452">
        <v>3686692952</v>
      </c>
      <c r="G1452">
        <v>2914880931</v>
      </c>
      <c r="H1452">
        <v>2469669305</v>
      </c>
      <c r="I1452">
        <v>1700330667</v>
      </c>
      <c r="J1452">
        <v>1112726003</v>
      </c>
      <c r="K1452">
        <v>581913038</v>
      </c>
      <c r="L1452">
        <v>468728013</v>
      </c>
      <c r="M1452">
        <v>416121068</v>
      </c>
      <c r="P1452">
        <v>771</v>
      </c>
      <c r="Q1452" t="s">
        <v>3209</v>
      </c>
    </row>
    <row r="1453" spans="1:17" x14ac:dyDescent="0.3">
      <c r="A1453" t="s">
        <v>17</v>
      </c>
      <c r="B1453" t="str">
        <f>"603708"</f>
        <v>603708</v>
      </c>
      <c r="C1453" t="s">
        <v>3210</v>
      </c>
      <c r="D1453" t="s">
        <v>798</v>
      </c>
      <c r="F1453">
        <v>17432792405</v>
      </c>
      <c r="G1453">
        <v>16678468932</v>
      </c>
      <c r="H1453">
        <v>15263757863</v>
      </c>
      <c r="I1453">
        <v>12730711830</v>
      </c>
      <c r="J1453">
        <v>11330380156</v>
      </c>
      <c r="K1453">
        <v>10776961642</v>
      </c>
      <c r="L1453">
        <v>10485584733</v>
      </c>
      <c r="M1453">
        <v>9835166219</v>
      </c>
      <c r="N1453">
        <v>9000102198</v>
      </c>
      <c r="P1453">
        <v>702</v>
      </c>
      <c r="Q1453" t="s">
        <v>3211</v>
      </c>
    </row>
    <row r="1454" spans="1:17" x14ac:dyDescent="0.3">
      <c r="A1454" t="s">
        <v>17</v>
      </c>
      <c r="B1454" t="str">
        <f>"603709"</f>
        <v>603709</v>
      </c>
      <c r="C1454" t="s">
        <v>3212</v>
      </c>
      <c r="D1454" t="s">
        <v>757</v>
      </c>
      <c r="F1454">
        <v>1021172197</v>
      </c>
      <c r="G1454">
        <v>1162418645</v>
      </c>
      <c r="H1454">
        <v>1069711756</v>
      </c>
      <c r="I1454">
        <v>888065751</v>
      </c>
      <c r="J1454">
        <v>784512551</v>
      </c>
      <c r="K1454">
        <v>591742432</v>
      </c>
      <c r="L1454">
        <v>425866713</v>
      </c>
      <c r="M1454">
        <v>310847754</v>
      </c>
      <c r="P1454">
        <v>99</v>
      </c>
      <c r="Q1454" t="s">
        <v>3213</v>
      </c>
    </row>
    <row r="1455" spans="1:17" x14ac:dyDescent="0.3">
      <c r="A1455" t="s">
        <v>17</v>
      </c>
      <c r="B1455" t="str">
        <f>"603711"</f>
        <v>603711</v>
      </c>
      <c r="C1455" t="s">
        <v>3214</v>
      </c>
      <c r="D1455" t="s">
        <v>440</v>
      </c>
      <c r="F1455">
        <v>3466259829</v>
      </c>
      <c r="G1455">
        <v>3760849722</v>
      </c>
      <c r="H1455">
        <v>3977995637</v>
      </c>
      <c r="I1455">
        <v>3251089618</v>
      </c>
      <c r="J1455">
        <v>2640383870</v>
      </c>
      <c r="K1455">
        <v>2389708864</v>
      </c>
      <c r="L1455">
        <v>1951740122</v>
      </c>
      <c r="M1455">
        <v>2092970527</v>
      </c>
      <c r="P1455">
        <v>392</v>
      </c>
      <c r="Q1455" t="s">
        <v>3215</v>
      </c>
    </row>
    <row r="1456" spans="1:17" x14ac:dyDescent="0.3">
      <c r="A1456" t="s">
        <v>17</v>
      </c>
      <c r="B1456" t="str">
        <f>"603712"</f>
        <v>603712</v>
      </c>
      <c r="C1456" t="s">
        <v>3216</v>
      </c>
      <c r="D1456" t="s">
        <v>1136</v>
      </c>
      <c r="F1456">
        <v>3450935749</v>
      </c>
      <c r="G1456">
        <v>2696095416</v>
      </c>
      <c r="H1456">
        <v>2140653348</v>
      </c>
      <c r="I1456">
        <v>1625550381</v>
      </c>
      <c r="J1456">
        <v>1485213159</v>
      </c>
      <c r="K1456">
        <v>1389722042</v>
      </c>
      <c r="L1456">
        <v>1516381551</v>
      </c>
      <c r="M1456">
        <v>1378631711</v>
      </c>
      <c r="P1456">
        <v>327</v>
      </c>
      <c r="Q1456" t="s">
        <v>3217</v>
      </c>
    </row>
    <row r="1457" spans="1:17" x14ac:dyDescent="0.3">
      <c r="A1457" t="s">
        <v>17</v>
      </c>
      <c r="B1457" t="str">
        <f>"603713"</f>
        <v>603713</v>
      </c>
      <c r="C1457" t="s">
        <v>3218</v>
      </c>
      <c r="D1457" t="s">
        <v>1592</v>
      </c>
      <c r="F1457">
        <v>8644718998</v>
      </c>
      <c r="G1457">
        <v>3426952178</v>
      </c>
      <c r="H1457">
        <v>2418798183</v>
      </c>
      <c r="I1457">
        <v>1783905879</v>
      </c>
      <c r="J1457">
        <v>1291206299</v>
      </c>
      <c r="K1457">
        <v>938846855</v>
      </c>
      <c r="L1457">
        <v>629572814</v>
      </c>
      <c r="P1457">
        <v>457</v>
      </c>
      <c r="Q1457" t="s">
        <v>3219</v>
      </c>
    </row>
    <row r="1458" spans="1:17" x14ac:dyDescent="0.3">
      <c r="A1458" t="s">
        <v>17</v>
      </c>
      <c r="B1458" t="str">
        <f>"603716"</f>
        <v>603716</v>
      </c>
      <c r="C1458" t="s">
        <v>3220</v>
      </c>
      <c r="D1458" t="s">
        <v>125</v>
      </c>
      <c r="F1458">
        <v>2599547348</v>
      </c>
      <c r="G1458">
        <v>2125471604</v>
      </c>
      <c r="H1458">
        <v>1830771616</v>
      </c>
      <c r="I1458">
        <v>1317446052</v>
      </c>
      <c r="J1458">
        <v>920516544</v>
      </c>
      <c r="K1458">
        <v>627328057</v>
      </c>
      <c r="L1458">
        <v>529659703</v>
      </c>
      <c r="M1458">
        <v>445045202</v>
      </c>
      <c r="N1458">
        <v>392180018</v>
      </c>
      <c r="P1458">
        <v>137</v>
      </c>
      <c r="Q1458" t="s">
        <v>3221</v>
      </c>
    </row>
    <row r="1459" spans="1:17" x14ac:dyDescent="0.3">
      <c r="A1459" t="s">
        <v>17</v>
      </c>
      <c r="B1459" t="str">
        <f>"603717"</f>
        <v>603717</v>
      </c>
      <c r="C1459" t="s">
        <v>3222</v>
      </c>
      <c r="D1459" t="s">
        <v>2417</v>
      </c>
      <c r="F1459">
        <v>638082659</v>
      </c>
      <c r="G1459">
        <v>582542897</v>
      </c>
      <c r="H1459">
        <v>837308910</v>
      </c>
      <c r="I1459">
        <v>1047722733</v>
      </c>
      <c r="J1459">
        <v>947250751</v>
      </c>
      <c r="K1459">
        <v>825610619</v>
      </c>
      <c r="L1459">
        <v>820348833</v>
      </c>
      <c r="M1459">
        <v>756344711</v>
      </c>
      <c r="P1459">
        <v>55</v>
      </c>
      <c r="Q1459" t="s">
        <v>3223</v>
      </c>
    </row>
    <row r="1460" spans="1:17" x14ac:dyDescent="0.3">
      <c r="A1460" t="s">
        <v>17</v>
      </c>
      <c r="B1460" t="str">
        <f>"603718"</f>
        <v>603718</v>
      </c>
      <c r="C1460" t="s">
        <v>3224</v>
      </c>
      <c r="D1460" t="s">
        <v>453</v>
      </c>
      <c r="F1460">
        <v>347289178</v>
      </c>
      <c r="G1460">
        <v>259128542</v>
      </c>
      <c r="H1460">
        <v>277992966</v>
      </c>
      <c r="I1460">
        <v>254565187</v>
      </c>
      <c r="J1460">
        <v>303650205</v>
      </c>
      <c r="K1460">
        <v>343338733</v>
      </c>
      <c r="L1460">
        <v>316577603</v>
      </c>
      <c r="M1460">
        <v>285272026</v>
      </c>
      <c r="N1460">
        <v>318792688</v>
      </c>
      <c r="O1460">
        <v>310842908</v>
      </c>
      <c r="P1460">
        <v>166</v>
      </c>
      <c r="Q1460" t="s">
        <v>3225</v>
      </c>
    </row>
    <row r="1461" spans="1:17" x14ac:dyDescent="0.3">
      <c r="A1461" t="s">
        <v>17</v>
      </c>
      <c r="B1461" t="str">
        <f>"603719"</f>
        <v>603719</v>
      </c>
      <c r="C1461" t="s">
        <v>3226</v>
      </c>
      <c r="D1461" t="s">
        <v>3194</v>
      </c>
      <c r="F1461">
        <v>9323612113</v>
      </c>
      <c r="G1461">
        <v>7894076442</v>
      </c>
      <c r="H1461">
        <v>7714992861</v>
      </c>
      <c r="I1461">
        <v>6377558563</v>
      </c>
      <c r="J1461">
        <v>5424069681</v>
      </c>
      <c r="K1461">
        <v>4289368487</v>
      </c>
      <c r="P1461">
        <v>715</v>
      </c>
      <c r="Q1461" t="s">
        <v>3227</v>
      </c>
    </row>
    <row r="1462" spans="1:17" x14ac:dyDescent="0.3">
      <c r="A1462" t="s">
        <v>17</v>
      </c>
      <c r="B1462" t="str">
        <f>"603721"</f>
        <v>603721</v>
      </c>
      <c r="C1462" t="s">
        <v>3228</v>
      </c>
      <c r="D1462" t="s">
        <v>113</v>
      </c>
      <c r="F1462">
        <v>273363819</v>
      </c>
      <c r="G1462">
        <v>299234439</v>
      </c>
      <c r="H1462">
        <v>268930147</v>
      </c>
      <c r="I1462">
        <v>313377419</v>
      </c>
      <c r="J1462">
        <v>392489111</v>
      </c>
      <c r="K1462">
        <v>452754559</v>
      </c>
      <c r="L1462">
        <v>288745846</v>
      </c>
      <c r="M1462">
        <v>192500297</v>
      </c>
      <c r="P1462">
        <v>89</v>
      </c>
      <c r="Q1462" t="s">
        <v>3229</v>
      </c>
    </row>
    <row r="1463" spans="1:17" x14ac:dyDescent="0.3">
      <c r="A1463" t="s">
        <v>17</v>
      </c>
      <c r="B1463" t="str">
        <f>"603722"</f>
        <v>603722</v>
      </c>
      <c r="C1463" t="s">
        <v>3230</v>
      </c>
      <c r="D1463" t="s">
        <v>1192</v>
      </c>
      <c r="F1463">
        <v>880230614</v>
      </c>
      <c r="G1463">
        <v>538046840</v>
      </c>
      <c r="H1463">
        <v>504989521</v>
      </c>
      <c r="I1463">
        <v>422445453</v>
      </c>
      <c r="J1463">
        <v>290864878</v>
      </c>
      <c r="K1463">
        <v>225520958</v>
      </c>
      <c r="L1463">
        <v>314382874</v>
      </c>
      <c r="M1463">
        <v>239815331</v>
      </c>
      <c r="P1463">
        <v>83</v>
      </c>
      <c r="Q1463" t="s">
        <v>3231</v>
      </c>
    </row>
    <row r="1464" spans="1:17" x14ac:dyDescent="0.3">
      <c r="A1464" t="s">
        <v>17</v>
      </c>
      <c r="B1464" t="str">
        <f>"603725"</f>
        <v>603725</v>
      </c>
      <c r="C1464" t="s">
        <v>3232</v>
      </c>
      <c r="D1464" t="s">
        <v>386</v>
      </c>
      <c r="F1464">
        <v>2064562405</v>
      </c>
      <c r="G1464">
        <v>869214571</v>
      </c>
      <c r="H1464">
        <v>868063598</v>
      </c>
      <c r="I1464">
        <v>955282113</v>
      </c>
      <c r="J1464">
        <v>964863041</v>
      </c>
      <c r="K1464">
        <v>859638577</v>
      </c>
      <c r="L1464">
        <v>667489308</v>
      </c>
      <c r="M1464">
        <v>551488842</v>
      </c>
      <c r="P1464">
        <v>74</v>
      </c>
      <c r="Q1464" t="s">
        <v>3233</v>
      </c>
    </row>
    <row r="1465" spans="1:17" x14ac:dyDescent="0.3">
      <c r="A1465" t="s">
        <v>17</v>
      </c>
      <c r="B1465" t="str">
        <f>"603726"</f>
        <v>603726</v>
      </c>
      <c r="C1465" t="s">
        <v>3234</v>
      </c>
      <c r="D1465" t="s">
        <v>1253</v>
      </c>
      <c r="F1465">
        <v>1819604563</v>
      </c>
      <c r="G1465">
        <v>1401197551</v>
      </c>
      <c r="H1465">
        <v>1593047742</v>
      </c>
      <c r="I1465">
        <v>1569801350</v>
      </c>
      <c r="J1465">
        <v>1307748950</v>
      </c>
      <c r="K1465">
        <v>775791359</v>
      </c>
      <c r="L1465">
        <v>723676669</v>
      </c>
      <c r="M1465">
        <v>786548551</v>
      </c>
      <c r="N1465">
        <v>645806352</v>
      </c>
      <c r="P1465">
        <v>123</v>
      </c>
      <c r="Q1465" t="s">
        <v>3235</v>
      </c>
    </row>
    <row r="1466" spans="1:17" x14ac:dyDescent="0.3">
      <c r="A1466" t="s">
        <v>17</v>
      </c>
      <c r="B1466" t="str">
        <f>"603727"</f>
        <v>603727</v>
      </c>
      <c r="C1466" t="s">
        <v>3236</v>
      </c>
      <c r="D1466" t="s">
        <v>762</v>
      </c>
      <c r="F1466">
        <v>4081124524</v>
      </c>
      <c r="G1466">
        <v>2579330319</v>
      </c>
      <c r="H1466">
        <v>1354097816</v>
      </c>
      <c r="I1466">
        <v>396626342</v>
      </c>
      <c r="J1466">
        <v>489142184</v>
      </c>
      <c r="K1466">
        <v>2684425832</v>
      </c>
      <c r="L1466">
        <v>2293504364</v>
      </c>
      <c r="M1466">
        <v>1233853536</v>
      </c>
      <c r="N1466">
        <v>818394125</v>
      </c>
      <c r="O1466">
        <v>731104984</v>
      </c>
      <c r="P1466">
        <v>123</v>
      </c>
      <c r="Q1466" t="s">
        <v>3237</v>
      </c>
    </row>
    <row r="1467" spans="1:17" x14ac:dyDescent="0.3">
      <c r="A1467" t="s">
        <v>17</v>
      </c>
      <c r="B1467" t="str">
        <f>"603728"</f>
        <v>603728</v>
      </c>
      <c r="C1467" t="s">
        <v>3238</v>
      </c>
      <c r="D1467" t="s">
        <v>1171</v>
      </c>
      <c r="F1467">
        <v>2714222189</v>
      </c>
      <c r="G1467">
        <v>2212835491</v>
      </c>
      <c r="H1467">
        <v>2057974750</v>
      </c>
      <c r="I1467">
        <v>1894048056</v>
      </c>
      <c r="J1467">
        <v>1628391306</v>
      </c>
      <c r="K1467">
        <v>1474549966</v>
      </c>
      <c r="L1467">
        <v>1173058360</v>
      </c>
      <c r="M1467">
        <v>1122194667</v>
      </c>
      <c r="P1467">
        <v>310</v>
      </c>
      <c r="Q1467" t="s">
        <v>3239</v>
      </c>
    </row>
    <row r="1468" spans="1:17" x14ac:dyDescent="0.3">
      <c r="A1468" t="s">
        <v>17</v>
      </c>
      <c r="B1468" t="str">
        <f>"603729"</f>
        <v>603729</v>
      </c>
      <c r="C1468" t="s">
        <v>3240</v>
      </c>
      <c r="D1468" t="s">
        <v>207</v>
      </c>
      <c r="F1468">
        <v>739825941</v>
      </c>
      <c r="G1468">
        <v>621431825</v>
      </c>
      <c r="H1468">
        <v>642922501</v>
      </c>
      <c r="I1468">
        <v>1194908373</v>
      </c>
      <c r="J1468">
        <v>1235657017</v>
      </c>
      <c r="K1468">
        <v>966608044</v>
      </c>
      <c r="L1468">
        <v>1320438944</v>
      </c>
      <c r="M1468">
        <v>1177299452</v>
      </c>
      <c r="N1468">
        <v>1154210660</v>
      </c>
      <c r="O1468">
        <v>859876281</v>
      </c>
      <c r="P1468">
        <v>51</v>
      </c>
      <c r="Q1468" t="s">
        <v>3241</v>
      </c>
    </row>
    <row r="1469" spans="1:17" x14ac:dyDescent="0.3">
      <c r="A1469" t="s">
        <v>17</v>
      </c>
      <c r="B1469" t="str">
        <f>"603730"</f>
        <v>603730</v>
      </c>
      <c r="C1469" t="s">
        <v>3242</v>
      </c>
      <c r="D1469" t="s">
        <v>191</v>
      </c>
      <c r="F1469">
        <v>4208711793</v>
      </c>
      <c r="G1469">
        <v>3950110006</v>
      </c>
      <c r="H1469">
        <v>4817888481</v>
      </c>
      <c r="I1469">
        <v>4273379213</v>
      </c>
      <c r="J1469">
        <v>3246972242</v>
      </c>
      <c r="K1469">
        <v>2743416339</v>
      </c>
      <c r="L1469">
        <v>2324622309</v>
      </c>
      <c r="M1469">
        <v>1996327307</v>
      </c>
      <c r="P1469">
        <v>522</v>
      </c>
      <c r="Q1469" t="s">
        <v>3243</v>
      </c>
    </row>
    <row r="1470" spans="1:17" x14ac:dyDescent="0.3">
      <c r="A1470" t="s">
        <v>17</v>
      </c>
      <c r="B1470" t="str">
        <f>"603733"</f>
        <v>603733</v>
      </c>
      <c r="C1470" t="s">
        <v>3244</v>
      </c>
      <c r="D1470" t="s">
        <v>244</v>
      </c>
      <c r="F1470">
        <v>6016969095</v>
      </c>
      <c r="G1470">
        <v>4843100792</v>
      </c>
      <c r="H1470">
        <v>4567036827</v>
      </c>
      <c r="I1470">
        <v>4097768630</v>
      </c>
      <c r="J1470">
        <v>3047081823</v>
      </c>
      <c r="K1470">
        <v>2195913640</v>
      </c>
      <c r="L1470">
        <v>1909135995</v>
      </c>
      <c r="P1470">
        <v>233</v>
      </c>
      <c r="Q1470" t="s">
        <v>3245</v>
      </c>
    </row>
    <row r="1471" spans="1:17" x14ac:dyDescent="0.3">
      <c r="A1471" t="s">
        <v>17</v>
      </c>
      <c r="B1471" t="str">
        <f>"603737"</f>
        <v>603737</v>
      </c>
      <c r="C1471" t="s">
        <v>3246</v>
      </c>
      <c r="D1471" t="s">
        <v>2903</v>
      </c>
      <c r="F1471">
        <v>11428710869</v>
      </c>
      <c r="G1471">
        <v>8200228400</v>
      </c>
      <c r="H1471">
        <v>5972263436</v>
      </c>
      <c r="I1471">
        <v>3584016774</v>
      </c>
      <c r="J1471">
        <v>2619460163</v>
      </c>
      <c r="K1471">
        <v>1948210366</v>
      </c>
      <c r="L1471">
        <v>1518714685</v>
      </c>
      <c r="M1471">
        <v>1262060572</v>
      </c>
      <c r="N1471">
        <v>981886255</v>
      </c>
      <c r="P1471">
        <v>1048</v>
      </c>
      <c r="Q1471" t="s">
        <v>3247</v>
      </c>
    </row>
    <row r="1472" spans="1:17" x14ac:dyDescent="0.3">
      <c r="A1472" t="s">
        <v>17</v>
      </c>
      <c r="B1472" t="str">
        <f>"603738"</f>
        <v>603738</v>
      </c>
      <c r="C1472" t="s">
        <v>3248</v>
      </c>
      <c r="D1472" t="s">
        <v>546</v>
      </c>
      <c r="F1472">
        <v>1240654491</v>
      </c>
      <c r="G1472">
        <v>630925078</v>
      </c>
      <c r="H1472">
        <v>579689505</v>
      </c>
      <c r="I1472">
        <v>611299589</v>
      </c>
      <c r="J1472">
        <v>539964464</v>
      </c>
      <c r="K1472">
        <v>370069655</v>
      </c>
      <c r="L1472">
        <v>320274124</v>
      </c>
      <c r="M1472">
        <v>246698100</v>
      </c>
      <c r="N1472">
        <v>206432714</v>
      </c>
      <c r="P1472">
        <v>246</v>
      </c>
      <c r="Q1472" t="s">
        <v>3249</v>
      </c>
    </row>
    <row r="1473" spans="1:17" x14ac:dyDescent="0.3">
      <c r="A1473" t="s">
        <v>17</v>
      </c>
      <c r="B1473" t="str">
        <f>"603739"</f>
        <v>603739</v>
      </c>
      <c r="C1473" t="s">
        <v>3250</v>
      </c>
      <c r="D1473" t="s">
        <v>453</v>
      </c>
      <c r="F1473">
        <v>1150823565</v>
      </c>
      <c r="G1473">
        <v>960249354</v>
      </c>
      <c r="H1473">
        <v>846777963</v>
      </c>
      <c r="I1473">
        <v>813970528</v>
      </c>
      <c r="J1473">
        <v>799439774</v>
      </c>
      <c r="K1473">
        <v>781229945</v>
      </c>
      <c r="L1473">
        <v>751723670</v>
      </c>
      <c r="P1473">
        <v>123</v>
      </c>
      <c r="Q1473" t="s">
        <v>3251</v>
      </c>
    </row>
    <row r="1474" spans="1:17" x14ac:dyDescent="0.3">
      <c r="A1474" t="s">
        <v>17</v>
      </c>
      <c r="B1474" t="str">
        <f>"603755"</f>
        <v>603755</v>
      </c>
      <c r="C1474" t="s">
        <v>3252</v>
      </c>
      <c r="D1474" t="s">
        <v>433</v>
      </c>
      <c r="F1474">
        <v>338504574</v>
      </c>
      <c r="G1474">
        <v>263276257</v>
      </c>
      <c r="H1474">
        <v>285653543</v>
      </c>
      <c r="I1474">
        <v>237518558</v>
      </c>
      <c r="J1474">
        <v>208766411</v>
      </c>
      <c r="K1474">
        <v>157216106</v>
      </c>
      <c r="P1474">
        <v>370</v>
      </c>
      <c r="Q1474" t="s">
        <v>3253</v>
      </c>
    </row>
    <row r="1475" spans="1:17" x14ac:dyDescent="0.3">
      <c r="A1475" t="s">
        <v>17</v>
      </c>
      <c r="B1475" t="str">
        <f>"603757"</f>
        <v>603757</v>
      </c>
      <c r="C1475" t="s">
        <v>3254</v>
      </c>
      <c r="D1475" t="s">
        <v>560</v>
      </c>
      <c r="F1475">
        <v>1484315404</v>
      </c>
      <c r="G1475">
        <v>1413131465</v>
      </c>
      <c r="H1475">
        <v>1134855470</v>
      </c>
      <c r="I1475">
        <v>1113597180</v>
      </c>
      <c r="J1475">
        <v>1123232667</v>
      </c>
      <c r="K1475">
        <v>767446803</v>
      </c>
      <c r="L1475">
        <v>636791743</v>
      </c>
      <c r="M1475">
        <v>583357875</v>
      </c>
      <c r="P1475">
        <v>523</v>
      </c>
      <c r="Q1475" t="s">
        <v>3255</v>
      </c>
    </row>
    <row r="1476" spans="1:17" x14ac:dyDescent="0.3">
      <c r="A1476" t="s">
        <v>17</v>
      </c>
      <c r="B1476" t="str">
        <f>"603758"</f>
        <v>603758</v>
      </c>
      <c r="C1476" t="s">
        <v>3256</v>
      </c>
      <c r="D1476" t="s">
        <v>348</v>
      </c>
      <c r="F1476">
        <v>1419144012</v>
      </c>
      <c r="G1476">
        <v>914439106</v>
      </c>
      <c r="H1476">
        <v>595690406</v>
      </c>
      <c r="I1476">
        <v>676252130</v>
      </c>
      <c r="J1476">
        <v>1223073404</v>
      </c>
      <c r="K1476">
        <v>1199586973</v>
      </c>
      <c r="L1476">
        <v>1174782620</v>
      </c>
      <c r="M1476">
        <v>1033151991</v>
      </c>
      <c r="P1476">
        <v>133</v>
      </c>
      <c r="Q1476" t="s">
        <v>3257</v>
      </c>
    </row>
    <row r="1477" spans="1:17" x14ac:dyDescent="0.3">
      <c r="A1477" t="s">
        <v>17</v>
      </c>
      <c r="B1477" t="str">
        <f>"603759"</f>
        <v>603759</v>
      </c>
      <c r="C1477" t="s">
        <v>3258</v>
      </c>
      <c r="D1477" t="s">
        <v>33</v>
      </c>
      <c r="F1477">
        <v>1083508534</v>
      </c>
      <c r="G1477">
        <v>850316022</v>
      </c>
      <c r="H1477">
        <v>681138109</v>
      </c>
      <c r="I1477">
        <v>633260405</v>
      </c>
      <c r="J1477">
        <v>612544335</v>
      </c>
      <c r="P1477">
        <v>48</v>
      </c>
      <c r="Q1477" t="s">
        <v>3259</v>
      </c>
    </row>
    <row r="1478" spans="1:17" x14ac:dyDescent="0.3">
      <c r="A1478" t="s">
        <v>17</v>
      </c>
      <c r="B1478" t="str">
        <f>"603766"</f>
        <v>603766</v>
      </c>
      <c r="C1478" t="s">
        <v>3260</v>
      </c>
      <c r="D1478" t="s">
        <v>1656</v>
      </c>
      <c r="F1478">
        <v>13057921371</v>
      </c>
      <c r="G1478">
        <v>10437055350</v>
      </c>
      <c r="H1478">
        <v>10650409705</v>
      </c>
      <c r="I1478">
        <v>11203793392</v>
      </c>
      <c r="J1478">
        <v>10572102650</v>
      </c>
      <c r="K1478">
        <v>8483233408</v>
      </c>
      <c r="L1478">
        <v>7042720902</v>
      </c>
      <c r="M1478">
        <v>6643835670</v>
      </c>
      <c r="N1478">
        <v>6505486083</v>
      </c>
      <c r="O1478">
        <v>6444818540</v>
      </c>
      <c r="P1478">
        <v>460</v>
      </c>
      <c r="Q1478" t="s">
        <v>3261</v>
      </c>
    </row>
    <row r="1479" spans="1:17" x14ac:dyDescent="0.3">
      <c r="A1479" t="s">
        <v>17</v>
      </c>
      <c r="B1479" t="str">
        <f>"603767"</f>
        <v>603767</v>
      </c>
      <c r="C1479" t="s">
        <v>3262</v>
      </c>
      <c r="D1479" t="s">
        <v>348</v>
      </c>
      <c r="F1479">
        <v>1120309249</v>
      </c>
      <c r="G1479">
        <v>1051857217</v>
      </c>
      <c r="H1479">
        <v>946386784</v>
      </c>
      <c r="I1479">
        <v>884043461</v>
      </c>
      <c r="J1479">
        <v>880647149</v>
      </c>
      <c r="K1479">
        <v>822623663</v>
      </c>
      <c r="L1479">
        <v>907520437</v>
      </c>
      <c r="M1479">
        <v>1049871989</v>
      </c>
      <c r="P1479">
        <v>80</v>
      </c>
      <c r="Q1479" t="s">
        <v>3263</v>
      </c>
    </row>
    <row r="1480" spans="1:17" x14ac:dyDescent="0.3">
      <c r="A1480" t="s">
        <v>17</v>
      </c>
      <c r="B1480" t="str">
        <f>"603768"</f>
        <v>603768</v>
      </c>
      <c r="C1480" t="s">
        <v>3264</v>
      </c>
      <c r="D1480" t="s">
        <v>985</v>
      </c>
      <c r="F1480">
        <v>3008989003</v>
      </c>
      <c r="G1480">
        <v>2297081707</v>
      </c>
      <c r="H1480">
        <v>1834444169</v>
      </c>
      <c r="I1480">
        <v>1874354289</v>
      </c>
      <c r="J1480">
        <v>1916290412</v>
      </c>
      <c r="K1480">
        <v>1492325341</v>
      </c>
      <c r="L1480">
        <v>1136888130</v>
      </c>
      <c r="M1480">
        <v>1386580638</v>
      </c>
      <c r="P1480">
        <v>58</v>
      </c>
      <c r="Q1480" t="s">
        <v>3265</v>
      </c>
    </row>
    <row r="1481" spans="1:17" x14ac:dyDescent="0.3">
      <c r="A1481" t="s">
        <v>17</v>
      </c>
      <c r="B1481" t="str">
        <f>"603773"</f>
        <v>603773</v>
      </c>
      <c r="C1481" t="s">
        <v>3266</v>
      </c>
      <c r="D1481" t="s">
        <v>1117</v>
      </c>
      <c r="F1481">
        <v>1049995307</v>
      </c>
      <c r="G1481">
        <v>604157537</v>
      </c>
      <c r="H1481">
        <v>524324061</v>
      </c>
      <c r="I1481">
        <v>699797355</v>
      </c>
      <c r="J1481">
        <v>653842495</v>
      </c>
      <c r="K1481">
        <v>312013546</v>
      </c>
      <c r="L1481">
        <v>222847494</v>
      </c>
      <c r="P1481">
        <v>141</v>
      </c>
      <c r="Q1481" t="s">
        <v>3267</v>
      </c>
    </row>
    <row r="1482" spans="1:17" x14ac:dyDescent="0.3">
      <c r="A1482" t="s">
        <v>17</v>
      </c>
      <c r="B1482" t="str">
        <f>"603776"</f>
        <v>603776</v>
      </c>
      <c r="C1482" t="s">
        <v>3268</v>
      </c>
      <c r="D1482" t="s">
        <v>1656</v>
      </c>
      <c r="F1482">
        <v>873271423</v>
      </c>
      <c r="G1482">
        <v>872955792</v>
      </c>
      <c r="H1482">
        <v>935554415</v>
      </c>
      <c r="I1482">
        <v>844992888</v>
      </c>
      <c r="J1482">
        <v>1054531441</v>
      </c>
      <c r="K1482">
        <v>774236254</v>
      </c>
      <c r="L1482">
        <v>619724170</v>
      </c>
      <c r="M1482">
        <v>380640197</v>
      </c>
      <c r="P1482">
        <v>189</v>
      </c>
      <c r="Q1482" t="s">
        <v>3269</v>
      </c>
    </row>
    <row r="1483" spans="1:17" x14ac:dyDescent="0.3">
      <c r="A1483" t="s">
        <v>17</v>
      </c>
      <c r="B1483" t="str">
        <f>"603777"</f>
        <v>603777</v>
      </c>
      <c r="C1483" t="s">
        <v>3270</v>
      </c>
      <c r="D1483" t="s">
        <v>3194</v>
      </c>
      <c r="F1483">
        <v>4172367725</v>
      </c>
      <c r="G1483">
        <v>4026230938</v>
      </c>
      <c r="H1483">
        <v>4002490957</v>
      </c>
      <c r="I1483">
        <v>3891222841</v>
      </c>
      <c r="J1483">
        <v>3636346287</v>
      </c>
      <c r="K1483">
        <v>3236497512</v>
      </c>
      <c r="L1483">
        <v>3127146541</v>
      </c>
      <c r="M1483">
        <v>2857604576</v>
      </c>
      <c r="N1483">
        <v>2749620872</v>
      </c>
      <c r="P1483">
        <v>259</v>
      </c>
      <c r="Q1483" t="s">
        <v>3271</v>
      </c>
    </row>
    <row r="1484" spans="1:17" x14ac:dyDescent="0.3">
      <c r="A1484" t="s">
        <v>17</v>
      </c>
      <c r="B1484" t="str">
        <f>"603778"</f>
        <v>603778</v>
      </c>
      <c r="C1484" t="s">
        <v>3272</v>
      </c>
      <c r="D1484" t="s">
        <v>2417</v>
      </c>
      <c r="F1484">
        <v>176798927</v>
      </c>
      <c r="G1484">
        <v>258496250</v>
      </c>
      <c r="H1484">
        <v>355960564</v>
      </c>
      <c r="I1484">
        <v>352597658</v>
      </c>
      <c r="J1484">
        <v>549163175</v>
      </c>
      <c r="K1484">
        <v>531140572</v>
      </c>
      <c r="L1484">
        <v>607538438</v>
      </c>
      <c r="M1484">
        <v>603277606</v>
      </c>
      <c r="N1484">
        <v>585359844</v>
      </c>
      <c r="O1484">
        <v>465032948</v>
      </c>
      <c r="P1484">
        <v>72</v>
      </c>
      <c r="Q1484" t="s">
        <v>3273</v>
      </c>
    </row>
    <row r="1485" spans="1:17" x14ac:dyDescent="0.3">
      <c r="A1485" t="s">
        <v>17</v>
      </c>
      <c r="B1485" t="str">
        <f>"603779"</f>
        <v>603779</v>
      </c>
      <c r="C1485" t="s">
        <v>3274</v>
      </c>
      <c r="D1485" t="s">
        <v>134</v>
      </c>
      <c r="F1485">
        <v>473988433</v>
      </c>
      <c r="G1485">
        <v>392499746</v>
      </c>
      <c r="H1485">
        <v>667257781</v>
      </c>
      <c r="I1485">
        <v>787996056</v>
      </c>
      <c r="J1485">
        <v>830620417</v>
      </c>
      <c r="K1485">
        <v>781599031</v>
      </c>
      <c r="L1485">
        <v>737512815</v>
      </c>
      <c r="M1485">
        <v>713692110</v>
      </c>
      <c r="N1485">
        <v>711116096</v>
      </c>
      <c r="P1485">
        <v>101</v>
      </c>
      <c r="Q1485" t="s">
        <v>3275</v>
      </c>
    </row>
    <row r="1486" spans="1:17" x14ac:dyDescent="0.3">
      <c r="A1486" t="s">
        <v>17</v>
      </c>
      <c r="B1486" t="str">
        <f>"603786"</f>
        <v>603786</v>
      </c>
      <c r="C1486" t="s">
        <v>3276</v>
      </c>
      <c r="D1486" t="s">
        <v>1415</v>
      </c>
      <c r="F1486">
        <v>2806508746</v>
      </c>
      <c r="G1486">
        <v>2913727680</v>
      </c>
      <c r="H1486">
        <v>2922139022</v>
      </c>
      <c r="I1486">
        <v>2675360830</v>
      </c>
      <c r="J1486">
        <v>2161628715</v>
      </c>
      <c r="K1486">
        <v>1616580157</v>
      </c>
      <c r="P1486">
        <v>345</v>
      </c>
      <c r="Q1486" t="s">
        <v>3277</v>
      </c>
    </row>
    <row r="1487" spans="1:17" x14ac:dyDescent="0.3">
      <c r="A1487" t="s">
        <v>17</v>
      </c>
      <c r="B1487" t="str">
        <f>"603787"</f>
        <v>603787</v>
      </c>
      <c r="C1487" t="s">
        <v>3278</v>
      </c>
      <c r="D1487" t="s">
        <v>1656</v>
      </c>
      <c r="F1487">
        <v>4280842215</v>
      </c>
      <c r="G1487">
        <v>5068316748</v>
      </c>
      <c r="H1487">
        <v>3055512143</v>
      </c>
      <c r="I1487">
        <v>3050498705</v>
      </c>
      <c r="J1487">
        <v>2696170159</v>
      </c>
      <c r="K1487">
        <v>2054945111</v>
      </c>
      <c r="L1487">
        <v>2395366536</v>
      </c>
      <c r="M1487">
        <v>2627512775</v>
      </c>
      <c r="P1487">
        <v>103</v>
      </c>
      <c r="Q1487" t="s">
        <v>3279</v>
      </c>
    </row>
    <row r="1488" spans="1:17" x14ac:dyDescent="0.3">
      <c r="A1488" t="s">
        <v>17</v>
      </c>
      <c r="B1488" t="str">
        <f>"603788"</f>
        <v>603788</v>
      </c>
      <c r="C1488" t="s">
        <v>3280</v>
      </c>
      <c r="D1488" t="s">
        <v>348</v>
      </c>
      <c r="F1488">
        <v>942000359</v>
      </c>
      <c r="G1488">
        <v>891428384</v>
      </c>
      <c r="H1488">
        <v>944059343</v>
      </c>
      <c r="I1488">
        <v>1289024399</v>
      </c>
      <c r="J1488">
        <v>1207931323</v>
      </c>
      <c r="K1488">
        <v>860593513</v>
      </c>
      <c r="L1488">
        <v>668421407</v>
      </c>
      <c r="M1488">
        <v>579370199</v>
      </c>
      <c r="N1488">
        <v>447942915</v>
      </c>
      <c r="O1488">
        <v>317972366</v>
      </c>
      <c r="P1488">
        <v>330</v>
      </c>
      <c r="Q1488" t="s">
        <v>3281</v>
      </c>
    </row>
    <row r="1489" spans="1:17" x14ac:dyDescent="0.3">
      <c r="A1489" t="s">
        <v>17</v>
      </c>
      <c r="B1489" t="str">
        <f>"603789"</f>
        <v>603789</v>
      </c>
      <c r="C1489" t="s">
        <v>3282</v>
      </c>
      <c r="D1489" t="s">
        <v>1985</v>
      </c>
      <c r="F1489">
        <v>401847251</v>
      </c>
      <c r="G1489">
        <v>248422596</v>
      </c>
      <c r="H1489">
        <v>705480825</v>
      </c>
      <c r="I1489">
        <v>595806673</v>
      </c>
      <c r="J1489">
        <v>638394722</v>
      </c>
      <c r="K1489">
        <v>521138961</v>
      </c>
      <c r="L1489">
        <v>585343126</v>
      </c>
      <c r="M1489">
        <v>576305840</v>
      </c>
      <c r="N1489">
        <v>606889787</v>
      </c>
      <c r="O1489">
        <v>759815286</v>
      </c>
      <c r="P1489">
        <v>64</v>
      </c>
      <c r="Q1489" t="s">
        <v>3283</v>
      </c>
    </row>
    <row r="1490" spans="1:17" x14ac:dyDescent="0.3">
      <c r="A1490" t="s">
        <v>17</v>
      </c>
      <c r="B1490" t="str">
        <f>"603790"</f>
        <v>603790</v>
      </c>
      <c r="C1490" t="s">
        <v>3284</v>
      </c>
      <c r="D1490" t="s">
        <v>779</v>
      </c>
      <c r="F1490">
        <v>929576286</v>
      </c>
      <c r="G1490">
        <v>803846955</v>
      </c>
      <c r="H1490">
        <v>956557941</v>
      </c>
      <c r="I1490">
        <v>940969258</v>
      </c>
      <c r="J1490">
        <v>883473588</v>
      </c>
      <c r="K1490">
        <v>839586186</v>
      </c>
      <c r="L1490">
        <v>774473491</v>
      </c>
      <c r="P1490">
        <v>64</v>
      </c>
      <c r="Q1490" t="s">
        <v>3285</v>
      </c>
    </row>
    <row r="1491" spans="1:17" x14ac:dyDescent="0.3">
      <c r="A1491" t="s">
        <v>17</v>
      </c>
      <c r="B1491" t="str">
        <f>"603797"</f>
        <v>603797</v>
      </c>
      <c r="C1491" t="s">
        <v>3286</v>
      </c>
      <c r="D1491" t="s">
        <v>33</v>
      </c>
      <c r="F1491">
        <v>785047828</v>
      </c>
      <c r="G1491">
        <v>603654541</v>
      </c>
      <c r="H1491">
        <v>488150183</v>
      </c>
      <c r="I1491">
        <v>251477387</v>
      </c>
      <c r="J1491">
        <v>184681565</v>
      </c>
      <c r="K1491">
        <v>201365586</v>
      </c>
      <c r="L1491">
        <v>210615409</v>
      </c>
      <c r="M1491">
        <v>221770516</v>
      </c>
      <c r="P1491">
        <v>243</v>
      </c>
      <c r="Q1491" t="s">
        <v>3287</v>
      </c>
    </row>
    <row r="1492" spans="1:17" x14ac:dyDescent="0.3">
      <c r="A1492" t="s">
        <v>17</v>
      </c>
      <c r="B1492" t="str">
        <f>"603798"</f>
        <v>603798</v>
      </c>
      <c r="C1492" t="s">
        <v>3288</v>
      </c>
      <c r="D1492" t="s">
        <v>1617</v>
      </c>
      <c r="F1492">
        <v>1108192438</v>
      </c>
      <c r="G1492">
        <v>919928685</v>
      </c>
      <c r="H1492">
        <v>970244077</v>
      </c>
      <c r="I1492">
        <v>847092928</v>
      </c>
      <c r="J1492">
        <v>895663828</v>
      </c>
      <c r="K1492">
        <v>820805733</v>
      </c>
      <c r="L1492">
        <v>710867273</v>
      </c>
      <c r="M1492">
        <v>703833171</v>
      </c>
      <c r="N1492">
        <v>666414481</v>
      </c>
      <c r="P1492">
        <v>141</v>
      </c>
      <c r="Q1492" t="s">
        <v>3289</v>
      </c>
    </row>
    <row r="1493" spans="1:17" x14ac:dyDescent="0.3">
      <c r="A1493" t="s">
        <v>17</v>
      </c>
      <c r="B1493" t="str">
        <f>"603799"</f>
        <v>603799</v>
      </c>
      <c r="C1493" t="s">
        <v>3290</v>
      </c>
      <c r="D1493" t="s">
        <v>1440</v>
      </c>
      <c r="F1493">
        <v>35316549000</v>
      </c>
      <c r="G1493">
        <v>21186843966</v>
      </c>
      <c r="H1493">
        <v>18852828463</v>
      </c>
      <c r="I1493">
        <v>14450762952</v>
      </c>
      <c r="J1493">
        <v>9653222711</v>
      </c>
      <c r="K1493">
        <v>4889385103</v>
      </c>
      <c r="L1493">
        <v>4029261579</v>
      </c>
      <c r="M1493">
        <v>4353330287</v>
      </c>
      <c r="N1493">
        <v>3585272216</v>
      </c>
      <c r="O1493">
        <v>3533460283</v>
      </c>
      <c r="P1493">
        <v>1518</v>
      </c>
      <c r="Q1493" t="s">
        <v>3291</v>
      </c>
    </row>
    <row r="1494" spans="1:17" x14ac:dyDescent="0.3">
      <c r="A1494" t="s">
        <v>17</v>
      </c>
      <c r="B1494" t="str">
        <f>"603800"</f>
        <v>603800</v>
      </c>
      <c r="C1494" t="s">
        <v>3292</v>
      </c>
      <c r="D1494" t="s">
        <v>395</v>
      </c>
      <c r="F1494">
        <v>1174734810</v>
      </c>
      <c r="G1494">
        <v>847683914</v>
      </c>
      <c r="H1494">
        <v>1309783444</v>
      </c>
      <c r="I1494">
        <v>1169304871</v>
      </c>
      <c r="J1494">
        <v>830490477</v>
      </c>
      <c r="K1494">
        <v>416710326</v>
      </c>
      <c r="L1494">
        <v>590323432</v>
      </c>
      <c r="M1494">
        <v>960636252</v>
      </c>
      <c r="N1494">
        <v>762389973</v>
      </c>
      <c r="O1494">
        <v>736075746</v>
      </c>
      <c r="P1494">
        <v>75</v>
      </c>
      <c r="Q1494" t="s">
        <v>3293</v>
      </c>
    </row>
    <row r="1495" spans="1:17" x14ac:dyDescent="0.3">
      <c r="A1495" t="s">
        <v>17</v>
      </c>
      <c r="B1495" t="str">
        <f>"603801"</f>
        <v>603801</v>
      </c>
      <c r="C1495" t="s">
        <v>3294</v>
      </c>
      <c r="D1495" t="s">
        <v>2664</v>
      </c>
      <c r="F1495">
        <v>5152797816</v>
      </c>
      <c r="G1495">
        <v>3840444627</v>
      </c>
      <c r="H1495">
        <v>2962140003</v>
      </c>
      <c r="I1495">
        <v>2432994271</v>
      </c>
      <c r="J1495">
        <v>2156875383</v>
      </c>
      <c r="K1495">
        <v>1569992665</v>
      </c>
      <c r="L1495">
        <v>1188415152</v>
      </c>
      <c r="M1495">
        <v>1049728347</v>
      </c>
      <c r="P1495">
        <v>770</v>
      </c>
      <c r="Q1495" t="s">
        <v>3295</v>
      </c>
    </row>
    <row r="1496" spans="1:17" x14ac:dyDescent="0.3">
      <c r="A1496" t="s">
        <v>17</v>
      </c>
      <c r="B1496" t="str">
        <f>"603803"</f>
        <v>603803</v>
      </c>
      <c r="C1496" t="s">
        <v>3296</v>
      </c>
      <c r="D1496" t="s">
        <v>786</v>
      </c>
      <c r="F1496">
        <v>1853177460</v>
      </c>
      <c r="G1496">
        <v>1952143218</v>
      </c>
      <c r="H1496">
        <v>2660080151</v>
      </c>
      <c r="I1496">
        <v>2412930802</v>
      </c>
      <c r="J1496">
        <v>2115834000</v>
      </c>
      <c r="K1496">
        <v>1998640136</v>
      </c>
      <c r="L1496">
        <v>1702356242</v>
      </c>
      <c r="M1496">
        <v>1477566536</v>
      </c>
      <c r="P1496">
        <v>153</v>
      </c>
      <c r="Q1496" t="s">
        <v>3297</v>
      </c>
    </row>
    <row r="1497" spans="1:17" x14ac:dyDescent="0.3">
      <c r="A1497" t="s">
        <v>17</v>
      </c>
      <c r="B1497" t="str">
        <f>"603806"</f>
        <v>603806</v>
      </c>
      <c r="C1497" t="s">
        <v>3298</v>
      </c>
      <c r="D1497" t="s">
        <v>478</v>
      </c>
      <c r="F1497">
        <v>12857893793</v>
      </c>
      <c r="G1497">
        <v>8393142041</v>
      </c>
      <c r="H1497">
        <v>6378151356</v>
      </c>
      <c r="I1497">
        <v>4809736098</v>
      </c>
      <c r="J1497">
        <v>4584919762</v>
      </c>
      <c r="K1497">
        <v>3951607265</v>
      </c>
      <c r="L1497">
        <v>3332804771</v>
      </c>
      <c r="M1497">
        <v>2385859482</v>
      </c>
      <c r="N1497">
        <v>1957411175</v>
      </c>
      <c r="O1497">
        <v>2193800382</v>
      </c>
      <c r="P1497">
        <v>1029</v>
      </c>
      <c r="Q1497" t="s">
        <v>3299</v>
      </c>
    </row>
    <row r="1498" spans="1:17" x14ac:dyDescent="0.3">
      <c r="A1498" t="s">
        <v>17</v>
      </c>
      <c r="B1498" t="str">
        <f>"603808"</f>
        <v>603808</v>
      </c>
      <c r="C1498" t="s">
        <v>3300</v>
      </c>
      <c r="D1498" t="s">
        <v>255</v>
      </c>
      <c r="F1498">
        <v>2362748585</v>
      </c>
      <c r="G1498">
        <v>1962142551</v>
      </c>
      <c r="H1498">
        <v>2612593692</v>
      </c>
      <c r="I1498">
        <v>2436101153</v>
      </c>
      <c r="J1498">
        <v>2053045865</v>
      </c>
      <c r="K1498">
        <v>1132063281</v>
      </c>
      <c r="L1498">
        <v>835289709</v>
      </c>
      <c r="M1498">
        <v>743951288</v>
      </c>
      <c r="N1498">
        <v>710406628</v>
      </c>
      <c r="O1498">
        <v>599098676</v>
      </c>
      <c r="P1498">
        <v>479</v>
      </c>
      <c r="Q1498" t="s">
        <v>3301</v>
      </c>
    </row>
    <row r="1499" spans="1:17" x14ac:dyDescent="0.3">
      <c r="A1499" t="s">
        <v>17</v>
      </c>
      <c r="B1499" t="str">
        <f>"603809"</f>
        <v>603809</v>
      </c>
      <c r="C1499" t="s">
        <v>3302</v>
      </c>
      <c r="D1499" t="s">
        <v>348</v>
      </c>
      <c r="F1499">
        <v>1444218617</v>
      </c>
      <c r="G1499">
        <v>1170791355</v>
      </c>
      <c r="H1499">
        <v>927702488</v>
      </c>
      <c r="I1499">
        <v>930241258</v>
      </c>
      <c r="J1499">
        <v>842278280</v>
      </c>
      <c r="K1499">
        <v>643821135</v>
      </c>
      <c r="L1499">
        <v>601119810</v>
      </c>
      <c r="M1499">
        <v>613432127</v>
      </c>
      <c r="P1499">
        <v>137</v>
      </c>
      <c r="Q1499" t="s">
        <v>3303</v>
      </c>
    </row>
    <row r="1500" spans="1:17" x14ac:dyDescent="0.3">
      <c r="A1500" t="s">
        <v>17</v>
      </c>
      <c r="B1500" t="str">
        <f>"603810"</f>
        <v>603810</v>
      </c>
      <c r="C1500" t="s">
        <v>3304</v>
      </c>
      <c r="D1500" t="s">
        <v>853</v>
      </c>
      <c r="F1500">
        <v>1518111081</v>
      </c>
      <c r="G1500">
        <v>1494085529</v>
      </c>
      <c r="H1500">
        <v>865755070</v>
      </c>
      <c r="I1500">
        <v>1316552081</v>
      </c>
      <c r="J1500">
        <v>1259225624</v>
      </c>
      <c r="K1500">
        <v>1019131537</v>
      </c>
      <c r="L1500">
        <v>977275577</v>
      </c>
      <c r="P1500">
        <v>79</v>
      </c>
      <c r="Q1500" t="s">
        <v>3305</v>
      </c>
    </row>
    <row r="1501" spans="1:17" x14ac:dyDescent="0.3">
      <c r="A1501" t="s">
        <v>17</v>
      </c>
      <c r="B1501" t="str">
        <f>"603811"</f>
        <v>603811</v>
      </c>
      <c r="C1501" t="s">
        <v>3306</v>
      </c>
      <c r="D1501" t="s">
        <v>143</v>
      </c>
      <c r="F1501">
        <v>693964770</v>
      </c>
      <c r="G1501">
        <v>758132059</v>
      </c>
      <c r="H1501">
        <v>681227988</v>
      </c>
      <c r="I1501">
        <v>545765999</v>
      </c>
      <c r="J1501">
        <v>340892106</v>
      </c>
      <c r="K1501">
        <v>321223084</v>
      </c>
      <c r="L1501">
        <v>316953907</v>
      </c>
      <c r="M1501">
        <v>320232009</v>
      </c>
      <c r="P1501">
        <v>327</v>
      </c>
      <c r="Q1501" t="s">
        <v>3307</v>
      </c>
    </row>
    <row r="1502" spans="1:17" x14ac:dyDescent="0.3">
      <c r="A1502" t="s">
        <v>17</v>
      </c>
      <c r="B1502" t="str">
        <f>"603813"</f>
        <v>603813</v>
      </c>
      <c r="C1502" t="s">
        <v>3308</v>
      </c>
      <c r="D1502" t="s">
        <v>2503</v>
      </c>
      <c r="F1502">
        <v>490177488</v>
      </c>
      <c r="G1502">
        <v>460120061</v>
      </c>
      <c r="H1502">
        <v>1032726890</v>
      </c>
      <c r="I1502">
        <v>814113166</v>
      </c>
      <c r="J1502">
        <v>392513418</v>
      </c>
      <c r="K1502">
        <v>337565633</v>
      </c>
      <c r="L1502">
        <v>293021628</v>
      </c>
      <c r="M1502">
        <v>292771127</v>
      </c>
      <c r="P1502">
        <v>59</v>
      </c>
      <c r="Q1502" t="s">
        <v>3309</v>
      </c>
    </row>
    <row r="1503" spans="1:17" x14ac:dyDescent="0.3">
      <c r="A1503" t="s">
        <v>17</v>
      </c>
      <c r="B1503" t="str">
        <f>"603815"</f>
        <v>603815</v>
      </c>
      <c r="C1503" t="s">
        <v>3310</v>
      </c>
      <c r="D1503" t="s">
        <v>101</v>
      </c>
      <c r="F1503">
        <v>5127323244</v>
      </c>
      <c r="G1503">
        <v>3179196760</v>
      </c>
      <c r="H1503">
        <v>2851876672</v>
      </c>
      <c r="I1503">
        <v>2722382860</v>
      </c>
      <c r="J1503">
        <v>2625113184</v>
      </c>
      <c r="K1503">
        <v>2500385983</v>
      </c>
      <c r="P1503">
        <v>85</v>
      </c>
      <c r="Q1503" t="s">
        <v>3311</v>
      </c>
    </row>
    <row r="1504" spans="1:17" x14ac:dyDescent="0.3">
      <c r="A1504" t="s">
        <v>17</v>
      </c>
      <c r="B1504" t="str">
        <f>"603816"</f>
        <v>603816</v>
      </c>
      <c r="C1504" t="s">
        <v>3312</v>
      </c>
      <c r="D1504" t="s">
        <v>757</v>
      </c>
      <c r="F1504">
        <v>18341952308</v>
      </c>
      <c r="G1504">
        <v>12665990727</v>
      </c>
      <c r="H1504">
        <v>11093593126</v>
      </c>
      <c r="I1504">
        <v>9172118015</v>
      </c>
      <c r="J1504">
        <v>6665443958</v>
      </c>
      <c r="K1504">
        <v>4794534972</v>
      </c>
      <c r="L1504">
        <v>3684846010</v>
      </c>
      <c r="M1504">
        <v>3239713903</v>
      </c>
      <c r="N1504">
        <v>2681748172</v>
      </c>
      <c r="P1504">
        <v>1965</v>
      </c>
      <c r="Q1504" t="s">
        <v>3313</v>
      </c>
    </row>
    <row r="1505" spans="1:17" x14ac:dyDescent="0.3">
      <c r="A1505" t="s">
        <v>17</v>
      </c>
      <c r="B1505" t="str">
        <f>"603817"</f>
        <v>603817</v>
      </c>
      <c r="C1505" t="s">
        <v>3314</v>
      </c>
      <c r="D1505" t="s">
        <v>33</v>
      </c>
      <c r="F1505">
        <v>889578798</v>
      </c>
      <c r="G1505">
        <v>732802129</v>
      </c>
      <c r="H1505">
        <v>640550658</v>
      </c>
      <c r="I1505">
        <v>482498878</v>
      </c>
      <c r="J1505">
        <v>348687896</v>
      </c>
      <c r="K1505">
        <v>330302235</v>
      </c>
      <c r="L1505">
        <v>280562323</v>
      </c>
      <c r="M1505">
        <v>249670485</v>
      </c>
      <c r="N1505">
        <v>180257713</v>
      </c>
      <c r="P1505">
        <v>121</v>
      </c>
      <c r="Q1505" t="s">
        <v>3315</v>
      </c>
    </row>
    <row r="1506" spans="1:17" x14ac:dyDescent="0.3">
      <c r="A1506" t="s">
        <v>17</v>
      </c>
      <c r="B1506" t="str">
        <f>"603818"</f>
        <v>603818</v>
      </c>
      <c r="C1506" t="s">
        <v>3316</v>
      </c>
      <c r="D1506" t="s">
        <v>757</v>
      </c>
      <c r="F1506">
        <v>5073255641</v>
      </c>
      <c r="G1506">
        <v>4278737934</v>
      </c>
      <c r="H1506">
        <v>4279355738</v>
      </c>
      <c r="I1506">
        <v>2891634688</v>
      </c>
      <c r="J1506">
        <v>2097176220</v>
      </c>
      <c r="K1506">
        <v>1663773608</v>
      </c>
      <c r="L1506">
        <v>1255463489</v>
      </c>
      <c r="M1506">
        <v>1093759581</v>
      </c>
      <c r="N1506">
        <v>1017069204</v>
      </c>
      <c r="O1506">
        <v>923464232</v>
      </c>
      <c r="P1506">
        <v>202</v>
      </c>
      <c r="Q1506" t="s">
        <v>3317</v>
      </c>
    </row>
    <row r="1507" spans="1:17" x14ac:dyDescent="0.3">
      <c r="A1507" t="s">
        <v>17</v>
      </c>
      <c r="B1507" t="str">
        <f>"603819"</f>
        <v>603819</v>
      </c>
      <c r="C1507" t="s">
        <v>3318</v>
      </c>
      <c r="D1507" t="s">
        <v>1171</v>
      </c>
      <c r="F1507">
        <v>1441858674</v>
      </c>
      <c r="G1507">
        <v>941074429</v>
      </c>
      <c r="H1507">
        <v>1102166833</v>
      </c>
      <c r="I1507">
        <v>953298756</v>
      </c>
      <c r="J1507">
        <v>717931420</v>
      </c>
      <c r="K1507">
        <v>555230432</v>
      </c>
      <c r="L1507">
        <v>573459803</v>
      </c>
      <c r="M1507">
        <v>549616280</v>
      </c>
      <c r="N1507">
        <v>566317929</v>
      </c>
      <c r="P1507">
        <v>74</v>
      </c>
      <c r="Q1507" t="s">
        <v>3319</v>
      </c>
    </row>
    <row r="1508" spans="1:17" x14ac:dyDescent="0.3">
      <c r="A1508" t="s">
        <v>17</v>
      </c>
      <c r="B1508" t="str">
        <f>"603822"</f>
        <v>603822</v>
      </c>
      <c r="C1508" t="s">
        <v>3320</v>
      </c>
      <c r="D1508" t="s">
        <v>386</v>
      </c>
      <c r="F1508">
        <v>1916223504</v>
      </c>
      <c r="G1508">
        <v>1230146036</v>
      </c>
      <c r="H1508">
        <v>1253983662</v>
      </c>
      <c r="I1508">
        <v>1039488644</v>
      </c>
      <c r="J1508">
        <v>882577050</v>
      </c>
      <c r="K1508">
        <v>506196446</v>
      </c>
      <c r="L1508">
        <v>511811869</v>
      </c>
      <c r="M1508">
        <v>587099541</v>
      </c>
      <c r="N1508">
        <v>597494229</v>
      </c>
      <c r="P1508">
        <v>124</v>
      </c>
      <c r="Q1508" t="s">
        <v>3321</v>
      </c>
    </row>
    <row r="1509" spans="1:17" x14ac:dyDescent="0.3">
      <c r="A1509" t="s">
        <v>17</v>
      </c>
      <c r="B1509" t="str">
        <f>"603823"</f>
        <v>603823</v>
      </c>
      <c r="C1509" t="s">
        <v>3322</v>
      </c>
      <c r="D1509" t="s">
        <v>2585</v>
      </c>
      <c r="F1509">
        <v>2457295597</v>
      </c>
      <c r="G1509">
        <v>2005080281</v>
      </c>
      <c r="H1509">
        <v>1981145584</v>
      </c>
      <c r="I1509">
        <v>1813059743</v>
      </c>
      <c r="J1509">
        <v>1510888565</v>
      </c>
      <c r="K1509">
        <v>1358685154</v>
      </c>
      <c r="L1509">
        <v>1155954375</v>
      </c>
      <c r="M1509">
        <v>1267983304</v>
      </c>
      <c r="N1509">
        <v>1179758528</v>
      </c>
      <c r="P1509">
        <v>142</v>
      </c>
      <c r="Q1509" t="s">
        <v>3323</v>
      </c>
    </row>
    <row r="1510" spans="1:17" x14ac:dyDescent="0.3">
      <c r="A1510" t="s">
        <v>17</v>
      </c>
      <c r="B1510" t="str">
        <f>"603825"</f>
        <v>603825</v>
      </c>
      <c r="C1510" t="s">
        <v>3324</v>
      </c>
      <c r="D1510" t="s">
        <v>207</v>
      </c>
      <c r="F1510">
        <v>13213735965</v>
      </c>
      <c r="G1510">
        <v>9143765645</v>
      </c>
      <c r="H1510">
        <v>10506790064</v>
      </c>
      <c r="I1510">
        <v>10747706568</v>
      </c>
      <c r="J1510">
        <v>8216438196</v>
      </c>
      <c r="K1510">
        <v>6638730573</v>
      </c>
      <c r="L1510">
        <v>5181033559</v>
      </c>
      <c r="M1510">
        <v>3023110958</v>
      </c>
      <c r="P1510">
        <v>158</v>
      </c>
      <c r="Q1510" t="s">
        <v>3325</v>
      </c>
    </row>
    <row r="1511" spans="1:17" x14ac:dyDescent="0.3">
      <c r="A1511" t="s">
        <v>17</v>
      </c>
      <c r="B1511" t="str">
        <f>"603826"</f>
        <v>603826</v>
      </c>
      <c r="C1511" t="s">
        <v>3326</v>
      </c>
      <c r="D1511" t="s">
        <v>2762</v>
      </c>
      <c r="F1511">
        <v>893092772</v>
      </c>
      <c r="G1511">
        <v>749891529</v>
      </c>
      <c r="H1511">
        <v>617005964</v>
      </c>
      <c r="I1511">
        <v>586774773</v>
      </c>
      <c r="J1511">
        <v>469163702</v>
      </c>
      <c r="K1511">
        <v>408242753</v>
      </c>
      <c r="L1511">
        <v>327463895</v>
      </c>
      <c r="M1511">
        <v>315078277</v>
      </c>
      <c r="P1511">
        <v>265</v>
      </c>
      <c r="Q1511" t="s">
        <v>3327</v>
      </c>
    </row>
    <row r="1512" spans="1:17" x14ac:dyDescent="0.3">
      <c r="A1512" t="s">
        <v>17</v>
      </c>
      <c r="B1512" t="str">
        <f>"603828"</f>
        <v>603828</v>
      </c>
      <c r="C1512" t="s">
        <v>3328</v>
      </c>
      <c r="D1512" t="s">
        <v>450</v>
      </c>
      <c r="F1512">
        <v>2577857461</v>
      </c>
      <c r="G1512">
        <v>2657002804</v>
      </c>
      <c r="H1512">
        <v>2287030202</v>
      </c>
      <c r="I1512">
        <v>2385252631</v>
      </c>
      <c r="J1512">
        <v>2035009615</v>
      </c>
      <c r="K1512">
        <v>1636976947</v>
      </c>
      <c r="L1512">
        <v>1627715910</v>
      </c>
      <c r="M1512">
        <v>1844304355</v>
      </c>
      <c r="N1512">
        <v>1707883793</v>
      </c>
      <c r="O1512">
        <v>1135001492</v>
      </c>
      <c r="P1512">
        <v>66</v>
      </c>
      <c r="Q1512" t="s">
        <v>3329</v>
      </c>
    </row>
    <row r="1513" spans="1:17" x14ac:dyDescent="0.3">
      <c r="A1513" t="s">
        <v>17</v>
      </c>
      <c r="B1513" t="str">
        <f>"603829"</f>
        <v>603829</v>
      </c>
      <c r="C1513" t="s">
        <v>3330</v>
      </c>
      <c r="D1513" t="s">
        <v>657</v>
      </c>
      <c r="F1513">
        <v>1282747925</v>
      </c>
      <c r="G1513">
        <v>879563153</v>
      </c>
      <c r="H1513">
        <v>614338989</v>
      </c>
      <c r="I1513">
        <v>560128561</v>
      </c>
      <c r="J1513">
        <v>486134755</v>
      </c>
      <c r="K1513">
        <v>442857944</v>
      </c>
      <c r="L1513">
        <v>432378101</v>
      </c>
      <c r="M1513">
        <v>427121165</v>
      </c>
      <c r="P1513">
        <v>50</v>
      </c>
      <c r="Q1513" t="s">
        <v>3331</v>
      </c>
    </row>
    <row r="1514" spans="1:17" x14ac:dyDescent="0.3">
      <c r="A1514" t="s">
        <v>17</v>
      </c>
      <c r="B1514" t="str">
        <f>"603833"</f>
        <v>603833</v>
      </c>
      <c r="C1514" t="s">
        <v>3332</v>
      </c>
      <c r="D1514" t="s">
        <v>2664</v>
      </c>
      <c r="F1514">
        <v>20441604592</v>
      </c>
      <c r="G1514">
        <v>14739690238</v>
      </c>
      <c r="H1514">
        <v>13533360201</v>
      </c>
      <c r="I1514">
        <v>11509386516</v>
      </c>
      <c r="J1514">
        <v>9710178011</v>
      </c>
      <c r="K1514">
        <v>7134130645</v>
      </c>
      <c r="L1514">
        <v>5607089739</v>
      </c>
      <c r="M1514">
        <v>4751079983</v>
      </c>
      <c r="P1514">
        <v>2566</v>
      </c>
      <c r="Q1514" t="s">
        <v>3333</v>
      </c>
    </row>
    <row r="1515" spans="1:17" x14ac:dyDescent="0.3">
      <c r="A1515" t="s">
        <v>17</v>
      </c>
      <c r="B1515" t="str">
        <f>"603836"</f>
        <v>603836</v>
      </c>
      <c r="C1515" t="s">
        <v>3334</v>
      </c>
      <c r="D1515" t="s">
        <v>287</v>
      </c>
      <c r="F1515">
        <v>11913083361</v>
      </c>
      <c r="G1515">
        <v>5427929319</v>
      </c>
      <c r="H1515">
        <v>3413338363</v>
      </c>
      <c r="I1515">
        <v>2431030179</v>
      </c>
      <c r="J1515">
        <v>2228435235</v>
      </c>
      <c r="P1515">
        <v>29</v>
      </c>
      <c r="Q1515" t="s">
        <v>3335</v>
      </c>
    </row>
    <row r="1516" spans="1:17" x14ac:dyDescent="0.3">
      <c r="A1516" t="s">
        <v>17</v>
      </c>
      <c r="B1516" t="str">
        <f>"603838"</f>
        <v>603838</v>
      </c>
      <c r="C1516" t="s">
        <v>3336</v>
      </c>
      <c r="D1516" t="s">
        <v>2445</v>
      </c>
      <c r="F1516">
        <v>378010134</v>
      </c>
      <c r="G1516">
        <v>292627320</v>
      </c>
      <c r="H1516">
        <v>405034954</v>
      </c>
      <c r="I1516">
        <v>447043897</v>
      </c>
      <c r="J1516">
        <v>421294754</v>
      </c>
      <c r="K1516">
        <v>420470476</v>
      </c>
      <c r="L1516">
        <v>465002943</v>
      </c>
      <c r="M1516">
        <v>475009910</v>
      </c>
      <c r="N1516">
        <v>457379177</v>
      </c>
      <c r="O1516">
        <v>445952065</v>
      </c>
      <c r="P1516">
        <v>49</v>
      </c>
      <c r="Q1516" t="s">
        <v>3337</v>
      </c>
    </row>
    <row r="1517" spans="1:17" x14ac:dyDescent="0.3">
      <c r="A1517" t="s">
        <v>17</v>
      </c>
      <c r="B1517" t="str">
        <f>"603839"</f>
        <v>603839</v>
      </c>
      <c r="C1517" t="s">
        <v>3338</v>
      </c>
      <c r="D1517" t="s">
        <v>255</v>
      </c>
      <c r="F1517">
        <v>3077827437</v>
      </c>
      <c r="G1517">
        <v>3594451914</v>
      </c>
      <c r="H1517">
        <v>2438059556</v>
      </c>
      <c r="I1517">
        <v>1649259977</v>
      </c>
      <c r="J1517">
        <v>1420671778</v>
      </c>
      <c r="K1517">
        <v>1206172276</v>
      </c>
      <c r="L1517">
        <v>1224891741</v>
      </c>
      <c r="M1517">
        <v>1172114836</v>
      </c>
      <c r="N1517">
        <v>1140786478</v>
      </c>
      <c r="P1517">
        <v>136</v>
      </c>
      <c r="Q1517" t="s">
        <v>3339</v>
      </c>
    </row>
    <row r="1518" spans="1:17" x14ac:dyDescent="0.3">
      <c r="A1518" t="s">
        <v>17</v>
      </c>
      <c r="B1518" t="str">
        <f>"603843"</f>
        <v>603843</v>
      </c>
      <c r="C1518" t="s">
        <v>3340</v>
      </c>
      <c r="D1518" t="s">
        <v>101</v>
      </c>
      <c r="F1518">
        <v>5125707610</v>
      </c>
      <c r="G1518">
        <v>4891605145</v>
      </c>
      <c r="H1518">
        <v>3728620813</v>
      </c>
      <c r="I1518">
        <v>2812266652</v>
      </c>
      <c r="J1518">
        <v>1485915280</v>
      </c>
      <c r="K1518">
        <v>2114845032</v>
      </c>
      <c r="L1518">
        <v>2407793561</v>
      </c>
      <c r="M1518">
        <v>2571373972</v>
      </c>
      <c r="N1518">
        <v>1883277775</v>
      </c>
      <c r="P1518">
        <v>90</v>
      </c>
      <c r="Q1518" t="s">
        <v>3341</v>
      </c>
    </row>
    <row r="1519" spans="1:17" x14ac:dyDescent="0.3">
      <c r="A1519" t="s">
        <v>17</v>
      </c>
      <c r="B1519" t="str">
        <f>"603848"</f>
        <v>603848</v>
      </c>
      <c r="C1519" t="s">
        <v>3342</v>
      </c>
      <c r="D1519" t="s">
        <v>757</v>
      </c>
      <c r="F1519">
        <v>1425448447</v>
      </c>
      <c r="G1519">
        <v>1160006310</v>
      </c>
      <c r="H1519">
        <v>1260272468</v>
      </c>
      <c r="I1519">
        <v>1310210114</v>
      </c>
      <c r="J1519">
        <v>1112734356</v>
      </c>
      <c r="K1519">
        <v>807821929</v>
      </c>
      <c r="L1519">
        <v>678701926</v>
      </c>
      <c r="M1519">
        <v>594214260</v>
      </c>
      <c r="P1519">
        <v>415</v>
      </c>
      <c r="Q1519" t="s">
        <v>3343</v>
      </c>
    </row>
    <row r="1520" spans="1:17" x14ac:dyDescent="0.3">
      <c r="A1520" t="s">
        <v>17</v>
      </c>
      <c r="B1520" t="str">
        <f>"603855"</f>
        <v>603855</v>
      </c>
      <c r="C1520" t="s">
        <v>3344</v>
      </c>
      <c r="D1520" t="s">
        <v>741</v>
      </c>
      <c r="F1520">
        <v>3027303166</v>
      </c>
      <c r="G1520">
        <v>2282712179</v>
      </c>
      <c r="H1520">
        <v>1942546516</v>
      </c>
      <c r="I1520">
        <v>1631278915</v>
      </c>
      <c r="J1520">
        <v>1479452098</v>
      </c>
      <c r="K1520">
        <v>1200448745</v>
      </c>
      <c r="L1520">
        <v>1317073311</v>
      </c>
      <c r="M1520">
        <v>1369198349</v>
      </c>
      <c r="P1520">
        <v>222</v>
      </c>
      <c r="Q1520" t="s">
        <v>3345</v>
      </c>
    </row>
    <row r="1521" spans="1:17" x14ac:dyDescent="0.3">
      <c r="A1521" t="s">
        <v>17</v>
      </c>
      <c r="B1521" t="str">
        <f>"603856"</f>
        <v>603856</v>
      </c>
      <c r="C1521" t="s">
        <v>3346</v>
      </c>
      <c r="D1521" t="s">
        <v>3347</v>
      </c>
      <c r="F1521">
        <v>2208926461</v>
      </c>
      <c r="G1521">
        <v>2392540785</v>
      </c>
      <c r="H1521">
        <v>1838571924</v>
      </c>
      <c r="I1521">
        <v>1637477997</v>
      </c>
      <c r="J1521">
        <v>1506479946</v>
      </c>
      <c r="K1521">
        <v>1123752638</v>
      </c>
      <c r="L1521">
        <v>1132976150</v>
      </c>
      <c r="M1521">
        <v>1071002557</v>
      </c>
      <c r="P1521">
        <v>138</v>
      </c>
      <c r="Q1521" t="s">
        <v>3348</v>
      </c>
    </row>
    <row r="1522" spans="1:17" x14ac:dyDescent="0.3">
      <c r="A1522" t="s">
        <v>17</v>
      </c>
      <c r="B1522" t="str">
        <f>"603858"</f>
        <v>603858</v>
      </c>
      <c r="C1522" t="s">
        <v>3349</v>
      </c>
      <c r="D1522" t="s">
        <v>188</v>
      </c>
      <c r="F1522">
        <v>15762679803</v>
      </c>
      <c r="G1522">
        <v>16006714339</v>
      </c>
      <c r="H1522">
        <v>14255454960</v>
      </c>
      <c r="I1522">
        <v>13664752614</v>
      </c>
      <c r="J1522">
        <v>13863918661</v>
      </c>
      <c r="K1522">
        <v>12320883101</v>
      </c>
      <c r="L1522">
        <v>11655627388</v>
      </c>
      <c r="M1522">
        <v>10333616102</v>
      </c>
      <c r="N1522">
        <v>8591698814</v>
      </c>
      <c r="P1522">
        <v>828</v>
      </c>
      <c r="Q1522" t="s">
        <v>3350</v>
      </c>
    </row>
    <row r="1523" spans="1:17" x14ac:dyDescent="0.3">
      <c r="A1523" t="s">
        <v>17</v>
      </c>
      <c r="B1523" t="str">
        <f>"603859"</f>
        <v>603859</v>
      </c>
      <c r="C1523" t="s">
        <v>3351</v>
      </c>
      <c r="D1523" t="s">
        <v>2432</v>
      </c>
      <c r="F1523">
        <v>1140853605</v>
      </c>
      <c r="G1523">
        <v>951907667</v>
      </c>
      <c r="H1523">
        <v>765796774</v>
      </c>
      <c r="I1523">
        <v>407954215</v>
      </c>
      <c r="J1523">
        <v>229033032</v>
      </c>
      <c r="K1523">
        <v>228524328</v>
      </c>
      <c r="L1523">
        <v>221152976</v>
      </c>
      <c r="M1523">
        <v>223507654</v>
      </c>
      <c r="N1523">
        <v>244146478</v>
      </c>
      <c r="P1523">
        <v>205</v>
      </c>
      <c r="Q1523" t="s">
        <v>3352</v>
      </c>
    </row>
    <row r="1524" spans="1:17" x14ac:dyDescent="0.3">
      <c r="A1524" t="s">
        <v>17</v>
      </c>
      <c r="B1524" t="str">
        <f>"603860"</f>
        <v>603860</v>
      </c>
      <c r="C1524" t="s">
        <v>3353</v>
      </c>
      <c r="D1524" t="s">
        <v>1272</v>
      </c>
      <c r="F1524">
        <v>203294982</v>
      </c>
      <c r="G1524">
        <v>179709123</v>
      </c>
      <c r="H1524">
        <v>216783909</v>
      </c>
      <c r="I1524">
        <v>208693886</v>
      </c>
      <c r="J1524">
        <v>192305201</v>
      </c>
      <c r="K1524">
        <v>171733319</v>
      </c>
      <c r="L1524">
        <v>152693871</v>
      </c>
      <c r="M1524">
        <v>140514357</v>
      </c>
      <c r="P1524">
        <v>58</v>
      </c>
      <c r="Q1524" t="s">
        <v>3354</v>
      </c>
    </row>
    <row r="1525" spans="1:17" x14ac:dyDescent="0.3">
      <c r="A1525" t="s">
        <v>17</v>
      </c>
      <c r="B1525" t="str">
        <f>"603861"</f>
        <v>603861</v>
      </c>
      <c r="C1525" t="s">
        <v>3355</v>
      </c>
      <c r="D1525" t="s">
        <v>657</v>
      </c>
      <c r="F1525">
        <v>3512769517</v>
      </c>
      <c r="G1525">
        <v>3028376260</v>
      </c>
      <c r="H1525">
        <v>2860963458</v>
      </c>
      <c r="I1525">
        <v>2575811743</v>
      </c>
      <c r="J1525">
        <v>1513674095</v>
      </c>
      <c r="K1525">
        <v>1364065491</v>
      </c>
      <c r="L1525">
        <v>1263877528</v>
      </c>
      <c r="M1525">
        <v>1119234262</v>
      </c>
      <c r="N1525">
        <v>1063814611</v>
      </c>
      <c r="P1525">
        <v>109</v>
      </c>
      <c r="Q1525" t="s">
        <v>3356</v>
      </c>
    </row>
    <row r="1526" spans="1:17" x14ac:dyDescent="0.3">
      <c r="A1526" t="s">
        <v>17</v>
      </c>
      <c r="B1526" t="str">
        <f>"603863"</f>
        <v>603863</v>
      </c>
      <c r="C1526" t="s">
        <v>3357</v>
      </c>
      <c r="D1526" t="s">
        <v>694</v>
      </c>
      <c r="F1526">
        <v>597070286</v>
      </c>
      <c r="G1526">
        <v>498946845</v>
      </c>
      <c r="H1526">
        <v>583341266</v>
      </c>
      <c r="I1526">
        <v>601168753</v>
      </c>
      <c r="J1526">
        <v>459003583</v>
      </c>
      <c r="K1526">
        <v>374788925</v>
      </c>
      <c r="P1526">
        <v>51</v>
      </c>
      <c r="Q1526" t="s">
        <v>3358</v>
      </c>
    </row>
    <row r="1527" spans="1:17" x14ac:dyDescent="0.3">
      <c r="A1527" t="s">
        <v>17</v>
      </c>
      <c r="B1527" t="str">
        <f>"603866"</f>
        <v>603866</v>
      </c>
      <c r="C1527" t="s">
        <v>3359</v>
      </c>
      <c r="D1527" t="s">
        <v>2488</v>
      </c>
      <c r="F1527">
        <v>6335381672</v>
      </c>
      <c r="G1527">
        <v>5963004181</v>
      </c>
      <c r="H1527">
        <v>5643709760</v>
      </c>
      <c r="I1527">
        <v>4833227646</v>
      </c>
      <c r="J1527">
        <v>4079709862</v>
      </c>
      <c r="K1527">
        <v>3305480010</v>
      </c>
      <c r="L1527">
        <v>2563330459</v>
      </c>
      <c r="M1527">
        <v>2058033807</v>
      </c>
      <c r="N1527">
        <v>1757829629</v>
      </c>
      <c r="O1527">
        <v>1527556502</v>
      </c>
      <c r="P1527">
        <v>7675</v>
      </c>
      <c r="Q1527" t="s">
        <v>3360</v>
      </c>
    </row>
    <row r="1528" spans="1:17" x14ac:dyDescent="0.3">
      <c r="A1528" t="s">
        <v>17</v>
      </c>
      <c r="B1528" t="str">
        <f>"603867"</f>
        <v>603867</v>
      </c>
      <c r="C1528" t="s">
        <v>3361</v>
      </c>
      <c r="D1528" t="s">
        <v>386</v>
      </c>
      <c r="F1528">
        <v>2554823934</v>
      </c>
      <c r="G1528">
        <v>2321141382</v>
      </c>
      <c r="H1528">
        <v>1717987561</v>
      </c>
      <c r="I1528">
        <v>2232215717</v>
      </c>
      <c r="J1528">
        <v>2026705868</v>
      </c>
      <c r="K1528">
        <v>1591259307</v>
      </c>
      <c r="P1528">
        <v>88</v>
      </c>
      <c r="Q1528" t="s">
        <v>3362</v>
      </c>
    </row>
    <row r="1529" spans="1:17" x14ac:dyDescent="0.3">
      <c r="A1529" t="s">
        <v>17</v>
      </c>
      <c r="B1529" t="str">
        <f>"603868"</f>
        <v>603868</v>
      </c>
      <c r="C1529" t="s">
        <v>3363</v>
      </c>
      <c r="D1529" t="s">
        <v>3364</v>
      </c>
      <c r="F1529">
        <v>4005257180</v>
      </c>
      <c r="G1529">
        <v>3567881031</v>
      </c>
      <c r="H1529">
        <v>3759367801</v>
      </c>
      <c r="I1529">
        <v>3976555487</v>
      </c>
      <c r="J1529">
        <v>3853428857</v>
      </c>
      <c r="K1529">
        <v>3363894822</v>
      </c>
      <c r="L1529">
        <v>2782626791</v>
      </c>
      <c r="M1529">
        <v>2400869510</v>
      </c>
      <c r="N1529">
        <v>2072432875</v>
      </c>
      <c r="P1529">
        <v>4431</v>
      </c>
      <c r="Q1529" t="s">
        <v>3365</v>
      </c>
    </row>
    <row r="1530" spans="1:17" x14ac:dyDescent="0.3">
      <c r="A1530" t="s">
        <v>17</v>
      </c>
      <c r="B1530" t="str">
        <f>"603869"</f>
        <v>603869</v>
      </c>
      <c r="C1530" t="s">
        <v>3366</v>
      </c>
      <c r="D1530" t="s">
        <v>316</v>
      </c>
      <c r="F1530">
        <v>936603680</v>
      </c>
      <c r="G1530">
        <v>1174809881</v>
      </c>
      <c r="H1530">
        <v>3227973599</v>
      </c>
      <c r="I1530">
        <v>3031653191</v>
      </c>
      <c r="J1530">
        <v>2511827733</v>
      </c>
      <c r="K1530">
        <v>920041377</v>
      </c>
      <c r="L1530">
        <v>364440764</v>
      </c>
      <c r="M1530">
        <v>328841392</v>
      </c>
      <c r="N1530">
        <v>315462883</v>
      </c>
      <c r="O1530">
        <v>303786458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"603871"</f>
        <v>603871</v>
      </c>
      <c r="C1531" t="s">
        <v>3368</v>
      </c>
      <c r="D1531" t="s">
        <v>287</v>
      </c>
      <c r="F1531">
        <v>3888023063</v>
      </c>
      <c r="G1531">
        <v>3281112617</v>
      </c>
      <c r="H1531">
        <v>4170611469</v>
      </c>
      <c r="I1531">
        <v>4100862741</v>
      </c>
      <c r="J1531">
        <v>3244249334</v>
      </c>
      <c r="K1531">
        <v>956915546</v>
      </c>
      <c r="L1531">
        <v>626667808</v>
      </c>
      <c r="M1531">
        <v>593445092</v>
      </c>
      <c r="P1531">
        <v>324</v>
      </c>
      <c r="Q1531" t="s">
        <v>3369</v>
      </c>
    </row>
    <row r="1532" spans="1:17" x14ac:dyDescent="0.3">
      <c r="A1532" t="s">
        <v>17</v>
      </c>
      <c r="B1532" t="str">
        <f>"603876"</f>
        <v>603876</v>
      </c>
      <c r="C1532" t="s">
        <v>3370</v>
      </c>
      <c r="D1532" t="s">
        <v>504</v>
      </c>
      <c r="F1532">
        <v>18167906523</v>
      </c>
      <c r="G1532">
        <v>12426553866</v>
      </c>
      <c r="H1532">
        <v>11236347031</v>
      </c>
      <c r="I1532">
        <v>10291373910</v>
      </c>
      <c r="J1532">
        <v>9200400175</v>
      </c>
      <c r="K1532">
        <v>7089432639</v>
      </c>
      <c r="L1532">
        <v>6417624330</v>
      </c>
      <c r="P1532">
        <v>143</v>
      </c>
      <c r="Q1532" t="s">
        <v>3371</v>
      </c>
    </row>
    <row r="1533" spans="1:17" x14ac:dyDescent="0.3">
      <c r="A1533" t="s">
        <v>17</v>
      </c>
      <c r="B1533" t="str">
        <f>"603877"</f>
        <v>603877</v>
      </c>
      <c r="C1533" t="s">
        <v>3372</v>
      </c>
      <c r="D1533" t="s">
        <v>255</v>
      </c>
      <c r="F1533">
        <v>10920759940</v>
      </c>
      <c r="G1533">
        <v>9386865188</v>
      </c>
      <c r="H1533">
        <v>7927624062</v>
      </c>
      <c r="I1533">
        <v>7711875388</v>
      </c>
      <c r="J1533">
        <v>7141653432</v>
      </c>
      <c r="K1533">
        <v>6320368584</v>
      </c>
      <c r="L1533">
        <v>5903336747</v>
      </c>
      <c r="M1533">
        <v>4999053310</v>
      </c>
      <c r="N1533">
        <v>3831167428</v>
      </c>
      <c r="P1533">
        <v>366</v>
      </c>
      <c r="Q1533" t="s">
        <v>3373</v>
      </c>
    </row>
    <row r="1534" spans="1:17" x14ac:dyDescent="0.3">
      <c r="A1534" t="s">
        <v>17</v>
      </c>
      <c r="B1534" t="str">
        <f>"603878"</f>
        <v>603878</v>
      </c>
      <c r="C1534" t="s">
        <v>3374</v>
      </c>
      <c r="D1534" t="s">
        <v>2238</v>
      </c>
      <c r="F1534">
        <v>2699188805</v>
      </c>
      <c r="G1534">
        <v>2400893160</v>
      </c>
      <c r="H1534">
        <v>2323555459</v>
      </c>
      <c r="I1534">
        <v>2000069795</v>
      </c>
      <c r="J1534">
        <v>1461195715</v>
      </c>
      <c r="K1534">
        <v>1326643055</v>
      </c>
      <c r="L1534">
        <v>1615520615</v>
      </c>
      <c r="M1534">
        <v>1607282827</v>
      </c>
      <c r="N1534">
        <v>1634801060</v>
      </c>
      <c r="P1534">
        <v>142</v>
      </c>
      <c r="Q1534" t="s">
        <v>3375</v>
      </c>
    </row>
    <row r="1535" spans="1:17" x14ac:dyDescent="0.3">
      <c r="A1535" t="s">
        <v>17</v>
      </c>
      <c r="B1535" t="str">
        <f>"603879"</f>
        <v>603879</v>
      </c>
      <c r="C1535" t="s">
        <v>3376</v>
      </c>
      <c r="D1535" t="s">
        <v>3377</v>
      </c>
      <c r="F1535">
        <v>396238713</v>
      </c>
      <c r="G1535">
        <v>406386873</v>
      </c>
      <c r="H1535">
        <v>428725782</v>
      </c>
      <c r="I1535">
        <v>608219278</v>
      </c>
      <c r="J1535">
        <v>559124157</v>
      </c>
      <c r="K1535">
        <v>536134573</v>
      </c>
      <c r="L1535">
        <v>548560961</v>
      </c>
      <c r="M1535">
        <v>570388591</v>
      </c>
      <c r="P1535">
        <v>55</v>
      </c>
      <c r="Q1535" t="s">
        <v>3378</v>
      </c>
    </row>
    <row r="1536" spans="1:17" x14ac:dyDescent="0.3">
      <c r="A1536" t="s">
        <v>17</v>
      </c>
      <c r="B1536" t="str">
        <f>"603880"</f>
        <v>603880</v>
      </c>
      <c r="C1536" t="s">
        <v>3379</v>
      </c>
      <c r="D1536" t="s">
        <v>1077</v>
      </c>
      <c r="F1536">
        <v>527440662</v>
      </c>
      <c r="G1536">
        <v>1072399918</v>
      </c>
      <c r="H1536">
        <v>491688012</v>
      </c>
      <c r="I1536">
        <v>479823816</v>
      </c>
      <c r="J1536">
        <v>488708744</v>
      </c>
      <c r="K1536">
        <v>444235500</v>
      </c>
      <c r="L1536">
        <v>433022478</v>
      </c>
      <c r="M1536">
        <v>469803420</v>
      </c>
      <c r="P1536">
        <v>125</v>
      </c>
      <c r="Q1536" t="s">
        <v>3380</v>
      </c>
    </row>
    <row r="1537" spans="1:17" x14ac:dyDescent="0.3">
      <c r="A1537" t="s">
        <v>17</v>
      </c>
      <c r="B1537" t="str">
        <f>"603881"</f>
        <v>603881</v>
      </c>
      <c r="C1537" t="s">
        <v>3381</v>
      </c>
      <c r="D1537" t="s">
        <v>316</v>
      </c>
      <c r="F1537">
        <v>1205840592</v>
      </c>
      <c r="G1537">
        <v>909735909</v>
      </c>
      <c r="H1537">
        <v>726641194</v>
      </c>
      <c r="I1537">
        <v>909678921</v>
      </c>
      <c r="J1537">
        <v>520228788</v>
      </c>
      <c r="K1537">
        <v>405972012</v>
      </c>
      <c r="L1537">
        <v>338374656</v>
      </c>
      <c r="M1537">
        <v>284430357</v>
      </c>
      <c r="N1537">
        <v>200102619</v>
      </c>
      <c r="P1537">
        <v>486</v>
      </c>
      <c r="Q1537" t="s">
        <v>3382</v>
      </c>
    </row>
    <row r="1538" spans="1:17" x14ac:dyDescent="0.3">
      <c r="A1538" t="s">
        <v>17</v>
      </c>
      <c r="B1538" t="str">
        <f>"603882"</f>
        <v>603882</v>
      </c>
      <c r="C1538" t="s">
        <v>3383</v>
      </c>
      <c r="D1538" t="s">
        <v>2580</v>
      </c>
      <c r="F1538">
        <v>11943223630</v>
      </c>
      <c r="G1538">
        <v>8243763517</v>
      </c>
      <c r="H1538">
        <v>5269266498</v>
      </c>
      <c r="I1538">
        <v>4525252829</v>
      </c>
      <c r="J1538">
        <v>3791717684</v>
      </c>
      <c r="K1538">
        <v>3221579722</v>
      </c>
      <c r="L1538">
        <v>2389392221</v>
      </c>
      <c r="M1538">
        <v>1837857691</v>
      </c>
      <c r="P1538">
        <v>1844</v>
      </c>
      <c r="Q1538" t="s">
        <v>3384</v>
      </c>
    </row>
    <row r="1539" spans="1:17" x14ac:dyDescent="0.3">
      <c r="A1539" t="s">
        <v>17</v>
      </c>
      <c r="B1539" t="str">
        <f>"603883"</f>
        <v>603883</v>
      </c>
      <c r="C1539" t="s">
        <v>3385</v>
      </c>
      <c r="D1539" t="s">
        <v>1686</v>
      </c>
      <c r="F1539">
        <v>15695664147</v>
      </c>
      <c r="G1539">
        <v>13966699240</v>
      </c>
      <c r="H1539">
        <v>11663176229</v>
      </c>
      <c r="I1539">
        <v>9471089288</v>
      </c>
      <c r="J1539">
        <v>7501432326</v>
      </c>
      <c r="K1539">
        <v>6094431275</v>
      </c>
      <c r="L1539">
        <v>4568482861</v>
      </c>
      <c r="M1539">
        <v>3942877295</v>
      </c>
      <c r="N1539">
        <v>3321294644</v>
      </c>
      <c r="O1539">
        <v>2841634883</v>
      </c>
      <c r="P1539">
        <v>868</v>
      </c>
      <c r="Q1539" t="s">
        <v>3386</v>
      </c>
    </row>
    <row r="1540" spans="1:17" x14ac:dyDescent="0.3">
      <c r="A1540" t="s">
        <v>17</v>
      </c>
      <c r="B1540" t="str">
        <f>"603885"</f>
        <v>603885</v>
      </c>
      <c r="C1540" t="s">
        <v>3387</v>
      </c>
      <c r="D1540" t="s">
        <v>77</v>
      </c>
      <c r="F1540">
        <v>11767107905</v>
      </c>
      <c r="G1540">
        <v>10101552078</v>
      </c>
      <c r="H1540">
        <v>16749412414</v>
      </c>
      <c r="I1540">
        <v>14366166551</v>
      </c>
      <c r="J1540">
        <v>12411690491</v>
      </c>
      <c r="K1540">
        <v>9928492148</v>
      </c>
      <c r="L1540">
        <v>8158238056</v>
      </c>
      <c r="M1540">
        <v>6646863583</v>
      </c>
      <c r="N1540">
        <v>5929486955</v>
      </c>
      <c r="O1540">
        <v>4449245512</v>
      </c>
      <c r="P1540">
        <v>475</v>
      </c>
      <c r="Q1540" t="s">
        <v>3388</v>
      </c>
    </row>
    <row r="1541" spans="1:17" x14ac:dyDescent="0.3">
      <c r="A1541" t="s">
        <v>17</v>
      </c>
      <c r="B1541" t="str">
        <f>"603886"</f>
        <v>603886</v>
      </c>
      <c r="C1541" t="s">
        <v>3389</v>
      </c>
      <c r="D1541" t="s">
        <v>2488</v>
      </c>
      <c r="F1541">
        <v>2584315724</v>
      </c>
      <c r="G1541">
        <v>2303268400</v>
      </c>
      <c r="H1541">
        <v>2222668088</v>
      </c>
      <c r="I1541">
        <v>1958215895</v>
      </c>
      <c r="J1541">
        <v>1777241093</v>
      </c>
      <c r="K1541">
        <v>1591643557</v>
      </c>
      <c r="L1541">
        <v>1577201367</v>
      </c>
      <c r="M1541">
        <v>1478323015</v>
      </c>
      <c r="N1541">
        <v>1453862140</v>
      </c>
      <c r="P1541">
        <v>3081</v>
      </c>
      <c r="Q1541" t="s">
        <v>3390</v>
      </c>
    </row>
    <row r="1542" spans="1:17" x14ac:dyDescent="0.3">
      <c r="A1542" t="s">
        <v>17</v>
      </c>
      <c r="B1542" t="str">
        <f>"603887"</f>
        <v>603887</v>
      </c>
      <c r="C1542" t="s">
        <v>3391</v>
      </c>
      <c r="D1542" t="s">
        <v>316</v>
      </c>
      <c r="F1542">
        <v>2907173613</v>
      </c>
      <c r="G1542">
        <v>3933403131</v>
      </c>
      <c r="H1542">
        <v>2924111847</v>
      </c>
      <c r="I1542">
        <v>1260363999</v>
      </c>
      <c r="J1542">
        <v>812906713</v>
      </c>
      <c r="K1542">
        <v>565599313</v>
      </c>
      <c r="L1542">
        <v>555569002</v>
      </c>
      <c r="M1542">
        <v>558321836</v>
      </c>
      <c r="N1542">
        <v>508231389</v>
      </c>
      <c r="P1542">
        <v>241</v>
      </c>
      <c r="Q1542" t="s">
        <v>3392</v>
      </c>
    </row>
    <row r="1543" spans="1:17" x14ac:dyDescent="0.3">
      <c r="A1543" t="s">
        <v>17</v>
      </c>
      <c r="B1543" t="str">
        <f>"603888"</f>
        <v>603888</v>
      </c>
      <c r="C1543" t="s">
        <v>3393</v>
      </c>
      <c r="D1543" t="s">
        <v>522</v>
      </c>
      <c r="F1543">
        <v>1724073705</v>
      </c>
      <c r="G1543">
        <v>1433403177</v>
      </c>
      <c r="H1543">
        <v>1569884958</v>
      </c>
      <c r="I1543">
        <v>1569315656</v>
      </c>
      <c r="J1543">
        <v>1502417012</v>
      </c>
      <c r="K1543">
        <v>1361356934</v>
      </c>
      <c r="L1543">
        <v>997533568</v>
      </c>
      <c r="M1543">
        <v>633829803</v>
      </c>
      <c r="N1543">
        <v>455683705</v>
      </c>
      <c r="P1543">
        <v>227</v>
      </c>
      <c r="Q1543" t="s">
        <v>3394</v>
      </c>
    </row>
    <row r="1544" spans="1:17" x14ac:dyDescent="0.3">
      <c r="A1544" t="s">
        <v>17</v>
      </c>
      <c r="B1544" t="str">
        <f>"603889"</f>
        <v>603889</v>
      </c>
      <c r="C1544" t="s">
        <v>3395</v>
      </c>
      <c r="D1544" t="s">
        <v>366</v>
      </c>
      <c r="F1544">
        <v>3445495030</v>
      </c>
      <c r="G1544">
        <v>2273166650</v>
      </c>
      <c r="H1544">
        <v>2709909596</v>
      </c>
      <c r="I1544">
        <v>2566307319</v>
      </c>
      <c r="J1544">
        <v>2312138517</v>
      </c>
      <c r="K1544">
        <v>1834811659</v>
      </c>
      <c r="L1544">
        <v>1620880431</v>
      </c>
      <c r="M1544">
        <v>1532377196</v>
      </c>
      <c r="N1544">
        <v>1428594928</v>
      </c>
      <c r="O1544">
        <v>1488790772</v>
      </c>
      <c r="P1544">
        <v>121</v>
      </c>
      <c r="Q1544" t="s">
        <v>3396</v>
      </c>
    </row>
    <row r="1545" spans="1:17" x14ac:dyDescent="0.3">
      <c r="A1545" t="s">
        <v>17</v>
      </c>
      <c r="B1545" t="str">
        <f>"603890"</f>
        <v>603890</v>
      </c>
      <c r="C1545" t="s">
        <v>3397</v>
      </c>
      <c r="D1545" t="s">
        <v>313</v>
      </c>
      <c r="F1545">
        <v>3990250379</v>
      </c>
      <c r="G1545">
        <v>3581699455</v>
      </c>
      <c r="H1545">
        <v>2019407423</v>
      </c>
      <c r="I1545">
        <v>1774607107</v>
      </c>
      <c r="J1545">
        <v>1739628804</v>
      </c>
      <c r="K1545">
        <v>1465241752</v>
      </c>
      <c r="L1545">
        <v>1275147026</v>
      </c>
      <c r="M1545">
        <v>1202994372</v>
      </c>
      <c r="P1545">
        <v>155</v>
      </c>
      <c r="Q1545" t="s">
        <v>3398</v>
      </c>
    </row>
    <row r="1546" spans="1:17" x14ac:dyDescent="0.3">
      <c r="A1546" t="s">
        <v>17</v>
      </c>
      <c r="B1546" t="str">
        <f>"603893"</f>
        <v>603893</v>
      </c>
      <c r="C1546" t="s">
        <v>3399</v>
      </c>
      <c r="D1546" t="s">
        <v>461</v>
      </c>
      <c r="F1546">
        <v>2718602122</v>
      </c>
      <c r="G1546">
        <v>1863387214</v>
      </c>
      <c r="H1546">
        <v>1407725738</v>
      </c>
      <c r="I1546">
        <v>1270895142</v>
      </c>
      <c r="J1546">
        <v>1250531045</v>
      </c>
      <c r="K1546">
        <v>1298120901</v>
      </c>
      <c r="P1546">
        <v>444</v>
      </c>
      <c r="Q1546" t="s">
        <v>3400</v>
      </c>
    </row>
    <row r="1547" spans="1:17" x14ac:dyDescent="0.3">
      <c r="A1547" t="s">
        <v>17</v>
      </c>
      <c r="B1547" t="str">
        <f>"603895"</f>
        <v>603895</v>
      </c>
      <c r="C1547" t="s">
        <v>3401</v>
      </c>
      <c r="D1547" t="s">
        <v>741</v>
      </c>
      <c r="F1547">
        <v>503760948</v>
      </c>
      <c r="G1547">
        <v>506892838</v>
      </c>
      <c r="H1547">
        <v>469936252</v>
      </c>
      <c r="I1547">
        <v>506064813</v>
      </c>
      <c r="J1547">
        <v>423940933</v>
      </c>
      <c r="K1547">
        <v>381510463</v>
      </c>
      <c r="L1547">
        <v>294839121</v>
      </c>
      <c r="M1547">
        <v>238561178</v>
      </c>
      <c r="P1547">
        <v>65</v>
      </c>
      <c r="Q1547" t="s">
        <v>3402</v>
      </c>
    </row>
    <row r="1548" spans="1:17" x14ac:dyDescent="0.3">
      <c r="A1548" t="s">
        <v>17</v>
      </c>
      <c r="B1548" t="str">
        <f>"603896"</f>
        <v>603896</v>
      </c>
      <c r="C1548" t="s">
        <v>3403</v>
      </c>
      <c r="D1548" t="s">
        <v>188</v>
      </c>
      <c r="F1548">
        <v>767137327</v>
      </c>
      <c r="G1548">
        <v>636050564</v>
      </c>
      <c r="H1548">
        <v>546758533</v>
      </c>
      <c r="I1548">
        <v>511451923</v>
      </c>
      <c r="J1548">
        <v>369963315</v>
      </c>
      <c r="K1548">
        <v>314879955</v>
      </c>
      <c r="L1548">
        <v>301912436</v>
      </c>
      <c r="M1548">
        <v>301591563</v>
      </c>
      <c r="P1548">
        <v>230</v>
      </c>
      <c r="Q1548" t="s">
        <v>3404</v>
      </c>
    </row>
    <row r="1549" spans="1:17" x14ac:dyDescent="0.3">
      <c r="A1549" t="s">
        <v>17</v>
      </c>
      <c r="B1549" t="str">
        <f>"603897"</f>
        <v>603897</v>
      </c>
      <c r="C1549" t="s">
        <v>3405</v>
      </c>
      <c r="D1549" t="s">
        <v>1164</v>
      </c>
      <c r="F1549">
        <v>10726728964</v>
      </c>
      <c r="G1549">
        <v>6273415580</v>
      </c>
      <c r="H1549">
        <v>4971330414</v>
      </c>
      <c r="I1549">
        <v>4979471830</v>
      </c>
      <c r="J1549">
        <v>4583950889</v>
      </c>
      <c r="K1549">
        <v>3228696247</v>
      </c>
      <c r="L1549">
        <v>2889714389</v>
      </c>
      <c r="P1549">
        <v>137</v>
      </c>
      <c r="Q1549" t="s">
        <v>3406</v>
      </c>
    </row>
    <row r="1550" spans="1:17" x14ac:dyDescent="0.3">
      <c r="A1550" t="s">
        <v>17</v>
      </c>
      <c r="B1550" t="str">
        <f>"603898"</f>
        <v>603898</v>
      </c>
      <c r="C1550" t="s">
        <v>3407</v>
      </c>
      <c r="D1550" t="s">
        <v>2664</v>
      </c>
      <c r="F1550">
        <v>3370960545</v>
      </c>
      <c r="G1550">
        <v>2183301558</v>
      </c>
      <c r="H1550">
        <v>2225148012</v>
      </c>
      <c r="I1550">
        <v>2132687027</v>
      </c>
      <c r="J1550">
        <v>1863247602</v>
      </c>
      <c r="K1550">
        <v>1433028172</v>
      </c>
      <c r="L1550">
        <v>1081982094</v>
      </c>
      <c r="M1550">
        <v>901027875</v>
      </c>
      <c r="N1550">
        <v>649665755</v>
      </c>
      <c r="O1550">
        <v>455237956</v>
      </c>
      <c r="P1550">
        <v>835</v>
      </c>
      <c r="Q1550" t="s">
        <v>3408</v>
      </c>
    </row>
    <row r="1551" spans="1:17" x14ac:dyDescent="0.3">
      <c r="A1551" t="s">
        <v>17</v>
      </c>
      <c r="B1551" t="str">
        <f>"603899"</f>
        <v>603899</v>
      </c>
      <c r="C1551" t="s">
        <v>3409</v>
      </c>
      <c r="D1551" t="s">
        <v>3410</v>
      </c>
      <c r="F1551">
        <v>17607403250</v>
      </c>
      <c r="G1551">
        <v>13137745727</v>
      </c>
      <c r="H1551">
        <v>11141101364</v>
      </c>
      <c r="I1551">
        <v>8534988598</v>
      </c>
      <c r="J1551">
        <v>6357102964</v>
      </c>
      <c r="K1551">
        <v>4662465784</v>
      </c>
      <c r="L1551">
        <v>3749112472</v>
      </c>
      <c r="M1551">
        <v>3043280041</v>
      </c>
      <c r="N1551">
        <v>2359855921</v>
      </c>
      <c r="O1551">
        <v>1899583321</v>
      </c>
      <c r="P1551">
        <v>25826</v>
      </c>
      <c r="Q1551" t="s">
        <v>3411</v>
      </c>
    </row>
    <row r="1552" spans="1:17" x14ac:dyDescent="0.3">
      <c r="A1552" t="s">
        <v>17</v>
      </c>
      <c r="B1552" t="str">
        <f>"603900"</f>
        <v>603900</v>
      </c>
      <c r="C1552" t="s">
        <v>3412</v>
      </c>
      <c r="D1552" t="s">
        <v>1238</v>
      </c>
      <c r="F1552">
        <v>1324201491</v>
      </c>
      <c r="G1552">
        <v>1227323973</v>
      </c>
      <c r="H1552">
        <v>1318964128</v>
      </c>
      <c r="I1552">
        <v>1663265251</v>
      </c>
      <c r="J1552">
        <v>1963559788</v>
      </c>
      <c r="K1552">
        <v>1650927989</v>
      </c>
      <c r="L1552">
        <v>1490818095</v>
      </c>
      <c r="M1552">
        <v>1432423914</v>
      </c>
      <c r="N1552">
        <v>1162254970</v>
      </c>
      <c r="P1552">
        <v>137</v>
      </c>
      <c r="Q1552" t="s">
        <v>3413</v>
      </c>
    </row>
    <row r="1553" spans="1:17" x14ac:dyDescent="0.3">
      <c r="A1553" t="s">
        <v>17</v>
      </c>
      <c r="B1553" t="str">
        <f>"603901"</f>
        <v>603901</v>
      </c>
      <c r="C1553" t="s">
        <v>3414</v>
      </c>
      <c r="D1553" t="s">
        <v>3415</v>
      </c>
      <c r="F1553">
        <v>2707234084</v>
      </c>
      <c r="G1553">
        <v>2020045957</v>
      </c>
      <c r="H1553">
        <v>1871162281</v>
      </c>
      <c r="I1553">
        <v>1650902934</v>
      </c>
      <c r="J1553">
        <v>1376648528</v>
      </c>
      <c r="K1553">
        <v>1005347834</v>
      </c>
      <c r="L1553">
        <v>900471123</v>
      </c>
      <c r="M1553">
        <v>887853611</v>
      </c>
      <c r="N1553">
        <v>736120121</v>
      </c>
      <c r="O1553">
        <v>612585279</v>
      </c>
      <c r="P1553">
        <v>140</v>
      </c>
      <c r="Q1553" t="s">
        <v>3416</v>
      </c>
    </row>
    <row r="1554" spans="1:17" x14ac:dyDescent="0.3">
      <c r="A1554" t="s">
        <v>17</v>
      </c>
      <c r="B1554" t="str">
        <f>"603903"</f>
        <v>603903</v>
      </c>
      <c r="C1554" t="s">
        <v>3417</v>
      </c>
      <c r="D1554" t="s">
        <v>33</v>
      </c>
      <c r="F1554">
        <v>1462233824</v>
      </c>
      <c r="G1554">
        <v>1624993819</v>
      </c>
      <c r="H1554">
        <v>1336814679</v>
      </c>
      <c r="I1554">
        <v>1034035918</v>
      </c>
      <c r="J1554">
        <v>529293696</v>
      </c>
      <c r="K1554">
        <v>409142827</v>
      </c>
      <c r="L1554">
        <v>329892609</v>
      </c>
      <c r="M1554">
        <v>341589550</v>
      </c>
      <c r="P1554">
        <v>119</v>
      </c>
      <c r="Q1554" t="s">
        <v>3418</v>
      </c>
    </row>
    <row r="1555" spans="1:17" x14ac:dyDescent="0.3">
      <c r="A1555" t="s">
        <v>17</v>
      </c>
      <c r="B1555" t="str">
        <f>"603906"</f>
        <v>603906</v>
      </c>
      <c r="C1555" t="s">
        <v>3419</v>
      </c>
      <c r="D1555" t="s">
        <v>386</v>
      </c>
      <c r="F1555">
        <v>4053505421</v>
      </c>
      <c r="G1555">
        <v>1914598751</v>
      </c>
      <c r="H1555">
        <v>1712963225</v>
      </c>
      <c r="I1555">
        <v>1497786705</v>
      </c>
      <c r="J1555">
        <v>1297433733</v>
      </c>
      <c r="K1555">
        <v>1036217353</v>
      </c>
      <c r="L1555">
        <v>820670203</v>
      </c>
      <c r="M1555">
        <v>865185921</v>
      </c>
      <c r="P1555">
        <v>187</v>
      </c>
      <c r="Q1555" t="s">
        <v>3420</v>
      </c>
    </row>
    <row r="1556" spans="1:17" x14ac:dyDescent="0.3">
      <c r="A1556" t="s">
        <v>17</v>
      </c>
      <c r="B1556" t="str">
        <f>"603908"</f>
        <v>603908</v>
      </c>
      <c r="C1556" t="s">
        <v>3421</v>
      </c>
      <c r="D1556" t="s">
        <v>330</v>
      </c>
      <c r="F1556">
        <v>923257489</v>
      </c>
      <c r="G1556">
        <v>642737355</v>
      </c>
      <c r="H1556">
        <v>529393580</v>
      </c>
      <c r="I1556">
        <v>551290394</v>
      </c>
      <c r="J1556">
        <v>515957415</v>
      </c>
      <c r="K1556">
        <v>430748389</v>
      </c>
      <c r="L1556">
        <v>454972294</v>
      </c>
      <c r="M1556">
        <v>431978004</v>
      </c>
      <c r="P1556">
        <v>114</v>
      </c>
      <c r="Q1556" t="s">
        <v>3422</v>
      </c>
    </row>
    <row r="1557" spans="1:17" x14ac:dyDescent="0.3">
      <c r="A1557" t="s">
        <v>17</v>
      </c>
      <c r="B1557" t="str">
        <f>"603909"</f>
        <v>603909</v>
      </c>
      <c r="C1557" t="s">
        <v>3423</v>
      </c>
      <c r="D1557" t="s">
        <v>1272</v>
      </c>
      <c r="F1557">
        <v>841382752</v>
      </c>
      <c r="G1557">
        <v>796744804</v>
      </c>
      <c r="H1557">
        <v>762424517</v>
      </c>
      <c r="I1557">
        <v>630201603</v>
      </c>
      <c r="J1557">
        <v>344015778</v>
      </c>
      <c r="K1557">
        <v>290277826</v>
      </c>
      <c r="L1557">
        <v>274130050</v>
      </c>
      <c r="M1557">
        <v>239008156</v>
      </c>
      <c r="N1557">
        <v>235518711</v>
      </c>
      <c r="P1557">
        <v>65</v>
      </c>
      <c r="Q1557" t="s">
        <v>3424</v>
      </c>
    </row>
    <row r="1558" spans="1:17" x14ac:dyDescent="0.3">
      <c r="A1558" t="s">
        <v>17</v>
      </c>
      <c r="B1558" t="str">
        <f>"603912"</f>
        <v>603912</v>
      </c>
      <c r="C1558" t="s">
        <v>3425</v>
      </c>
      <c r="D1558" t="s">
        <v>988</v>
      </c>
      <c r="F1558">
        <v>667008968</v>
      </c>
      <c r="G1558">
        <v>625259372</v>
      </c>
      <c r="H1558">
        <v>638757627</v>
      </c>
      <c r="I1558">
        <v>534724545</v>
      </c>
      <c r="J1558">
        <v>460166791</v>
      </c>
      <c r="K1558">
        <v>420200996</v>
      </c>
      <c r="L1558">
        <v>374781863</v>
      </c>
      <c r="M1558">
        <v>341380398</v>
      </c>
      <c r="P1558">
        <v>286</v>
      </c>
      <c r="Q1558" t="s">
        <v>3426</v>
      </c>
    </row>
    <row r="1559" spans="1:17" x14ac:dyDescent="0.3">
      <c r="A1559" t="s">
        <v>17</v>
      </c>
      <c r="B1559" t="str">
        <f>"603915"</f>
        <v>603915</v>
      </c>
      <c r="C1559" t="s">
        <v>3427</v>
      </c>
      <c r="D1559" t="s">
        <v>274</v>
      </c>
      <c r="F1559">
        <v>2944286974</v>
      </c>
      <c r="G1559">
        <v>2184076490</v>
      </c>
      <c r="H1559">
        <v>1895725969</v>
      </c>
      <c r="I1559">
        <v>1766631837</v>
      </c>
      <c r="J1559">
        <v>1478407040</v>
      </c>
      <c r="K1559">
        <v>1151454654</v>
      </c>
      <c r="P1559">
        <v>162</v>
      </c>
      <c r="Q1559" t="s">
        <v>3428</v>
      </c>
    </row>
    <row r="1560" spans="1:17" x14ac:dyDescent="0.3">
      <c r="A1560" t="s">
        <v>17</v>
      </c>
      <c r="B1560" t="str">
        <f>"603916"</f>
        <v>603916</v>
      </c>
      <c r="C1560" t="s">
        <v>3429</v>
      </c>
      <c r="D1560" t="s">
        <v>386</v>
      </c>
      <c r="F1560">
        <v>4521844113</v>
      </c>
      <c r="G1560">
        <v>3652251822</v>
      </c>
      <c r="H1560">
        <v>3306617442</v>
      </c>
      <c r="I1560">
        <v>2315957350</v>
      </c>
      <c r="J1560">
        <v>1679657626</v>
      </c>
      <c r="K1560">
        <v>1313829998</v>
      </c>
      <c r="L1560">
        <v>1314258625</v>
      </c>
      <c r="M1560">
        <v>1722292243</v>
      </c>
      <c r="P1560">
        <v>275</v>
      </c>
      <c r="Q1560" t="s">
        <v>3430</v>
      </c>
    </row>
    <row r="1561" spans="1:17" x14ac:dyDescent="0.3">
      <c r="A1561" t="s">
        <v>17</v>
      </c>
      <c r="B1561" t="str">
        <f>"603917"</f>
        <v>603917</v>
      </c>
      <c r="C1561" t="s">
        <v>3431</v>
      </c>
      <c r="D1561" t="s">
        <v>985</v>
      </c>
      <c r="F1561">
        <v>704056983</v>
      </c>
      <c r="G1561">
        <v>604074583</v>
      </c>
      <c r="H1561">
        <v>610967607</v>
      </c>
      <c r="I1561">
        <v>609575884</v>
      </c>
      <c r="J1561">
        <v>539467807</v>
      </c>
      <c r="K1561">
        <v>456343262</v>
      </c>
      <c r="L1561">
        <v>384556212</v>
      </c>
      <c r="M1561">
        <v>329603161</v>
      </c>
      <c r="P1561">
        <v>73</v>
      </c>
      <c r="Q1561" t="s">
        <v>3432</v>
      </c>
    </row>
    <row r="1562" spans="1:17" x14ac:dyDescent="0.3">
      <c r="A1562" t="s">
        <v>17</v>
      </c>
      <c r="B1562" t="str">
        <f>"603918"</f>
        <v>603918</v>
      </c>
      <c r="C1562" t="s">
        <v>3433</v>
      </c>
      <c r="D1562" t="s">
        <v>316</v>
      </c>
      <c r="F1562">
        <v>1122235684</v>
      </c>
      <c r="G1562">
        <v>1004251309</v>
      </c>
      <c r="H1562">
        <v>944647883</v>
      </c>
      <c r="I1562">
        <v>832945693</v>
      </c>
      <c r="J1562">
        <v>672729307</v>
      </c>
      <c r="K1562">
        <v>585743832</v>
      </c>
      <c r="L1562">
        <v>639836170</v>
      </c>
      <c r="M1562">
        <v>587942238</v>
      </c>
      <c r="N1562">
        <v>580458204</v>
      </c>
      <c r="O1562">
        <v>663608217</v>
      </c>
      <c r="P1562">
        <v>142</v>
      </c>
      <c r="Q1562" t="s">
        <v>3434</v>
      </c>
    </row>
    <row r="1563" spans="1:17" x14ac:dyDescent="0.3">
      <c r="A1563" t="s">
        <v>17</v>
      </c>
      <c r="B1563" t="str">
        <f>"603919"</f>
        <v>603919</v>
      </c>
      <c r="C1563" t="s">
        <v>3435</v>
      </c>
      <c r="D1563" t="s">
        <v>458</v>
      </c>
      <c r="F1563">
        <v>1788396742</v>
      </c>
      <c r="G1563">
        <v>1730671339</v>
      </c>
      <c r="H1563">
        <v>1634398044</v>
      </c>
      <c r="I1563">
        <v>1462412631</v>
      </c>
      <c r="J1563">
        <v>1332816277</v>
      </c>
      <c r="K1563">
        <v>1277277757</v>
      </c>
      <c r="L1563">
        <v>1182410854</v>
      </c>
      <c r="M1563">
        <v>1012875491</v>
      </c>
      <c r="N1563">
        <v>1093082693</v>
      </c>
      <c r="P1563">
        <v>446</v>
      </c>
      <c r="Q1563" t="s">
        <v>3436</v>
      </c>
    </row>
    <row r="1564" spans="1:17" x14ac:dyDescent="0.3">
      <c r="A1564" t="s">
        <v>17</v>
      </c>
      <c r="B1564" t="str">
        <f>"603920"</f>
        <v>603920</v>
      </c>
      <c r="C1564" t="s">
        <v>3437</v>
      </c>
      <c r="D1564" t="s">
        <v>425</v>
      </c>
      <c r="F1564">
        <v>3759172135</v>
      </c>
      <c r="G1564">
        <v>2535989616</v>
      </c>
      <c r="H1564">
        <v>2438957178</v>
      </c>
      <c r="I1564">
        <v>2167293687</v>
      </c>
      <c r="J1564">
        <v>1957205861</v>
      </c>
      <c r="K1564">
        <v>1634874694</v>
      </c>
      <c r="L1564">
        <v>1400491163</v>
      </c>
      <c r="M1564">
        <v>1241578307</v>
      </c>
      <c r="P1564">
        <v>267</v>
      </c>
      <c r="Q1564" t="s">
        <v>3438</v>
      </c>
    </row>
    <row r="1565" spans="1:17" x14ac:dyDescent="0.3">
      <c r="A1565" t="s">
        <v>17</v>
      </c>
      <c r="B1565" t="str">
        <f>"603922"</f>
        <v>603922</v>
      </c>
      <c r="C1565" t="s">
        <v>3439</v>
      </c>
      <c r="D1565" t="s">
        <v>985</v>
      </c>
      <c r="F1565">
        <v>515115138</v>
      </c>
      <c r="G1565">
        <v>469621448</v>
      </c>
      <c r="H1565">
        <v>768253708</v>
      </c>
      <c r="I1565">
        <v>1069736469</v>
      </c>
      <c r="J1565">
        <v>1042442069</v>
      </c>
      <c r="K1565">
        <v>901058761</v>
      </c>
      <c r="L1565">
        <v>854231386</v>
      </c>
      <c r="M1565">
        <v>946610363</v>
      </c>
      <c r="P1565">
        <v>54</v>
      </c>
      <c r="Q1565" t="s">
        <v>3440</v>
      </c>
    </row>
    <row r="1566" spans="1:17" x14ac:dyDescent="0.3">
      <c r="A1566" t="s">
        <v>17</v>
      </c>
      <c r="B1566" t="str">
        <f>"603926"</f>
        <v>603926</v>
      </c>
      <c r="C1566" t="s">
        <v>3441</v>
      </c>
      <c r="D1566" t="s">
        <v>348</v>
      </c>
      <c r="F1566">
        <v>1878544861</v>
      </c>
      <c r="G1566">
        <v>1508010015</v>
      </c>
      <c r="H1566">
        <v>1460725500</v>
      </c>
      <c r="I1566">
        <v>966083627</v>
      </c>
      <c r="J1566">
        <v>851941552</v>
      </c>
      <c r="K1566">
        <v>724045893</v>
      </c>
      <c r="L1566">
        <v>678952814</v>
      </c>
      <c r="M1566">
        <v>736310772</v>
      </c>
      <c r="P1566">
        <v>104</v>
      </c>
      <c r="Q1566" t="s">
        <v>3442</v>
      </c>
    </row>
    <row r="1567" spans="1:17" x14ac:dyDescent="0.3">
      <c r="A1567" t="s">
        <v>17</v>
      </c>
      <c r="B1567" t="str">
        <f>"603927"</f>
        <v>603927</v>
      </c>
      <c r="C1567" t="s">
        <v>3443</v>
      </c>
      <c r="D1567" t="s">
        <v>945</v>
      </c>
      <c r="F1567">
        <v>6281487102</v>
      </c>
      <c r="G1567">
        <v>5781657625</v>
      </c>
      <c r="H1567">
        <v>5499208629</v>
      </c>
      <c r="I1567">
        <v>4850411290</v>
      </c>
      <c r="J1567">
        <v>4307560219</v>
      </c>
      <c r="K1567">
        <v>3908308319</v>
      </c>
      <c r="P1567">
        <v>821</v>
      </c>
      <c r="Q1567" t="s">
        <v>3444</v>
      </c>
    </row>
    <row r="1568" spans="1:17" x14ac:dyDescent="0.3">
      <c r="A1568" t="s">
        <v>17</v>
      </c>
      <c r="B1568" t="str">
        <f>"603928"</f>
        <v>603928</v>
      </c>
      <c r="C1568" t="s">
        <v>3445</v>
      </c>
      <c r="D1568" t="s">
        <v>3377</v>
      </c>
      <c r="F1568">
        <v>1972347577</v>
      </c>
      <c r="G1568">
        <v>1461085683</v>
      </c>
      <c r="H1568">
        <v>1289832751</v>
      </c>
      <c r="I1568">
        <v>1502983790</v>
      </c>
      <c r="J1568">
        <v>1282944281</v>
      </c>
      <c r="K1568">
        <v>820751169</v>
      </c>
      <c r="L1568">
        <v>816109210</v>
      </c>
      <c r="M1568">
        <v>919806142</v>
      </c>
      <c r="N1568">
        <v>826203924</v>
      </c>
      <c r="P1568">
        <v>102</v>
      </c>
      <c r="Q1568" t="s">
        <v>3446</v>
      </c>
    </row>
    <row r="1569" spans="1:17" x14ac:dyDescent="0.3">
      <c r="A1569" t="s">
        <v>17</v>
      </c>
      <c r="B1569" t="str">
        <f>"603929"</f>
        <v>603929</v>
      </c>
      <c r="C1569" t="s">
        <v>3447</v>
      </c>
      <c r="D1569" t="s">
        <v>1992</v>
      </c>
      <c r="F1569">
        <v>2212108116</v>
      </c>
      <c r="G1569">
        <v>929367122</v>
      </c>
      <c r="H1569">
        <v>1869581164</v>
      </c>
      <c r="I1569">
        <v>2255868187</v>
      </c>
      <c r="J1569">
        <v>1780812306</v>
      </c>
      <c r="K1569">
        <v>2084533309</v>
      </c>
      <c r="L1569">
        <v>1106719593</v>
      </c>
      <c r="M1569">
        <v>514527049</v>
      </c>
      <c r="N1569">
        <v>609246228</v>
      </c>
      <c r="P1569">
        <v>109</v>
      </c>
      <c r="Q1569" t="s">
        <v>3448</v>
      </c>
    </row>
    <row r="1570" spans="1:17" x14ac:dyDescent="0.3">
      <c r="A1570" t="s">
        <v>17</v>
      </c>
      <c r="B1570" t="str">
        <f>"603931"</f>
        <v>603931</v>
      </c>
      <c r="C1570" t="s">
        <v>3449</v>
      </c>
      <c r="D1570" t="s">
        <v>2408</v>
      </c>
      <c r="F1570">
        <v>779618931</v>
      </c>
      <c r="G1570">
        <v>583534846</v>
      </c>
      <c r="H1570">
        <v>524548249</v>
      </c>
      <c r="I1570">
        <v>512608693</v>
      </c>
      <c r="J1570">
        <v>403435730</v>
      </c>
      <c r="P1570">
        <v>88</v>
      </c>
      <c r="Q1570" t="s">
        <v>3450</v>
      </c>
    </row>
    <row r="1571" spans="1:17" x14ac:dyDescent="0.3">
      <c r="A1571" t="s">
        <v>17</v>
      </c>
      <c r="B1571" t="str">
        <f>"603933"</f>
        <v>603933</v>
      </c>
      <c r="C1571" t="s">
        <v>3451</v>
      </c>
      <c r="D1571" t="s">
        <v>651</v>
      </c>
      <c r="F1571">
        <v>2085366418</v>
      </c>
      <c r="G1571">
        <v>1496989208</v>
      </c>
      <c r="H1571">
        <v>1477855379</v>
      </c>
      <c r="I1571">
        <v>1852983765</v>
      </c>
      <c r="J1571">
        <v>1909424909</v>
      </c>
      <c r="K1571">
        <v>1558730231</v>
      </c>
      <c r="L1571">
        <v>1265539554</v>
      </c>
      <c r="M1571">
        <v>1106911741</v>
      </c>
      <c r="P1571">
        <v>122</v>
      </c>
      <c r="Q1571" t="s">
        <v>3452</v>
      </c>
    </row>
    <row r="1572" spans="1:17" x14ac:dyDescent="0.3">
      <c r="A1572" t="s">
        <v>17</v>
      </c>
      <c r="B1572" t="str">
        <f>"603936"</f>
        <v>603936</v>
      </c>
      <c r="C1572" t="s">
        <v>3453</v>
      </c>
      <c r="D1572" t="s">
        <v>425</v>
      </c>
      <c r="F1572">
        <v>3520660207</v>
      </c>
      <c r="G1572">
        <v>2785506052</v>
      </c>
      <c r="H1572">
        <v>2669288071</v>
      </c>
      <c r="I1572">
        <v>1949051831</v>
      </c>
      <c r="J1572">
        <v>1759879481</v>
      </c>
      <c r="K1572">
        <v>1350556993</v>
      </c>
      <c r="L1572">
        <v>1130254643</v>
      </c>
      <c r="M1572">
        <v>1053667556</v>
      </c>
      <c r="N1572">
        <v>1001600189</v>
      </c>
      <c r="O1572">
        <v>833258733</v>
      </c>
      <c r="P1572">
        <v>222</v>
      </c>
      <c r="Q1572" t="s">
        <v>3454</v>
      </c>
    </row>
    <row r="1573" spans="1:17" x14ac:dyDescent="0.3">
      <c r="A1573" t="s">
        <v>17</v>
      </c>
      <c r="B1573" t="str">
        <f>"603937"</f>
        <v>603937</v>
      </c>
      <c r="C1573" t="s">
        <v>3455</v>
      </c>
      <c r="D1573" t="s">
        <v>504</v>
      </c>
      <c r="F1573">
        <v>1744634151</v>
      </c>
      <c r="G1573">
        <v>1366477488</v>
      </c>
      <c r="H1573">
        <v>1338012290</v>
      </c>
      <c r="I1573">
        <v>1303005145</v>
      </c>
      <c r="J1573">
        <v>1244285542</v>
      </c>
      <c r="K1573">
        <v>1128289236</v>
      </c>
      <c r="L1573">
        <v>1011220358</v>
      </c>
      <c r="M1573">
        <v>1157400135</v>
      </c>
      <c r="P1573">
        <v>61</v>
      </c>
      <c r="Q1573" t="s">
        <v>3456</v>
      </c>
    </row>
    <row r="1574" spans="1:17" x14ac:dyDescent="0.3">
      <c r="A1574" t="s">
        <v>17</v>
      </c>
      <c r="B1574" t="str">
        <f>"603938"</f>
        <v>603938</v>
      </c>
      <c r="C1574" t="s">
        <v>3457</v>
      </c>
      <c r="D1574" t="s">
        <v>3458</v>
      </c>
      <c r="F1574">
        <v>1598867246</v>
      </c>
      <c r="G1574">
        <v>1006252070</v>
      </c>
      <c r="H1574">
        <v>1156606117</v>
      </c>
      <c r="I1574">
        <v>1103852434</v>
      </c>
      <c r="J1574">
        <v>1074166444</v>
      </c>
      <c r="K1574">
        <v>791748636</v>
      </c>
      <c r="L1574">
        <v>799918818</v>
      </c>
      <c r="M1574">
        <v>823582937</v>
      </c>
      <c r="P1574">
        <v>104</v>
      </c>
      <c r="Q1574" t="s">
        <v>3459</v>
      </c>
    </row>
    <row r="1575" spans="1:17" x14ac:dyDescent="0.3">
      <c r="A1575" t="s">
        <v>17</v>
      </c>
      <c r="B1575" t="str">
        <f>"603939"</f>
        <v>603939</v>
      </c>
      <c r="C1575" t="s">
        <v>3460</v>
      </c>
      <c r="D1575" t="s">
        <v>1686</v>
      </c>
      <c r="F1575">
        <v>15326305266</v>
      </c>
      <c r="G1575">
        <v>13144502416</v>
      </c>
      <c r="H1575">
        <v>10276174735</v>
      </c>
      <c r="I1575">
        <v>6912576542</v>
      </c>
      <c r="J1575">
        <v>4807249009</v>
      </c>
      <c r="K1575">
        <v>3733619135</v>
      </c>
      <c r="L1575">
        <v>2845515856</v>
      </c>
      <c r="M1575">
        <v>2230225650</v>
      </c>
      <c r="N1575">
        <v>1804299344</v>
      </c>
      <c r="O1575">
        <v>1539478431</v>
      </c>
      <c r="P1575">
        <v>1482</v>
      </c>
      <c r="Q1575" t="s">
        <v>3461</v>
      </c>
    </row>
    <row r="1576" spans="1:17" x14ac:dyDescent="0.3">
      <c r="A1576" t="s">
        <v>17</v>
      </c>
      <c r="B1576" t="str">
        <f>"603948"</f>
        <v>603948</v>
      </c>
      <c r="C1576" t="s">
        <v>3462</v>
      </c>
      <c r="D1576" t="s">
        <v>386</v>
      </c>
      <c r="F1576">
        <v>2799499506</v>
      </c>
      <c r="G1576">
        <v>1728692734</v>
      </c>
      <c r="H1576">
        <v>1675654229</v>
      </c>
      <c r="I1576">
        <v>1832163072</v>
      </c>
      <c r="J1576">
        <v>1820483377</v>
      </c>
      <c r="P1576">
        <v>60</v>
      </c>
      <c r="Q1576" t="s">
        <v>3463</v>
      </c>
    </row>
    <row r="1577" spans="1:17" x14ac:dyDescent="0.3">
      <c r="A1577" t="s">
        <v>17</v>
      </c>
      <c r="B1577" t="str">
        <f>"603949"</f>
        <v>603949</v>
      </c>
      <c r="C1577" t="s">
        <v>3464</v>
      </c>
      <c r="D1577" t="s">
        <v>348</v>
      </c>
      <c r="F1577">
        <v>472911188</v>
      </c>
      <c r="G1577">
        <v>487671780</v>
      </c>
      <c r="H1577">
        <v>365306580</v>
      </c>
      <c r="I1577">
        <v>319265217</v>
      </c>
      <c r="J1577">
        <v>355537946</v>
      </c>
      <c r="K1577">
        <v>284097069</v>
      </c>
      <c r="P1577">
        <v>158</v>
      </c>
      <c r="Q1577" t="s">
        <v>3465</v>
      </c>
    </row>
    <row r="1578" spans="1:17" x14ac:dyDescent="0.3">
      <c r="A1578" t="s">
        <v>17</v>
      </c>
      <c r="B1578" t="str">
        <f>"603950"</f>
        <v>603950</v>
      </c>
      <c r="C1578" t="s">
        <v>3466</v>
      </c>
      <c r="D1578" t="s">
        <v>348</v>
      </c>
      <c r="F1578">
        <v>1581544769</v>
      </c>
      <c r="G1578">
        <v>1677984516</v>
      </c>
      <c r="H1578">
        <v>1155220399</v>
      </c>
      <c r="I1578">
        <v>1066643910</v>
      </c>
      <c r="J1578">
        <v>1160236454</v>
      </c>
      <c r="P1578">
        <v>97</v>
      </c>
      <c r="Q1578" t="s">
        <v>3467</v>
      </c>
    </row>
    <row r="1579" spans="1:17" x14ac:dyDescent="0.3">
      <c r="A1579" t="s">
        <v>17</v>
      </c>
      <c r="B1579" t="str">
        <f>"603955"</f>
        <v>603955</v>
      </c>
      <c r="C1579" t="s">
        <v>3468</v>
      </c>
      <c r="D1579" t="s">
        <v>2417</v>
      </c>
      <c r="F1579">
        <v>556420187</v>
      </c>
      <c r="G1579">
        <v>944172093</v>
      </c>
      <c r="H1579">
        <v>919067448</v>
      </c>
      <c r="I1579">
        <v>801762538</v>
      </c>
      <c r="J1579">
        <v>678026062</v>
      </c>
      <c r="K1579">
        <v>597827769</v>
      </c>
      <c r="L1579">
        <v>526168685</v>
      </c>
      <c r="M1579">
        <v>582786652</v>
      </c>
      <c r="N1579">
        <v>502718239</v>
      </c>
      <c r="P1579">
        <v>60</v>
      </c>
      <c r="Q1579" t="s">
        <v>3469</v>
      </c>
    </row>
    <row r="1580" spans="1:17" x14ac:dyDescent="0.3">
      <c r="A1580" t="s">
        <v>17</v>
      </c>
      <c r="B1580" t="str">
        <f>"603956"</f>
        <v>603956</v>
      </c>
      <c r="C1580" t="s">
        <v>3470</v>
      </c>
      <c r="D1580" t="s">
        <v>741</v>
      </c>
      <c r="F1580">
        <v>1264045810</v>
      </c>
      <c r="G1580">
        <v>1002234629</v>
      </c>
      <c r="H1580">
        <v>858584373</v>
      </c>
      <c r="I1580">
        <v>651769495</v>
      </c>
      <c r="J1580">
        <v>593188350</v>
      </c>
      <c r="K1580">
        <v>524351656</v>
      </c>
      <c r="L1580">
        <v>475699893</v>
      </c>
      <c r="P1580">
        <v>181</v>
      </c>
      <c r="Q1580" t="s">
        <v>3471</v>
      </c>
    </row>
    <row r="1581" spans="1:17" x14ac:dyDescent="0.3">
      <c r="A1581" t="s">
        <v>17</v>
      </c>
      <c r="B1581" t="str">
        <f>"603958"</f>
        <v>603958</v>
      </c>
      <c r="C1581" t="s">
        <v>3472</v>
      </c>
      <c r="D1581" t="s">
        <v>330</v>
      </c>
      <c r="F1581">
        <v>989730595</v>
      </c>
      <c r="G1581">
        <v>892184219</v>
      </c>
      <c r="H1581">
        <v>1235692551</v>
      </c>
      <c r="I1581">
        <v>1347678813</v>
      </c>
      <c r="J1581">
        <v>1496871965</v>
      </c>
      <c r="K1581">
        <v>1682455208</v>
      </c>
      <c r="L1581">
        <v>1938532809</v>
      </c>
      <c r="M1581">
        <v>2048916919</v>
      </c>
      <c r="N1581">
        <v>2169378255</v>
      </c>
      <c r="P1581">
        <v>67</v>
      </c>
      <c r="Q1581" t="s">
        <v>3473</v>
      </c>
    </row>
    <row r="1582" spans="1:17" x14ac:dyDescent="0.3">
      <c r="A1582" t="s">
        <v>17</v>
      </c>
      <c r="B1582" t="str">
        <f>"603959"</f>
        <v>603959</v>
      </c>
      <c r="C1582" t="s">
        <v>3474</v>
      </c>
      <c r="D1582" t="s">
        <v>2025</v>
      </c>
      <c r="F1582">
        <v>1041209142</v>
      </c>
      <c r="G1582">
        <v>1404201433</v>
      </c>
      <c r="H1582">
        <v>1396437783</v>
      </c>
      <c r="I1582">
        <v>1182702592</v>
      </c>
      <c r="J1582">
        <v>596920146</v>
      </c>
      <c r="K1582">
        <v>769369777</v>
      </c>
      <c r="L1582">
        <v>450455534</v>
      </c>
      <c r="M1582">
        <v>657567962</v>
      </c>
      <c r="N1582">
        <v>755710264</v>
      </c>
      <c r="O1582">
        <v>445129079</v>
      </c>
      <c r="P1582">
        <v>80</v>
      </c>
      <c r="Q1582" t="s">
        <v>3475</v>
      </c>
    </row>
    <row r="1583" spans="1:17" x14ac:dyDescent="0.3">
      <c r="A1583" t="s">
        <v>17</v>
      </c>
      <c r="B1583" t="str">
        <f>"603960"</f>
        <v>603960</v>
      </c>
      <c r="C1583" t="s">
        <v>3476</v>
      </c>
      <c r="D1583" t="s">
        <v>3477</v>
      </c>
      <c r="F1583">
        <v>560917686</v>
      </c>
      <c r="G1583">
        <v>766142805</v>
      </c>
      <c r="H1583">
        <v>796302410</v>
      </c>
      <c r="I1583">
        <v>583218056</v>
      </c>
      <c r="J1583">
        <v>251914795</v>
      </c>
      <c r="K1583">
        <v>192415761</v>
      </c>
      <c r="L1583">
        <v>154865520</v>
      </c>
      <c r="M1583">
        <v>120599441</v>
      </c>
      <c r="P1583">
        <v>383</v>
      </c>
      <c r="Q1583" t="s">
        <v>3478</v>
      </c>
    </row>
    <row r="1584" spans="1:17" x14ac:dyDescent="0.3">
      <c r="A1584" t="s">
        <v>17</v>
      </c>
      <c r="B1584" t="str">
        <f>"603963"</f>
        <v>603963</v>
      </c>
      <c r="C1584" t="s">
        <v>3479</v>
      </c>
      <c r="D1584" t="s">
        <v>188</v>
      </c>
      <c r="F1584">
        <v>171493285</v>
      </c>
      <c r="G1584">
        <v>213583457</v>
      </c>
      <c r="H1584">
        <v>294324901</v>
      </c>
      <c r="I1584">
        <v>401483012</v>
      </c>
      <c r="J1584">
        <v>272739026</v>
      </c>
      <c r="K1584">
        <v>275764814</v>
      </c>
      <c r="L1584">
        <v>266965264</v>
      </c>
      <c r="M1584">
        <v>338686426</v>
      </c>
      <c r="P1584">
        <v>109</v>
      </c>
      <c r="Q1584" t="s">
        <v>3480</v>
      </c>
    </row>
    <row r="1585" spans="1:17" x14ac:dyDescent="0.3">
      <c r="A1585" t="s">
        <v>17</v>
      </c>
      <c r="B1585" t="str">
        <f>"603966"</f>
        <v>603966</v>
      </c>
      <c r="C1585" t="s">
        <v>3481</v>
      </c>
      <c r="D1585" t="s">
        <v>395</v>
      </c>
      <c r="F1585">
        <v>1588989351</v>
      </c>
      <c r="G1585">
        <v>1260843805</v>
      </c>
      <c r="H1585">
        <v>1105857750</v>
      </c>
      <c r="I1585">
        <v>763731767</v>
      </c>
      <c r="J1585">
        <v>636607711</v>
      </c>
      <c r="K1585">
        <v>541237075</v>
      </c>
      <c r="L1585">
        <v>552363377</v>
      </c>
      <c r="M1585">
        <v>482115545</v>
      </c>
      <c r="N1585">
        <v>472560396</v>
      </c>
      <c r="P1585">
        <v>122</v>
      </c>
      <c r="Q1585" t="s">
        <v>3482</v>
      </c>
    </row>
    <row r="1586" spans="1:17" x14ac:dyDescent="0.3">
      <c r="A1586" t="s">
        <v>17</v>
      </c>
      <c r="B1586" t="str">
        <f>"603967"</f>
        <v>603967</v>
      </c>
      <c r="C1586" t="s">
        <v>3483</v>
      </c>
      <c r="D1586" t="s">
        <v>287</v>
      </c>
      <c r="F1586">
        <v>12413834171</v>
      </c>
      <c r="G1586">
        <v>5153894161</v>
      </c>
      <c r="H1586">
        <v>4513418182</v>
      </c>
      <c r="I1586">
        <v>4509288121</v>
      </c>
      <c r="J1586">
        <v>4462204923</v>
      </c>
      <c r="K1586">
        <v>3616380788</v>
      </c>
      <c r="P1586">
        <v>85</v>
      </c>
      <c r="Q1586" t="s">
        <v>3484</v>
      </c>
    </row>
    <row r="1587" spans="1:17" x14ac:dyDescent="0.3">
      <c r="A1587" t="s">
        <v>17</v>
      </c>
      <c r="B1587" t="str">
        <f>"603968"</f>
        <v>603968</v>
      </c>
      <c r="C1587" t="s">
        <v>3485</v>
      </c>
      <c r="D1587" t="s">
        <v>677</v>
      </c>
      <c r="F1587">
        <v>2999288487</v>
      </c>
      <c r="G1587">
        <v>2423961559</v>
      </c>
      <c r="H1587">
        <v>2257560214</v>
      </c>
      <c r="I1587">
        <v>2028186226</v>
      </c>
      <c r="J1587">
        <v>1661000317</v>
      </c>
      <c r="K1587">
        <v>1329909396</v>
      </c>
      <c r="L1587">
        <v>1242089005</v>
      </c>
      <c r="M1587">
        <v>1423081267</v>
      </c>
      <c r="N1587">
        <v>1263564158</v>
      </c>
      <c r="O1587">
        <v>1308284032</v>
      </c>
      <c r="P1587">
        <v>243</v>
      </c>
      <c r="Q1587" t="s">
        <v>3486</v>
      </c>
    </row>
    <row r="1588" spans="1:17" x14ac:dyDescent="0.3">
      <c r="A1588" t="s">
        <v>17</v>
      </c>
      <c r="B1588" t="str">
        <f>"603969"</f>
        <v>603969</v>
      </c>
      <c r="C1588" t="s">
        <v>3487</v>
      </c>
      <c r="D1588" t="s">
        <v>274</v>
      </c>
      <c r="F1588">
        <v>3149546036</v>
      </c>
      <c r="G1588">
        <v>2557228415</v>
      </c>
      <c r="H1588">
        <v>2646502741</v>
      </c>
      <c r="I1588">
        <v>2337525781</v>
      </c>
      <c r="J1588">
        <v>2178409769</v>
      </c>
      <c r="K1588">
        <v>1484017185</v>
      </c>
      <c r="L1588">
        <v>1396445726</v>
      </c>
      <c r="M1588">
        <v>1982688217</v>
      </c>
      <c r="N1588">
        <v>1953929175</v>
      </c>
      <c r="O1588">
        <v>1330899092</v>
      </c>
      <c r="P1588">
        <v>94</v>
      </c>
      <c r="Q1588" t="s">
        <v>3488</v>
      </c>
    </row>
    <row r="1589" spans="1:17" x14ac:dyDescent="0.3">
      <c r="A1589" t="s">
        <v>17</v>
      </c>
      <c r="B1589" t="str">
        <f>"603970"</f>
        <v>603970</v>
      </c>
      <c r="C1589" t="s">
        <v>3489</v>
      </c>
      <c r="D1589" t="s">
        <v>853</v>
      </c>
      <c r="F1589">
        <v>8822111308</v>
      </c>
      <c r="G1589">
        <v>6640994270</v>
      </c>
      <c r="H1589">
        <v>4342465254</v>
      </c>
      <c r="I1589">
        <v>3734627173</v>
      </c>
      <c r="J1589">
        <v>3503462176</v>
      </c>
      <c r="K1589">
        <v>3398424812</v>
      </c>
      <c r="L1589">
        <v>3234190473</v>
      </c>
      <c r="M1589">
        <v>2875108034</v>
      </c>
      <c r="P1589">
        <v>90</v>
      </c>
      <c r="Q1589" t="s">
        <v>3490</v>
      </c>
    </row>
    <row r="1590" spans="1:17" x14ac:dyDescent="0.3">
      <c r="A1590" t="s">
        <v>17</v>
      </c>
      <c r="B1590" t="str">
        <f>"603976"</f>
        <v>603976</v>
      </c>
      <c r="C1590" t="s">
        <v>3491</v>
      </c>
      <c r="D1590" t="s">
        <v>1077</v>
      </c>
      <c r="F1590">
        <v>796657258</v>
      </c>
      <c r="G1590">
        <v>501981691</v>
      </c>
      <c r="H1590">
        <v>521080827</v>
      </c>
      <c r="I1590">
        <v>595781310</v>
      </c>
      <c r="J1590">
        <v>508681599</v>
      </c>
      <c r="K1590">
        <v>469994517</v>
      </c>
      <c r="L1590">
        <v>479683554</v>
      </c>
      <c r="M1590">
        <v>436034295</v>
      </c>
      <c r="P1590">
        <v>216</v>
      </c>
      <c r="Q1590" t="s">
        <v>3492</v>
      </c>
    </row>
    <row r="1591" spans="1:17" x14ac:dyDescent="0.3">
      <c r="A1591" t="s">
        <v>17</v>
      </c>
      <c r="B1591" t="str">
        <f>"603977"</f>
        <v>603977</v>
      </c>
      <c r="C1591" t="s">
        <v>3493</v>
      </c>
      <c r="D1591" t="s">
        <v>2736</v>
      </c>
      <c r="F1591">
        <v>1988123973</v>
      </c>
      <c r="G1591">
        <v>1704382480</v>
      </c>
      <c r="H1591">
        <v>1439038551</v>
      </c>
      <c r="I1591">
        <v>868309956</v>
      </c>
      <c r="J1591">
        <v>565306858</v>
      </c>
      <c r="K1591">
        <v>471901349</v>
      </c>
      <c r="L1591">
        <v>483124446</v>
      </c>
      <c r="M1591">
        <v>571566065</v>
      </c>
      <c r="N1591">
        <v>534338596</v>
      </c>
      <c r="P1591">
        <v>87</v>
      </c>
      <c r="Q1591" t="s">
        <v>3494</v>
      </c>
    </row>
    <row r="1592" spans="1:17" x14ac:dyDescent="0.3">
      <c r="A1592" t="s">
        <v>17</v>
      </c>
      <c r="B1592" t="str">
        <f>"603978"</f>
        <v>603978</v>
      </c>
      <c r="C1592" t="s">
        <v>3495</v>
      </c>
      <c r="D1592" t="s">
        <v>581</v>
      </c>
      <c r="F1592">
        <v>1375705908</v>
      </c>
      <c r="G1592">
        <v>986094241</v>
      </c>
      <c r="H1592">
        <v>1033935693</v>
      </c>
      <c r="I1592">
        <v>1099960108</v>
      </c>
      <c r="J1592">
        <v>1009183483</v>
      </c>
      <c r="K1592">
        <v>793995156</v>
      </c>
      <c r="L1592">
        <v>701030062</v>
      </c>
      <c r="M1592">
        <v>740625084</v>
      </c>
      <c r="P1592">
        <v>112</v>
      </c>
      <c r="Q1592" t="s">
        <v>3496</v>
      </c>
    </row>
    <row r="1593" spans="1:17" x14ac:dyDescent="0.3">
      <c r="A1593" t="s">
        <v>17</v>
      </c>
      <c r="B1593" t="str">
        <f>"603979"</f>
        <v>603979</v>
      </c>
      <c r="C1593" t="s">
        <v>3497</v>
      </c>
      <c r="D1593" t="s">
        <v>1992</v>
      </c>
      <c r="F1593">
        <v>4503810611</v>
      </c>
      <c r="G1593">
        <v>3863454560</v>
      </c>
      <c r="H1593">
        <v>3433964467</v>
      </c>
      <c r="I1593">
        <v>3105190216</v>
      </c>
      <c r="J1593">
        <v>2440345134</v>
      </c>
      <c r="K1593">
        <v>2396076171</v>
      </c>
      <c r="L1593">
        <v>2606524830</v>
      </c>
      <c r="M1593">
        <v>2786634724</v>
      </c>
      <c r="N1593">
        <v>2637367832</v>
      </c>
      <c r="O1593">
        <v>2141403815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"603980"</f>
        <v>603980</v>
      </c>
      <c r="C1594" t="s">
        <v>3499</v>
      </c>
      <c r="D1594" t="s">
        <v>779</v>
      </c>
      <c r="F1594">
        <v>2253640681</v>
      </c>
      <c r="G1594">
        <v>1832231323</v>
      </c>
      <c r="H1594">
        <v>2634304591</v>
      </c>
      <c r="I1594">
        <v>2915211496</v>
      </c>
      <c r="J1594">
        <v>2456196485</v>
      </c>
      <c r="K1594">
        <v>2160327199</v>
      </c>
      <c r="L1594">
        <v>2916494709</v>
      </c>
      <c r="M1594">
        <v>2949376207</v>
      </c>
      <c r="P1594">
        <v>195</v>
      </c>
      <c r="Q1594" t="s">
        <v>3500</v>
      </c>
    </row>
    <row r="1595" spans="1:17" x14ac:dyDescent="0.3">
      <c r="A1595" t="s">
        <v>17</v>
      </c>
      <c r="B1595" t="str">
        <f>"603982"</f>
        <v>603982</v>
      </c>
      <c r="C1595" t="s">
        <v>3501</v>
      </c>
      <c r="D1595" t="s">
        <v>348</v>
      </c>
      <c r="F1595">
        <v>1614885555</v>
      </c>
      <c r="G1595">
        <v>1385756806</v>
      </c>
      <c r="H1595">
        <v>1250520314</v>
      </c>
      <c r="I1595">
        <v>1202271538</v>
      </c>
      <c r="J1595">
        <v>923201919</v>
      </c>
      <c r="K1595">
        <v>699314772</v>
      </c>
      <c r="P1595">
        <v>122</v>
      </c>
      <c r="Q1595" t="s">
        <v>3502</v>
      </c>
    </row>
    <row r="1596" spans="1:17" x14ac:dyDescent="0.3">
      <c r="A1596" t="s">
        <v>17</v>
      </c>
      <c r="B1596" t="str">
        <f>"603983"</f>
        <v>603983</v>
      </c>
      <c r="C1596" t="s">
        <v>3503</v>
      </c>
      <c r="D1596" t="s">
        <v>709</v>
      </c>
      <c r="F1596">
        <v>1787028564</v>
      </c>
      <c r="G1596">
        <v>1744989060</v>
      </c>
      <c r="H1596">
        <v>1800857590</v>
      </c>
      <c r="I1596">
        <v>1575763955</v>
      </c>
      <c r="J1596">
        <v>1352323383</v>
      </c>
      <c r="K1596">
        <v>1208125202</v>
      </c>
      <c r="P1596">
        <v>898</v>
      </c>
      <c r="Q1596" t="s">
        <v>3504</v>
      </c>
    </row>
    <row r="1597" spans="1:17" x14ac:dyDescent="0.3">
      <c r="A1597" t="s">
        <v>17</v>
      </c>
      <c r="B1597" t="str">
        <f>"603985"</f>
        <v>603985</v>
      </c>
      <c r="C1597" t="s">
        <v>3505</v>
      </c>
      <c r="D1597" t="s">
        <v>274</v>
      </c>
      <c r="F1597">
        <v>2293483157</v>
      </c>
      <c r="G1597">
        <v>2384509836</v>
      </c>
      <c r="H1597">
        <v>1431182547</v>
      </c>
      <c r="I1597">
        <v>1185323788</v>
      </c>
      <c r="J1597">
        <v>740670894</v>
      </c>
      <c r="K1597">
        <v>629335545</v>
      </c>
      <c r="L1597">
        <v>669039119</v>
      </c>
      <c r="M1597">
        <v>690912194</v>
      </c>
      <c r="P1597">
        <v>220</v>
      </c>
      <c r="Q1597" t="s">
        <v>3506</v>
      </c>
    </row>
    <row r="1598" spans="1:17" x14ac:dyDescent="0.3">
      <c r="A1598" t="s">
        <v>17</v>
      </c>
      <c r="B1598" t="str">
        <f>"603986"</f>
        <v>603986</v>
      </c>
      <c r="C1598" t="s">
        <v>3507</v>
      </c>
      <c r="D1598" t="s">
        <v>461</v>
      </c>
      <c r="F1598">
        <v>8510223469</v>
      </c>
      <c r="G1598">
        <v>4496894868</v>
      </c>
      <c r="H1598">
        <v>3202917103</v>
      </c>
      <c r="I1598">
        <v>2245786322</v>
      </c>
      <c r="J1598">
        <v>2029708832</v>
      </c>
      <c r="K1598">
        <v>1488948172</v>
      </c>
      <c r="L1598">
        <v>1188780220</v>
      </c>
      <c r="M1598">
        <v>946723202</v>
      </c>
      <c r="N1598">
        <v>788808408</v>
      </c>
      <c r="P1598">
        <v>2706</v>
      </c>
      <c r="Q1598" t="s">
        <v>3508</v>
      </c>
    </row>
    <row r="1599" spans="1:17" x14ac:dyDescent="0.3">
      <c r="A1599" t="s">
        <v>17</v>
      </c>
      <c r="B1599" t="str">
        <f>"603987"</f>
        <v>603987</v>
      </c>
      <c r="C1599" t="s">
        <v>3509</v>
      </c>
      <c r="D1599" t="s">
        <v>1077</v>
      </c>
      <c r="F1599">
        <v>3097024759</v>
      </c>
      <c r="G1599">
        <v>2645382000</v>
      </c>
      <c r="H1599">
        <v>1816907868</v>
      </c>
      <c r="I1599">
        <v>1450058271</v>
      </c>
      <c r="J1599">
        <v>1256403997</v>
      </c>
      <c r="K1599">
        <v>1132082579</v>
      </c>
      <c r="L1599">
        <v>1061412880</v>
      </c>
      <c r="M1599">
        <v>982792831</v>
      </c>
      <c r="N1599">
        <v>931948296</v>
      </c>
      <c r="P1599">
        <v>265</v>
      </c>
      <c r="Q1599" t="s">
        <v>3510</v>
      </c>
    </row>
    <row r="1600" spans="1:17" x14ac:dyDescent="0.3">
      <c r="A1600" t="s">
        <v>17</v>
      </c>
      <c r="B1600" t="str">
        <f>"603988"</f>
        <v>603988</v>
      </c>
      <c r="C1600" t="s">
        <v>3511</v>
      </c>
      <c r="D1600" t="s">
        <v>1171</v>
      </c>
      <c r="F1600">
        <v>819358116</v>
      </c>
      <c r="G1600">
        <v>856405784</v>
      </c>
      <c r="H1600">
        <v>608001748</v>
      </c>
      <c r="I1600">
        <v>428538145</v>
      </c>
      <c r="J1600">
        <v>307558152</v>
      </c>
      <c r="K1600">
        <v>233808694</v>
      </c>
      <c r="L1600">
        <v>276366552</v>
      </c>
      <c r="M1600">
        <v>330501733</v>
      </c>
      <c r="N1600">
        <v>380224804</v>
      </c>
      <c r="O1600">
        <v>360168759</v>
      </c>
      <c r="P1600">
        <v>192</v>
      </c>
      <c r="Q1600" t="s">
        <v>3512</v>
      </c>
    </row>
    <row r="1601" spans="1:17" x14ac:dyDescent="0.3">
      <c r="A1601" t="s">
        <v>17</v>
      </c>
      <c r="B1601" t="str">
        <f>"603989"</f>
        <v>603989</v>
      </c>
      <c r="C1601" t="s">
        <v>3513</v>
      </c>
      <c r="D1601" t="s">
        <v>546</v>
      </c>
      <c r="F1601">
        <v>3234095652</v>
      </c>
      <c r="G1601">
        <v>2516603153</v>
      </c>
      <c r="H1601">
        <v>2254389665</v>
      </c>
      <c r="I1601">
        <v>2165573918</v>
      </c>
      <c r="J1601">
        <v>1792502985</v>
      </c>
      <c r="K1601">
        <v>1553647140</v>
      </c>
      <c r="L1601">
        <v>1308500033</v>
      </c>
      <c r="M1601">
        <v>1173819104</v>
      </c>
      <c r="N1601">
        <v>1054568521</v>
      </c>
      <c r="O1601">
        <v>866496281</v>
      </c>
      <c r="P1601">
        <v>12173</v>
      </c>
      <c r="Q1601" t="s">
        <v>3514</v>
      </c>
    </row>
    <row r="1602" spans="1:17" x14ac:dyDescent="0.3">
      <c r="A1602" t="s">
        <v>17</v>
      </c>
      <c r="B1602" t="str">
        <f>"603990"</f>
        <v>603990</v>
      </c>
      <c r="C1602" t="s">
        <v>3515</v>
      </c>
      <c r="D1602" t="s">
        <v>945</v>
      </c>
      <c r="F1602">
        <v>353846512</v>
      </c>
      <c r="G1602">
        <v>308078554</v>
      </c>
      <c r="H1602">
        <v>333116193</v>
      </c>
      <c r="I1602">
        <v>284276878</v>
      </c>
      <c r="J1602">
        <v>268680076</v>
      </c>
      <c r="K1602">
        <v>240643007</v>
      </c>
      <c r="L1602">
        <v>201871275</v>
      </c>
      <c r="M1602">
        <v>180470565</v>
      </c>
      <c r="N1602">
        <v>142793463</v>
      </c>
      <c r="P1602">
        <v>143</v>
      </c>
      <c r="Q1602" t="s">
        <v>3516</v>
      </c>
    </row>
    <row r="1603" spans="1:17" x14ac:dyDescent="0.3">
      <c r="A1603" t="s">
        <v>17</v>
      </c>
      <c r="B1603" t="str">
        <f>"603991"</f>
        <v>603991</v>
      </c>
      <c r="C1603" t="s">
        <v>3517</v>
      </c>
      <c r="D1603" t="s">
        <v>1192</v>
      </c>
      <c r="F1603">
        <v>128136000</v>
      </c>
      <c r="G1603">
        <v>311316193</v>
      </c>
      <c r="H1603">
        <v>461865586</v>
      </c>
      <c r="I1603">
        <v>569777614</v>
      </c>
      <c r="J1603">
        <v>427445899</v>
      </c>
      <c r="K1603">
        <v>351112922</v>
      </c>
      <c r="L1603">
        <v>300893020</v>
      </c>
      <c r="M1603">
        <v>272440008</v>
      </c>
      <c r="P1603">
        <v>96</v>
      </c>
      <c r="Q1603" t="s">
        <v>3518</v>
      </c>
    </row>
    <row r="1604" spans="1:17" x14ac:dyDescent="0.3">
      <c r="A1604" t="s">
        <v>17</v>
      </c>
      <c r="B1604" t="str">
        <f>"603992"</f>
        <v>603992</v>
      </c>
      <c r="C1604" t="s">
        <v>3519</v>
      </c>
      <c r="D1604" t="s">
        <v>2912</v>
      </c>
      <c r="F1604">
        <v>2976998535</v>
      </c>
      <c r="G1604">
        <v>2034815979</v>
      </c>
      <c r="H1604">
        <v>1738628793</v>
      </c>
      <c r="I1604">
        <v>1758667132</v>
      </c>
      <c r="J1604">
        <v>1735433455</v>
      </c>
      <c r="K1604">
        <v>1467426542</v>
      </c>
      <c r="P1604">
        <v>120</v>
      </c>
      <c r="Q1604" t="s">
        <v>3520</v>
      </c>
    </row>
    <row r="1605" spans="1:17" x14ac:dyDescent="0.3">
      <c r="A1605" t="s">
        <v>17</v>
      </c>
      <c r="B1605" t="str">
        <f>"603993"</f>
        <v>603993</v>
      </c>
      <c r="C1605" t="s">
        <v>3521</v>
      </c>
      <c r="D1605" t="s">
        <v>2363</v>
      </c>
      <c r="F1605">
        <v>173862586155</v>
      </c>
      <c r="G1605">
        <v>112981018625</v>
      </c>
      <c r="H1605">
        <v>68676565009</v>
      </c>
      <c r="I1605">
        <v>25962862774</v>
      </c>
      <c r="J1605">
        <v>24147557764</v>
      </c>
      <c r="K1605">
        <v>6949571007</v>
      </c>
      <c r="L1605">
        <v>4196839621</v>
      </c>
      <c r="M1605">
        <v>6662382123</v>
      </c>
      <c r="N1605">
        <v>5536469247</v>
      </c>
      <c r="O1605">
        <v>5710893904</v>
      </c>
      <c r="P1605">
        <v>1125</v>
      </c>
      <c r="Q1605" t="s">
        <v>3522</v>
      </c>
    </row>
    <row r="1606" spans="1:17" x14ac:dyDescent="0.3">
      <c r="A1606" t="s">
        <v>17</v>
      </c>
      <c r="B1606" t="str">
        <f>"603995"</f>
        <v>603995</v>
      </c>
      <c r="C1606" t="s">
        <v>3523</v>
      </c>
      <c r="D1606" t="s">
        <v>281</v>
      </c>
      <c r="F1606">
        <v>31365966473</v>
      </c>
      <c r="G1606">
        <v>20443421933</v>
      </c>
      <c r="H1606">
        <v>15827764792</v>
      </c>
      <c r="I1606">
        <v>15650308856</v>
      </c>
      <c r="J1606">
        <v>12166152548</v>
      </c>
      <c r="K1606">
        <v>8142774650</v>
      </c>
      <c r="P1606">
        <v>128</v>
      </c>
      <c r="Q1606" t="s">
        <v>3524</v>
      </c>
    </row>
    <row r="1607" spans="1:17" x14ac:dyDescent="0.3">
      <c r="A1607" t="s">
        <v>17</v>
      </c>
      <c r="B1607" t="str">
        <f>"603996"</f>
        <v>603996</v>
      </c>
      <c r="C1607" t="s">
        <v>3525</v>
      </c>
      <c r="D1607" t="s">
        <v>3526</v>
      </c>
      <c r="F1607">
        <v>804193</v>
      </c>
      <c r="G1607">
        <v>131731721</v>
      </c>
      <c r="H1607">
        <v>490717120</v>
      </c>
      <c r="I1607">
        <v>6731129500</v>
      </c>
      <c r="J1607">
        <v>6655408103</v>
      </c>
      <c r="K1607">
        <v>4188478461</v>
      </c>
      <c r="L1607">
        <v>3463163307</v>
      </c>
      <c r="M1607">
        <v>2407545708</v>
      </c>
      <c r="N1607">
        <v>2351065976</v>
      </c>
      <c r="O1607">
        <v>2006135346</v>
      </c>
      <c r="P1607">
        <v>71</v>
      </c>
      <c r="Q1607" t="s">
        <v>3527</v>
      </c>
    </row>
    <row r="1608" spans="1:17" x14ac:dyDescent="0.3">
      <c r="A1608" t="s">
        <v>17</v>
      </c>
      <c r="B1608" t="str">
        <f>"603997"</f>
        <v>603997</v>
      </c>
      <c r="C1608" t="s">
        <v>3528</v>
      </c>
      <c r="D1608" t="s">
        <v>191</v>
      </c>
      <c r="F1608">
        <v>16831990787</v>
      </c>
      <c r="G1608">
        <v>15732749552</v>
      </c>
      <c r="H1608">
        <v>18001256098</v>
      </c>
      <c r="I1608">
        <v>2151347133</v>
      </c>
      <c r="J1608">
        <v>1902072097</v>
      </c>
      <c r="K1608">
        <v>1465507890</v>
      </c>
      <c r="L1608">
        <v>1048068265</v>
      </c>
      <c r="M1608">
        <v>1017916608</v>
      </c>
      <c r="N1608">
        <v>750494050</v>
      </c>
      <c r="O1608">
        <v>519867953</v>
      </c>
      <c r="P1608">
        <v>248</v>
      </c>
      <c r="Q1608" t="s">
        <v>3529</v>
      </c>
    </row>
    <row r="1609" spans="1:17" x14ac:dyDescent="0.3">
      <c r="A1609" t="s">
        <v>17</v>
      </c>
      <c r="B1609" t="str">
        <f>"603998"</f>
        <v>603998</v>
      </c>
      <c r="C1609" t="s">
        <v>3530</v>
      </c>
      <c r="D1609" t="s">
        <v>188</v>
      </c>
      <c r="F1609">
        <v>1566972728</v>
      </c>
      <c r="G1609">
        <v>1278765036</v>
      </c>
      <c r="H1609">
        <v>1093753954</v>
      </c>
      <c r="I1609">
        <v>1051077420</v>
      </c>
      <c r="J1609">
        <v>720769349</v>
      </c>
      <c r="K1609">
        <v>534256841</v>
      </c>
      <c r="L1609">
        <v>468558595</v>
      </c>
      <c r="M1609">
        <v>415613173</v>
      </c>
      <c r="N1609">
        <v>400261848</v>
      </c>
      <c r="O1609">
        <v>332305399</v>
      </c>
      <c r="P1609">
        <v>126</v>
      </c>
      <c r="Q1609" t="s">
        <v>3531</v>
      </c>
    </row>
    <row r="1610" spans="1:17" x14ac:dyDescent="0.3">
      <c r="A1610" t="s">
        <v>17</v>
      </c>
      <c r="B1610" t="str">
        <f>"603999"</f>
        <v>603999</v>
      </c>
      <c r="C1610" t="s">
        <v>3532</v>
      </c>
      <c r="D1610" t="s">
        <v>525</v>
      </c>
      <c r="F1610">
        <v>1222220185</v>
      </c>
      <c r="G1610">
        <v>1083823178</v>
      </c>
      <c r="H1610">
        <v>971863185</v>
      </c>
      <c r="I1610">
        <v>760708704</v>
      </c>
      <c r="J1610">
        <v>789793426</v>
      </c>
      <c r="K1610">
        <v>750877619</v>
      </c>
      <c r="L1610">
        <v>825216060</v>
      </c>
      <c r="M1610">
        <v>759166918</v>
      </c>
      <c r="N1610">
        <v>871671680</v>
      </c>
      <c r="O1610">
        <v>748028373</v>
      </c>
      <c r="P1610">
        <v>85</v>
      </c>
      <c r="Q1610" t="s">
        <v>3533</v>
      </c>
    </row>
    <row r="1611" spans="1:17" x14ac:dyDescent="0.3">
      <c r="A1611" t="s">
        <v>17</v>
      </c>
      <c r="B1611" t="str">
        <f>"605001"</f>
        <v>605001</v>
      </c>
      <c r="C1611" t="s">
        <v>3534</v>
      </c>
      <c r="D1611" t="s">
        <v>1012</v>
      </c>
      <c r="F1611">
        <v>614940035</v>
      </c>
      <c r="G1611">
        <v>1162823222</v>
      </c>
      <c r="H1611">
        <v>1609241236</v>
      </c>
      <c r="I1611">
        <v>1510892182</v>
      </c>
      <c r="J1611">
        <v>1148556977</v>
      </c>
      <c r="P1611">
        <v>48</v>
      </c>
      <c r="Q1611" t="s">
        <v>3535</v>
      </c>
    </row>
    <row r="1612" spans="1:17" x14ac:dyDescent="0.3">
      <c r="A1612" t="s">
        <v>17</v>
      </c>
      <c r="B1612" t="str">
        <f>"605003"</f>
        <v>605003</v>
      </c>
      <c r="C1612" t="s">
        <v>3536</v>
      </c>
      <c r="D1612" t="s">
        <v>2889</v>
      </c>
      <c r="F1612">
        <v>587006534</v>
      </c>
      <c r="G1612">
        <v>495420535</v>
      </c>
      <c r="H1612">
        <v>488366133</v>
      </c>
      <c r="I1612">
        <v>424961247</v>
      </c>
      <c r="J1612">
        <v>389301132</v>
      </c>
      <c r="P1612">
        <v>75</v>
      </c>
      <c r="Q1612" t="s">
        <v>3537</v>
      </c>
    </row>
    <row r="1613" spans="1:17" x14ac:dyDescent="0.3">
      <c r="A1613" t="s">
        <v>17</v>
      </c>
      <c r="B1613" t="str">
        <f>"605005"</f>
        <v>605005</v>
      </c>
      <c r="C1613" t="s">
        <v>3538</v>
      </c>
      <c r="D1613" t="s">
        <v>1415</v>
      </c>
      <c r="F1613">
        <v>1422377569</v>
      </c>
      <c r="G1613">
        <v>1202160920</v>
      </c>
      <c r="H1613">
        <v>1177490739</v>
      </c>
      <c r="I1613">
        <v>1198848409</v>
      </c>
      <c r="J1613">
        <v>1084694772</v>
      </c>
      <c r="P1613">
        <v>62</v>
      </c>
      <c r="Q1613" t="s">
        <v>3539</v>
      </c>
    </row>
    <row r="1614" spans="1:17" x14ac:dyDescent="0.3">
      <c r="A1614" t="s">
        <v>17</v>
      </c>
      <c r="B1614" t="str">
        <f>"605006"</f>
        <v>605006</v>
      </c>
      <c r="C1614" t="s">
        <v>3540</v>
      </c>
      <c r="D1614" t="s">
        <v>411</v>
      </c>
      <c r="F1614">
        <v>2748634493</v>
      </c>
      <c r="G1614">
        <v>1995853054</v>
      </c>
      <c r="H1614">
        <v>1811278777</v>
      </c>
      <c r="I1614">
        <v>1803404165</v>
      </c>
      <c r="J1614">
        <v>1706591973</v>
      </c>
      <c r="P1614">
        <v>123</v>
      </c>
      <c r="Q1614" t="s">
        <v>3541</v>
      </c>
    </row>
    <row r="1615" spans="1:17" x14ac:dyDescent="0.3">
      <c r="A1615" t="s">
        <v>17</v>
      </c>
      <c r="B1615" t="str">
        <f>"605007"</f>
        <v>605007</v>
      </c>
      <c r="C1615" t="s">
        <v>3542</v>
      </c>
      <c r="D1615" t="s">
        <v>244</v>
      </c>
      <c r="F1615">
        <v>3689521699</v>
      </c>
      <c r="G1615">
        <v>2634662285</v>
      </c>
      <c r="H1615">
        <v>2375927902</v>
      </c>
      <c r="I1615">
        <v>2149001391</v>
      </c>
      <c r="J1615">
        <v>1860895576</v>
      </c>
      <c r="K1615">
        <v>1640016840</v>
      </c>
      <c r="P1615">
        <v>81</v>
      </c>
      <c r="Q1615" t="s">
        <v>3543</v>
      </c>
    </row>
    <row r="1616" spans="1:17" x14ac:dyDescent="0.3">
      <c r="A1616" t="s">
        <v>17</v>
      </c>
      <c r="B1616" t="str">
        <f>"605008"</f>
        <v>605008</v>
      </c>
      <c r="C1616" t="s">
        <v>3544</v>
      </c>
      <c r="D1616" t="s">
        <v>1192</v>
      </c>
      <c r="F1616">
        <v>1733337309</v>
      </c>
      <c r="G1616">
        <v>1297282783</v>
      </c>
      <c r="H1616">
        <v>1157333095</v>
      </c>
      <c r="I1616">
        <v>1020640030</v>
      </c>
      <c r="J1616">
        <v>491276068</v>
      </c>
      <c r="P1616">
        <v>66</v>
      </c>
      <c r="Q1616" t="s">
        <v>3545</v>
      </c>
    </row>
    <row r="1617" spans="1:17" x14ac:dyDescent="0.3">
      <c r="A1617" t="s">
        <v>17</v>
      </c>
      <c r="B1617" t="str">
        <f>"605009"</f>
        <v>605009</v>
      </c>
      <c r="C1617" t="s">
        <v>3546</v>
      </c>
      <c r="D1617" t="s">
        <v>2751</v>
      </c>
      <c r="F1617">
        <v>2462051150</v>
      </c>
      <c r="G1617">
        <v>2590952149</v>
      </c>
      <c r="H1617">
        <v>1953382285</v>
      </c>
      <c r="I1617">
        <v>1449541052</v>
      </c>
      <c r="J1617">
        <v>760983631</v>
      </c>
      <c r="P1617">
        <v>355</v>
      </c>
      <c r="Q1617" t="s">
        <v>3547</v>
      </c>
    </row>
    <row r="1618" spans="1:17" x14ac:dyDescent="0.3">
      <c r="A1618" t="s">
        <v>17</v>
      </c>
      <c r="B1618" t="str">
        <f>"605011"</f>
        <v>605011</v>
      </c>
      <c r="C1618" t="s">
        <v>3548</v>
      </c>
      <c r="D1618" t="s">
        <v>351</v>
      </c>
      <c r="F1618">
        <v>3182629526</v>
      </c>
      <c r="G1618">
        <v>2088179458</v>
      </c>
      <c r="H1618">
        <v>2002067485</v>
      </c>
      <c r="I1618">
        <v>1945367455</v>
      </c>
      <c r="J1618">
        <v>1644548141</v>
      </c>
      <c r="P1618">
        <v>27</v>
      </c>
      <c r="Q1618" t="s">
        <v>3549</v>
      </c>
    </row>
    <row r="1619" spans="1:17" x14ac:dyDescent="0.3">
      <c r="A1619" t="s">
        <v>17</v>
      </c>
      <c r="B1619" t="str">
        <f>"605016"</f>
        <v>605016</v>
      </c>
      <c r="C1619" t="s">
        <v>3550</v>
      </c>
      <c r="D1619" t="s">
        <v>677</v>
      </c>
      <c r="F1619">
        <v>653356099</v>
      </c>
      <c r="G1619">
        <v>499624283</v>
      </c>
      <c r="H1619">
        <v>421053343</v>
      </c>
      <c r="I1619">
        <v>355533959</v>
      </c>
      <c r="J1619">
        <v>310609700</v>
      </c>
      <c r="P1619">
        <v>65</v>
      </c>
      <c r="Q1619" t="s">
        <v>3551</v>
      </c>
    </row>
    <row r="1620" spans="1:17" x14ac:dyDescent="0.3">
      <c r="A1620" t="s">
        <v>17</v>
      </c>
      <c r="B1620" t="str">
        <f>"605018"</f>
        <v>605018</v>
      </c>
      <c r="C1620" t="s">
        <v>3552</v>
      </c>
      <c r="D1620" t="s">
        <v>985</v>
      </c>
      <c r="F1620">
        <v>1496303508</v>
      </c>
      <c r="G1620">
        <v>1454214687</v>
      </c>
      <c r="H1620">
        <v>1430785962</v>
      </c>
      <c r="I1620">
        <v>1518367608</v>
      </c>
      <c r="J1620">
        <v>1501042804</v>
      </c>
      <c r="P1620">
        <v>48</v>
      </c>
      <c r="Q1620" t="s">
        <v>3553</v>
      </c>
    </row>
    <row r="1621" spans="1:17" x14ac:dyDescent="0.3">
      <c r="A1621" t="s">
        <v>17</v>
      </c>
      <c r="B1621" t="str">
        <f>"605020"</f>
        <v>605020</v>
      </c>
      <c r="C1621" t="s">
        <v>3554</v>
      </c>
      <c r="D1621" t="s">
        <v>375</v>
      </c>
      <c r="F1621">
        <v>2898620128</v>
      </c>
      <c r="G1621">
        <v>1951739654</v>
      </c>
      <c r="H1621">
        <v>1882872179</v>
      </c>
      <c r="I1621">
        <v>2072935032</v>
      </c>
      <c r="J1621">
        <v>1520869818</v>
      </c>
      <c r="P1621">
        <v>33</v>
      </c>
      <c r="Q1621" t="s">
        <v>3555</v>
      </c>
    </row>
    <row r="1622" spans="1:17" x14ac:dyDescent="0.3">
      <c r="A1622" t="s">
        <v>17</v>
      </c>
      <c r="B1622" t="str">
        <f>"605028"</f>
        <v>605028</v>
      </c>
      <c r="C1622" t="s">
        <v>3556</v>
      </c>
      <c r="D1622" t="s">
        <v>351</v>
      </c>
      <c r="F1622">
        <v>394726530</v>
      </c>
      <c r="G1622">
        <v>299129603</v>
      </c>
      <c r="H1622">
        <v>263564940</v>
      </c>
      <c r="I1622">
        <v>252602153</v>
      </c>
      <c r="J1622">
        <v>218930839</v>
      </c>
      <c r="P1622">
        <v>46</v>
      </c>
      <c r="Q1622" t="s">
        <v>3557</v>
      </c>
    </row>
    <row r="1623" spans="1:17" x14ac:dyDescent="0.3">
      <c r="A1623" t="s">
        <v>17</v>
      </c>
      <c r="B1623" t="str">
        <f>"605033"</f>
        <v>605033</v>
      </c>
      <c r="C1623" t="s">
        <v>3558</v>
      </c>
      <c r="D1623" t="s">
        <v>853</v>
      </c>
      <c r="F1623">
        <v>842490331</v>
      </c>
      <c r="G1623">
        <v>568518123</v>
      </c>
      <c r="H1623">
        <v>515708310</v>
      </c>
      <c r="I1623">
        <v>438559940</v>
      </c>
      <c r="J1623">
        <v>421959012</v>
      </c>
      <c r="P1623">
        <v>14</v>
      </c>
      <c r="Q1623" t="s">
        <v>3559</v>
      </c>
    </row>
    <row r="1624" spans="1:17" x14ac:dyDescent="0.3">
      <c r="A1624" t="s">
        <v>17</v>
      </c>
      <c r="B1624" t="str">
        <f>"605050"</f>
        <v>605050</v>
      </c>
      <c r="C1624" t="s">
        <v>3560</v>
      </c>
      <c r="D1624" t="s">
        <v>128</v>
      </c>
      <c r="F1624">
        <v>9953062156</v>
      </c>
      <c r="G1624">
        <v>6688814506</v>
      </c>
      <c r="H1624">
        <v>5480958237</v>
      </c>
      <c r="I1624">
        <v>5612857241</v>
      </c>
      <c r="J1624">
        <v>5193224430</v>
      </c>
      <c r="K1624">
        <v>4697947191</v>
      </c>
      <c r="P1624">
        <v>37</v>
      </c>
      <c r="Q1624" t="s">
        <v>3561</v>
      </c>
    </row>
    <row r="1625" spans="1:17" x14ac:dyDescent="0.3">
      <c r="A1625" t="s">
        <v>17</v>
      </c>
      <c r="B1625" t="str">
        <f>"605055"</f>
        <v>605055</v>
      </c>
      <c r="C1625" t="s">
        <v>3562</v>
      </c>
      <c r="D1625" t="s">
        <v>817</v>
      </c>
      <c r="F1625">
        <v>1261684395</v>
      </c>
      <c r="G1625">
        <v>779660526</v>
      </c>
      <c r="H1625">
        <v>903827046</v>
      </c>
      <c r="I1625">
        <v>986582405</v>
      </c>
      <c r="J1625">
        <v>901007119</v>
      </c>
      <c r="K1625">
        <v>682823080</v>
      </c>
      <c r="P1625">
        <v>38</v>
      </c>
      <c r="Q1625" t="s">
        <v>3563</v>
      </c>
    </row>
    <row r="1626" spans="1:17" x14ac:dyDescent="0.3">
      <c r="A1626" t="s">
        <v>17</v>
      </c>
      <c r="B1626" t="str">
        <f>"605056"</f>
        <v>605056</v>
      </c>
      <c r="C1626" t="s">
        <v>3564</v>
      </c>
      <c r="D1626" t="s">
        <v>2566</v>
      </c>
      <c r="F1626">
        <v>1992524370</v>
      </c>
      <c r="G1626">
        <v>1990874791</v>
      </c>
      <c r="H1626">
        <v>1947739560</v>
      </c>
      <c r="I1626">
        <v>1521250278</v>
      </c>
      <c r="J1626">
        <v>1055481226</v>
      </c>
      <c r="P1626">
        <v>21</v>
      </c>
      <c r="Q1626" t="s">
        <v>3565</v>
      </c>
    </row>
    <row r="1627" spans="1:17" x14ac:dyDescent="0.3">
      <c r="A1627" t="s">
        <v>17</v>
      </c>
      <c r="B1627" t="str">
        <f>"605058"</f>
        <v>605058</v>
      </c>
      <c r="C1627" t="s">
        <v>3566</v>
      </c>
      <c r="D1627" t="s">
        <v>425</v>
      </c>
      <c r="F1627">
        <v>1070718955</v>
      </c>
      <c r="G1627">
        <v>882229517</v>
      </c>
      <c r="H1627">
        <v>844606387</v>
      </c>
      <c r="I1627">
        <v>836945611</v>
      </c>
      <c r="J1627">
        <v>802512295</v>
      </c>
      <c r="K1627">
        <v>602991804</v>
      </c>
      <c r="P1627">
        <v>48</v>
      </c>
      <c r="Q1627" t="s">
        <v>3567</v>
      </c>
    </row>
    <row r="1628" spans="1:17" x14ac:dyDescent="0.3">
      <c r="A1628" t="s">
        <v>17</v>
      </c>
      <c r="B1628" t="str">
        <f>"605060"</f>
        <v>605060</v>
      </c>
      <c r="C1628" t="s">
        <v>3568</v>
      </c>
      <c r="D1628" t="s">
        <v>560</v>
      </c>
      <c r="F1628">
        <v>798785373</v>
      </c>
      <c r="G1628">
        <v>670074039</v>
      </c>
      <c r="H1628">
        <v>682498620</v>
      </c>
      <c r="I1628">
        <v>706674454</v>
      </c>
      <c r="J1628">
        <v>557909549</v>
      </c>
      <c r="P1628">
        <v>43</v>
      </c>
      <c r="Q1628" t="s">
        <v>3569</v>
      </c>
    </row>
    <row r="1629" spans="1:17" x14ac:dyDescent="0.3">
      <c r="A1629" t="s">
        <v>17</v>
      </c>
      <c r="B1629" t="str">
        <f>"605066"</f>
        <v>605066</v>
      </c>
      <c r="C1629" t="s">
        <v>3570</v>
      </c>
      <c r="D1629" t="s">
        <v>657</v>
      </c>
      <c r="F1629">
        <v>2921911561</v>
      </c>
      <c r="G1629">
        <v>2473233542</v>
      </c>
      <c r="H1629">
        <v>2200775192</v>
      </c>
      <c r="I1629">
        <v>2103098769</v>
      </c>
      <c r="J1629">
        <v>2142459729</v>
      </c>
      <c r="P1629">
        <v>54</v>
      </c>
      <c r="Q1629" t="s">
        <v>3571</v>
      </c>
    </row>
    <row r="1630" spans="1:17" x14ac:dyDescent="0.3">
      <c r="A1630" t="s">
        <v>17</v>
      </c>
      <c r="B1630" t="str">
        <f>"605068"</f>
        <v>605068</v>
      </c>
      <c r="C1630" t="s">
        <v>3572</v>
      </c>
      <c r="D1630" t="s">
        <v>191</v>
      </c>
      <c r="F1630">
        <v>820774984</v>
      </c>
      <c r="G1630">
        <v>808233625</v>
      </c>
      <c r="H1630">
        <v>658132444</v>
      </c>
      <c r="I1630">
        <v>570363928</v>
      </c>
      <c r="J1630">
        <v>551146444</v>
      </c>
      <c r="K1630">
        <v>469243069</v>
      </c>
      <c r="P1630">
        <v>89</v>
      </c>
      <c r="Q1630" t="s">
        <v>3573</v>
      </c>
    </row>
    <row r="1631" spans="1:17" x14ac:dyDescent="0.3">
      <c r="A1631" t="s">
        <v>17</v>
      </c>
      <c r="B1631" t="str">
        <f>"605069"</f>
        <v>605069</v>
      </c>
      <c r="C1631" t="s">
        <v>3574</v>
      </c>
      <c r="D1631" t="s">
        <v>3575</v>
      </c>
      <c r="F1631">
        <v>1134388959</v>
      </c>
      <c r="G1631">
        <v>1061939615</v>
      </c>
      <c r="H1631">
        <v>1022538260</v>
      </c>
      <c r="I1631">
        <v>1314265114</v>
      </c>
      <c r="J1631">
        <v>871454400</v>
      </c>
      <c r="P1631">
        <v>16</v>
      </c>
      <c r="Q1631" t="s">
        <v>3576</v>
      </c>
    </row>
    <row r="1632" spans="1:17" x14ac:dyDescent="0.3">
      <c r="A1632" t="s">
        <v>17</v>
      </c>
      <c r="B1632" t="str">
        <f>"605077"</f>
        <v>605077</v>
      </c>
      <c r="C1632" t="s">
        <v>3577</v>
      </c>
      <c r="D1632" t="s">
        <v>677</v>
      </c>
      <c r="F1632">
        <v>1594015801</v>
      </c>
      <c r="G1632">
        <v>1319652466</v>
      </c>
      <c r="H1632">
        <v>1510856379</v>
      </c>
      <c r="I1632">
        <v>1399742835</v>
      </c>
      <c r="J1632">
        <v>924633073</v>
      </c>
      <c r="P1632">
        <v>88</v>
      </c>
      <c r="Q1632" t="s">
        <v>3578</v>
      </c>
    </row>
    <row r="1633" spans="1:17" x14ac:dyDescent="0.3">
      <c r="A1633" t="s">
        <v>17</v>
      </c>
      <c r="B1633" t="str">
        <f>"605080"</f>
        <v>605080</v>
      </c>
      <c r="C1633" t="s">
        <v>3579</v>
      </c>
      <c r="D1633" t="s">
        <v>2931</v>
      </c>
      <c r="F1633">
        <v>842441992</v>
      </c>
      <c r="G1633">
        <v>581336299</v>
      </c>
      <c r="H1633">
        <v>544949444</v>
      </c>
      <c r="I1633">
        <v>508517746</v>
      </c>
      <c r="J1633">
        <v>424553793</v>
      </c>
      <c r="P1633">
        <v>47</v>
      </c>
      <c r="Q1633" t="s">
        <v>3580</v>
      </c>
    </row>
    <row r="1634" spans="1:17" x14ac:dyDescent="0.3">
      <c r="A1634" t="s">
        <v>17</v>
      </c>
      <c r="B1634" t="str">
        <f>"605081"</f>
        <v>605081</v>
      </c>
      <c r="C1634" t="s">
        <v>3581</v>
      </c>
      <c r="D1634" t="s">
        <v>33</v>
      </c>
      <c r="F1634">
        <v>460285201</v>
      </c>
      <c r="G1634">
        <v>559929825</v>
      </c>
      <c r="H1634">
        <v>532365069</v>
      </c>
      <c r="I1634">
        <v>326391895</v>
      </c>
      <c r="J1634">
        <v>274889527</v>
      </c>
      <c r="K1634">
        <v>187425391</v>
      </c>
      <c r="P1634">
        <v>30</v>
      </c>
      <c r="Q1634" t="s">
        <v>3582</v>
      </c>
    </row>
    <row r="1635" spans="1:17" x14ac:dyDescent="0.3">
      <c r="A1635" t="s">
        <v>17</v>
      </c>
      <c r="B1635" t="str">
        <f>"605086"</f>
        <v>605086</v>
      </c>
      <c r="C1635" t="s">
        <v>3583</v>
      </c>
      <c r="D1635" t="s">
        <v>2762</v>
      </c>
      <c r="F1635">
        <v>268941600</v>
      </c>
      <c r="G1635">
        <v>224600912</v>
      </c>
      <c r="H1635">
        <v>237406202</v>
      </c>
      <c r="I1635">
        <v>225590125</v>
      </c>
      <c r="J1635">
        <v>224849883</v>
      </c>
      <c r="P1635">
        <v>29</v>
      </c>
      <c r="Q1635" t="s">
        <v>3584</v>
      </c>
    </row>
    <row r="1636" spans="1:17" x14ac:dyDescent="0.3">
      <c r="A1636" t="s">
        <v>17</v>
      </c>
      <c r="B1636" t="str">
        <f>"605088"</f>
        <v>605088</v>
      </c>
      <c r="C1636" t="s">
        <v>3585</v>
      </c>
      <c r="D1636" t="s">
        <v>348</v>
      </c>
      <c r="F1636">
        <v>2487144131</v>
      </c>
      <c r="G1636">
        <v>1841169153</v>
      </c>
      <c r="H1636">
        <v>1945489594</v>
      </c>
      <c r="I1636">
        <v>1752359291</v>
      </c>
      <c r="J1636">
        <v>1592959999</v>
      </c>
      <c r="P1636">
        <v>47</v>
      </c>
      <c r="Q1636" t="s">
        <v>3586</v>
      </c>
    </row>
    <row r="1637" spans="1:17" x14ac:dyDescent="0.3">
      <c r="A1637" t="s">
        <v>17</v>
      </c>
      <c r="B1637" t="str">
        <f>"605089"</f>
        <v>605089</v>
      </c>
      <c r="C1637" t="s">
        <v>3587</v>
      </c>
      <c r="D1637" t="s">
        <v>2865</v>
      </c>
      <c r="F1637">
        <v>764646363</v>
      </c>
      <c r="G1637">
        <v>622468530</v>
      </c>
      <c r="H1637">
        <v>542424535</v>
      </c>
      <c r="I1637">
        <v>465951045</v>
      </c>
      <c r="J1637">
        <v>358786798</v>
      </c>
      <c r="P1637">
        <v>131</v>
      </c>
      <c r="Q1637" t="s">
        <v>3588</v>
      </c>
    </row>
    <row r="1638" spans="1:17" x14ac:dyDescent="0.3">
      <c r="A1638" t="s">
        <v>17</v>
      </c>
      <c r="B1638" t="str">
        <f>"605090"</f>
        <v>605090</v>
      </c>
      <c r="C1638" t="s">
        <v>3589</v>
      </c>
      <c r="D1638" t="s">
        <v>749</v>
      </c>
      <c r="F1638">
        <v>18488338962</v>
      </c>
      <c r="G1638">
        <v>8913521082</v>
      </c>
      <c r="H1638">
        <v>10021287911</v>
      </c>
      <c r="I1638">
        <v>11494410880</v>
      </c>
      <c r="J1638">
        <v>10447490202</v>
      </c>
      <c r="P1638">
        <v>51</v>
      </c>
      <c r="Q1638" t="s">
        <v>3590</v>
      </c>
    </row>
    <row r="1639" spans="1:17" x14ac:dyDescent="0.3">
      <c r="A1639" t="s">
        <v>17</v>
      </c>
      <c r="B1639" t="str">
        <f>"605098"</f>
        <v>605098</v>
      </c>
      <c r="C1639" t="s">
        <v>3591</v>
      </c>
      <c r="D1639" t="s">
        <v>1336</v>
      </c>
      <c r="F1639">
        <v>555211163</v>
      </c>
      <c r="G1639">
        <v>378677368</v>
      </c>
      <c r="H1639">
        <v>438654983</v>
      </c>
      <c r="I1639">
        <v>437676887</v>
      </c>
      <c r="J1639">
        <v>347012837</v>
      </c>
      <c r="P1639">
        <v>53</v>
      </c>
      <c r="Q1639" t="s">
        <v>3592</v>
      </c>
    </row>
    <row r="1640" spans="1:17" x14ac:dyDescent="0.3">
      <c r="A1640" t="s">
        <v>17</v>
      </c>
      <c r="B1640" t="str">
        <f>"605099"</f>
        <v>605099</v>
      </c>
      <c r="C1640" t="s">
        <v>3593</v>
      </c>
      <c r="D1640" t="s">
        <v>2445</v>
      </c>
      <c r="F1640">
        <v>2301660263</v>
      </c>
      <c r="G1640">
        <v>1850288253</v>
      </c>
      <c r="H1640">
        <v>1553541819</v>
      </c>
      <c r="I1640">
        <v>1397676052</v>
      </c>
      <c r="J1640">
        <v>1239378286</v>
      </c>
      <c r="P1640">
        <v>166</v>
      </c>
      <c r="Q1640" t="s">
        <v>3594</v>
      </c>
    </row>
    <row r="1641" spans="1:17" x14ac:dyDescent="0.3">
      <c r="A1641" t="s">
        <v>17</v>
      </c>
      <c r="B1641" t="str">
        <f>"605100"</f>
        <v>605100</v>
      </c>
      <c r="C1641" t="s">
        <v>3595</v>
      </c>
      <c r="D1641" t="s">
        <v>274</v>
      </c>
      <c r="F1641">
        <v>1354287632</v>
      </c>
      <c r="G1641">
        <v>1591818234</v>
      </c>
      <c r="H1641">
        <v>1157345509</v>
      </c>
      <c r="I1641">
        <v>928641178</v>
      </c>
      <c r="J1641">
        <v>773456600</v>
      </c>
      <c r="P1641">
        <v>60</v>
      </c>
      <c r="Q1641" t="s">
        <v>3596</v>
      </c>
    </row>
    <row r="1642" spans="1:17" x14ac:dyDescent="0.3">
      <c r="A1642" t="s">
        <v>17</v>
      </c>
      <c r="B1642" t="str">
        <f>"605108"</f>
        <v>605108</v>
      </c>
      <c r="C1642" t="s">
        <v>3597</v>
      </c>
      <c r="D1642" t="s">
        <v>3598</v>
      </c>
      <c r="F1642">
        <v>1608368931</v>
      </c>
      <c r="G1642">
        <v>1295920464</v>
      </c>
      <c r="H1642">
        <v>1462789984</v>
      </c>
      <c r="I1642">
        <v>1489259228</v>
      </c>
      <c r="J1642">
        <v>1435645604</v>
      </c>
      <c r="P1642">
        <v>104</v>
      </c>
      <c r="Q1642" t="s">
        <v>3599</v>
      </c>
    </row>
    <row r="1643" spans="1:17" x14ac:dyDescent="0.3">
      <c r="A1643" t="s">
        <v>17</v>
      </c>
      <c r="B1643" t="str">
        <f>"605111"</f>
        <v>605111</v>
      </c>
      <c r="C1643" t="s">
        <v>3600</v>
      </c>
      <c r="D1643" t="s">
        <v>795</v>
      </c>
      <c r="F1643">
        <v>1498271279</v>
      </c>
      <c r="G1643">
        <v>954988968</v>
      </c>
      <c r="H1643">
        <v>772536916</v>
      </c>
      <c r="I1643">
        <v>715790329</v>
      </c>
      <c r="J1643">
        <v>503759771</v>
      </c>
      <c r="K1643">
        <v>422115125</v>
      </c>
      <c r="P1643">
        <v>332</v>
      </c>
      <c r="Q1643" t="s">
        <v>3601</v>
      </c>
    </row>
    <row r="1644" spans="1:17" x14ac:dyDescent="0.3">
      <c r="A1644" t="s">
        <v>17</v>
      </c>
      <c r="B1644" t="str">
        <f>"605116"</f>
        <v>605116</v>
      </c>
      <c r="C1644" t="s">
        <v>3602</v>
      </c>
      <c r="D1644" t="s">
        <v>496</v>
      </c>
      <c r="F1644">
        <v>803362668</v>
      </c>
      <c r="G1644">
        <v>721440230</v>
      </c>
      <c r="H1644">
        <v>581632762</v>
      </c>
      <c r="I1644">
        <v>575412152</v>
      </c>
      <c r="J1644">
        <v>544401752</v>
      </c>
      <c r="K1644">
        <v>590421819</v>
      </c>
      <c r="P1644">
        <v>81</v>
      </c>
      <c r="Q1644" t="s">
        <v>3603</v>
      </c>
    </row>
    <row r="1645" spans="1:17" x14ac:dyDescent="0.3">
      <c r="A1645" t="s">
        <v>17</v>
      </c>
      <c r="B1645" t="str">
        <f>"605117"</f>
        <v>605117</v>
      </c>
      <c r="C1645" t="s">
        <v>3604</v>
      </c>
      <c r="D1645" t="s">
        <v>1253</v>
      </c>
      <c r="F1645">
        <v>4167929962</v>
      </c>
      <c r="G1645">
        <v>3023631003</v>
      </c>
      <c r="H1645">
        <v>2570013562</v>
      </c>
      <c r="I1645">
        <v>1690625984</v>
      </c>
      <c r="J1645">
        <v>1506120957</v>
      </c>
      <c r="P1645">
        <v>141</v>
      </c>
      <c r="Q1645" t="s">
        <v>3605</v>
      </c>
    </row>
    <row r="1646" spans="1:17" x14ac:dyDescent="0.3">
      <c r="A1646" t="s">
        <v>17</v>
      </c>
      <c r="B1646" t="str">
        <f>"605118"</f>
        <v>605118</v>
      </c>
      <c r="C1646" t="s">
        <v>3606</v>
      </c>
      <c r="D1646" t="s">
        <v>2980</v>
      </c>
      <c r="F1646">
        <v>501045203</v>
      </c>
      <c r="G1646">
        <v>417052977</v>
      </c>
      <c r="H1646">
        <v>465487296</v>
      </c>
      <c r="I1646">
        <v>526421549</v>
      </c>
      <c r="J1646">
        <v>421583676</v>
      </c>
      <c r="P1646">
        <v>114</v>
      </c>
      <c r="Q1646" t="s">
        <v>3607</v>
      </c>
    </row>
    <row r="1647" spans="1:17" x14ac:dyDescent="0.3">
      <c r="A1647" t="s">
        <v>17</v>
      </c>
      <c r="B1647" t="str">
        <f>"605122"</f>
        <v>605122</v>
      </c>
      <c r="C1647" t="s">
        <v>3608</v>
      </c>
      <c r="D1647" t="s">
        <v>3098</v>
      </c>
      <c r="F1647">
        <v>1350172630</v>
      </c>
      <c r="G1647">
        <v>1179334181</v>
      </c>
      <c r="H1647">
        <v>1525576954</v>
      </c>
      <c r="I1647">
        <v>1452060178</v>
      </c>
      <c r="J1647">
        <v>928254896</v>
      </c>
      <c r="K1647">
        <v>707331545</v>
      </c>
      <c r="P1647">
        <v>36</v>
      </c>
      <c r="Q1647" t="s">
        <v>3609</v>
      </c>
    </row>
    <row r="1648" spans="1:17" x14ac:dyDescent="0.3">
      <c r="A1648" t="s">
        <v>17</v>
      </c>
      <c r="B1648" t="str">
        <f>"605123"</f>
        <v>605123</v>
      </c>
      <c r="C1648" t="s">
        <v>3610</v>
      </c>
      <c r="D1648" t="s">
        <v>98</v>
      </c>
      <c r="F1648">
        <v>1733347550</v>
      </c>
      <c r="G1648">
        <v>1027773191</v>
      </c>
      <c r="H1648">
        <v>884428349</v>
      </c>
      <c r="I1648">
        <v>653104551</v>
      </c>
      <c r="J1648">
        <v>483731069</v>
      </c>
      <c r="P1648">
        <v>143</v>
      </c>
      <c r="Q1648" t="s">
        <v>3611</v>
      </c>
    </row>
    <row r="1649" spans="1:17" x14ac:dyDescent="0.3">
      <c r="A1649" t="s">
        <v>17</v>
      </c>
      <c r="B1649" t="str">
        <f>"605128"</f>
        <v>605128</v>
      </c>
      <c r="C1649" t="s">
        <v>3612</v>
      </c>
      <c r="D1649" t="s">
        <v>191</v>
      </c>
      <c r="F1649">
        <v>826507388</v>
      </c>
      <c r="G1649">
        <v>791820274</v>
      </c>
      <c r="H1649">
        <v>813809443</v>
      </c>
      <c r="I1649">
        <v>834063459</v>
      </c>
      <c r="J1649">
        <v>846635386</v>
      </c>
      <c r="P1649">
        <v>53</v>
      </c>
      <c r="Q1649" t="s">
        <v>3613</v>
      </c>
    </row>
    <row r="1650" spans="1:17" x14ac:dyDescent="0.3">
      <c r="A1650" t="s">
        <v>17</v>
      </c>
      <c r="B1650" t="str">
        <f>"605133"</f>
        <v>605133</v>
      </c>
      <c r="C1650" t="s">
        <v>3614</v>
      </c>
      <c r="D1650" t="s">
        <v>348</v>
      </c>
      <c r="F1650">
        <v>1163028538</v>
      </c>
      <c r="G1650">
        <v>991129734</v>
      </c>
      <c r="H1650">
        <v>990872198</v>
      </c>
      <c r="I1650">
        <v>880143744</v>
      </c>
      <c r="J1650">
        <v>682251201</v>
      </c>
      <c r="P1650">
        <v>36</v>
      </c>
      <c r="Q1650" t="s">
        <v>3615</v>
      </c>
    </row>
    <row r="1651" spans="1:17" x14ac:dyDescent="0.3">
      <c r="A1651" t="s">
        <v>17</v>
      </c>
      <c r="B1651" t="str">
        <f>"605136"</f>
        <v>605136</v>
      </c>
      <c r="C1651" t="s">
        <v>3616</v>
      </c>
      <c r="D1651" t="s">
        <v>3617</v>
      </c>
      <c r="F1651">
        <v>4154853839</v>
      </c>
      <c r="G1651">
        <v>4599796343</v>
      </c>
      <c r="H1651">
        <v>3874467702</v>
      </c>
      <c r="I1651">
        <v>3614812584</v>
      </c>
      <c r="J1651">
        <v>3420274077</v>
      </c>
      <c r="K1651">
        <v>2015798032</v>
      </c>
      <c r="P1651">
        <v>99</v>
      </c>
      <c r="Q1651" t="s">
        <v>3618</v>
      </c>
    </row>
    <row r="1652" spans="1:17" x14ac:dyDescent="0.3">
      <c r="A1652" t="s">
        <v>17</v>
      </c>
      <c r="B1652" t="str">
        <f>"605138"</f>
        <v>605138</v>
      </c>
      <c r="C1652" t="s">
        <v>3619</v>
      </c>
      <c r="D1652" t="s">
        <v>255</v>
      </c>
      <c r="F1652">
        <v>5157447093</v>
      </c>
      <c r="G1652">
        <v>4702329278</v>
      </c>
      <c r="H1652">
        <v>5569673388</v>
      </c>
      <c r="I1652">
        <v>5290414177</v>
      </c>
      <c r="J1652">
        <v>4619604500</v>
      </c>
      <c r="P1652">
        <v>27</v>
      </c>
      <c r="Q1652" t="s">
        <v>3620</v>
      </c>
    </row>
    <row r="1653" spans="1:17" x14ac:dyDescent="0.3">
      <c r="A1653" t="s">
        <v>17</v>
      </c>
      <c r="B1653" t="str">
        <f>"605151"</f>
        <v>605151</v>
      </c>
      <c r="C1653" t="s">
        <v>3621</v>
      </c>
      <c r="D1653" t="s">
        <v>2368</v>
      </c>
      <c r="F1653">
        <v>1070388787</v>
      </c>
      <c r="G1653">
        <v>1169797816</v>
      </c>
      <c r="H1653">
        <v>1222534369</v>
      </c>
      <c r="I1653">
        <v>1279732656</v>
      </c>
      <c r="J1653">
        <v>1286720351</v>
      </c>
      <c r="K1653">
        <v>1208549400</v>
      </c>
      <c r="P1653">
        <v>55</v>
      </c>
      <c r="Q1653" t="s">
        <v>3622</v>
      </c>
    </row>
    <row r="1654" spans="1:17" x14ac:dyDescent="0.3">
      <c r="A1654" t="s">
        <v>17</v>
      </c>
      <c r="B1654" t="str">
        <f>"605155"</f>
        <v>605155</v>
      </c>
      <c r="C1654" t="s">
        <v>3623</v>
      </c>
      <c r="D1654" t="s">
        <v>2445</v>
      </c>
      <c r="F1654">
        <v>465480013</v>
      </c>
      <c r="G1654">
        <v>354253486</v>
      </c>
      <c r="H1654">
        <v>408822793</v>
      </c>
      <c r="I1654">
        <v>390945962</v>
      </c>
      <c r="J1654">
        <v>347551241</v>
      </c>
      <c r="K1654">
        <v>309328104</v>
      </c>
      <c r="P1654">
        <v>45</v>
      </c>
      <c r="Q1654" t="s">
        <v>3624</v>
      </c>
    </row>
    <row r="1655" spans="1:17" x14ac:dyDescent="0.3">
      <c r="A1655" t="s">
        <v>17</v>
      </c>
      <c r="B1655" t="str">
        <f>"605158"</f>
        <v>605158</v>
      </c>
      <c r="C1655" t="s">
        <v>3625</v>
      </c>
      <c r="D1655" t="s">
        <v>38</v>
      </c>
      <c r="F1655">
        <v>8506026617</v>
      </c>
      <c r="G1655">
        <v>6100999981</v>
      </c>
      <c r="H1655">
        <v>5483573873</v>
      </c>
      <c r="I1655">
        <v>5251281440</v>
      </c>
      <c r="J1655">
        <v>4095261488</v>
      </c>
      <c r="P1655">
        <v>91</v>
      </c>
      <c r="Q1655" t="s">
        <v>3626</v>
      </c>
    </row>
    <row r="1656" spans="1:17" x14ac:dyDescent="0.3">
      <c r="A1656" t="s">
        <v>17</v>
      </c>
      <c r="B1656" t="str">
        <f>"605162"</f>
        <v>605162</v>
      </c>
      <c r="C1656" t="s">
        <v>3627</v>
      </c>
      <c r="D1656" t="s">
        <v>351</v>
      </c>
      <c r="F1656">
        <v>770843824</v>
      </c>
      <c r="G1656">
        <v>570987274</v>
      </c>
      <c r="H1656">
        <v>649996923</v>
      </c>
      <c r="I1656">
        <v>619440477</v>
      </c>
      <c r="J1656">
        <v>567422686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"605166"</f>
        <v>605166</v>
      </c>
      <c r="C1657" t="s">
        <v>3629</v>
      </c>
      <c r="D1657" t="s">
        <v>1638</v>
      </c>
      <c r="F1657">
        <v>5404825908</v>
      </c>
      <c r="G1657">
        <v>2564309821</v>
      </c>
      <c r="H1657">
        <v>2426477755</v>
      </c>
      <c r="I1657">
        <v>2024987701</v>
      </c>
      <c r="J1657">
        <v>1301778504</v>
      </c>
      <c r="K1657">
        <v>861302627</v>
      </c>
      <c r="P1657">
        <v>68</v>
      </c>
      <c r="Q1657" t="s">
        <v>3630</v>
      </c>
    </row>
    <row r="1658" spans="1:17" x14ac:dyDescent="0.3">
      <c r="A1658" t="s">
        <v>17</v>
      </c>
      <c r="B1658" t="str">
        <f>"605167"</f>
        <v>605167</v>
      </c>
      <c r="C1658" t="s">
        <v>3631</v>
      </c>
      <c r="D1658" t="s">
        <v>2025</v>
      </c>
      <c r="F1658">
        <v>1983072362</v>
      </c>
      <c r="G1658">
        <v>1505441045</v>
      </c>
      <c r="H1658">
        <v>1415775737</v>
      </c>
      <c r="I1658">
        <v>1432984026</v>
      </c>
      <c r="J1658">
        <v>1059649038</v>
      </c>
      <c r="P1658">
        <v>22</v>
      </c>
      <c r="Q1658" t="s">
        <v>3632</v>
      </c>
    </row>
    <row r="1659" spans="1:17" x14ac:dyDescent="0.3">
      <c r="A1659" t="s">
        <v>17</v>
      </c>
      <c r="B1659" t="str">
        <f>"605168"</f>
        <v>605168</v>
      </c>
      <c r="C1659" t="s">
        <v>3633</v>
      </c>
      <c r="D1659" t="s">
        <v>207</v>
      </c>
      <c r="F1659">
        <v>3570965777</v>
      </c>
      <c r="G1659">
        <v>2807747169</v>
      </c>
      <c r="H1659">
        <v>1631426144</v>
      </c>
      <c r="I1659">
        <v>1099511210</v>
      </c>
      <c r="J1659">
        <v>758419199</v>
      </c>
      <c r="P1659">
        <v>317</v>
      </c>
      <c r="Q1659" t="s">
        <v>3634</v>
      </c>
    </row>
    <row r="1660" spans="1:17" x14ac:dyDescent="0.3">
      <c r="A1660" t="s">
        <v>17</v>
      </c>
      <c r="B1660" t="str">
        <f>"605169"</f>
        <v>605169</v>
      </c>
      <c r="C1660" t="s">
        <v>3635</v>
      </c>
      <c r="D1660" t="s">
        <v>749</v>
      </c>
      <c r="F1660">
        <v>1204408539</v>
      </c>
      <c r="G1660">
        <v>797315989</v>
      </c>
      <c r="H1660">
        <v>893288017</v>
      </c>
      <c r="I1660">
        <v>764011125</v>
      </c>
      <c r="J1660">
        <v>558517278</v>
      </c>
      <c r="P1660">
        <v>62</v>
      </c>
      <c r="Q1660" t="s">
        <v>3636</v>
      </c>
    </row>
    <row r="1661" spans="1:17" x14ac:dyDescent="0.3">
      <c r="A1661" t="s">
        <v>17</v>
      </c>
      <c r="B1661" t="str">
        <f>"605177"</f>
        <v>605177</v>
      </c>
      <c r="C1661" t="s">
        <v>3637</v>
      </c>
      <c r="D1661" t="s">
        <v>496</v>
      </c>
      <c r="F1661">
        <v>712218141</v>
      </c>
      <c r="G1661">
        <v>881670693</v>
      </c>
      <c r="H1661">
        <v>988087657</v>
      </c>
      <c r="I1661">
        <v>856812186</v>
      </c>
      <c r="J1661">
        <v>728890639</v>
      </c>
      <c r="K1661">
        <v>684465400</v>
      </c>
      <c r="P1661">
        <v>38</v>
      </c>
      <c r="Q1661" t="s">
        <v>3638</v>
      </c>
    </row>
    <row r="1662" spans="1:17" x14ac:dyDescent="0.3">
      <c r="A1662" t="s">
        <v>17</v>
      </c>
      <c r="B1662" t="str">
        <f>"605178"</f>
        <v>605178</v>
      </c>
      <c r="C1662" t="s">
        <v>3639</v>
      </c>
      <c r="D1662" t="s">
        <v>450</v>
      </c>
      <c r="F1662">
        <v>745782951</v>
      </c>
      <c r="G1662">
        <v>896490821</v>
      </c>
      <c r="H1662">
        <v>1043689189</v>
      </c>
      <c r="I1662">
        <v>1159431477</v>
      </c>
      <c r="J1662">
        <v>886947789</v>
      </c>
      <c r="P1662">
        <v>49</v>
      </c>
      <c r="Q1662" t="s">
        <v>3640</v>
      </c>
    </row>
    <row r="1663" spans="1:17" x14ac:dyDescent="0.3">
      <c r="A1663" t="s">
        <v>17</v>
      </c>
      <c r="B1663" t="str">
        <f>"605179"</f>
        <v>605179</v>
      </c>
      <c r="C1663" t="s">
        <v>3641</v>
      </c>
      <c r="D1663" t="s">
        <v>900</v>
      </c>
      <c r="F1663">
        <v>2316379444</v>
      </c>
      <c r="G1663">
        <v>1947177891</v>
      </c>
      <c r="H1663">
        <v>1997112514</v>
      </c>
      <c r="I1663">
        <v>1754967300</v>
      </c>
      <c r="J1663">
        <v>1515576708</v>
      </c>
      <c r="P1663">
        <v>84</v>
      </c>
      <c r="Q1663" t="s">
        <v>3642</v>
      </c>
    </row>
    <row r="1664" spans="1:17" x14ac:dyDescent="0.3">
      <c r="A1664" t="s">
        <v>17</v>
      </c>
      <c r="B1664" t="str">
        <f>"605180"</f>
        <v>605180</v>
      </c>
      <c r="C1664" t="s">
        <v>3643</v>
      </c>
      <c r="D1664" t="s">
        <v>366</v>
      </c>
      <c r="F1664">
        <v>642617940</v>
      </c>
      <c r="G1664">
        <v>368848377</v>
      </c>
      <c r="H1664">
        <v>317663058</v>
      </c>
      <c r="I1664">
        <v>318158497</v>
      </c>
      <c r="J1664">
        <v>262586284</v>
      </c>
      <c r="P1664">
        <v>40</v>
      </c>
      <c r="Q1664" t="s">
        <v>3644</v>
      </c>
    </row>
    <row r="1665" spans="1:17" x14ac:dyDescent="0.3">
      <c r="A1665" t="s">
        <v>17</v>
      </c>
      <c r="B1665" t="str">
        <f>"605183"</f>
        <v>605183</v>
      </c>
      <c r="C1665" t="s">
        <v>3645</v>
      </c>
      <c r="D1665" t="s">
        <v>3646</v>
      </c>
      <c r="F1665">
        <v>1502946503</v>
      </c>
      <c r="G1665">
        <v>1055278400</v>
      </c>
      <c r="H1665">
        <v>1191139550</v>
      </c>
      <c r="I1665">
        <v>1177102655</v>
      </c>
      <c r="J1665">
        <v>1065962887</v>
      </c>
      <c r="K1665">
        <v>803074188</v>
      </c>
      <c r="P1665">
        <v>63</v>
      </c>
      <c r="Q1665" t="s">
        <v>3647</v>
      </c>
    </row>
    <row r="1666" spans="1:17" x14ac:dyDescent="0.3">
      <c r="A1666" t="s">
        <v>17</v>
      </c>
      <c r="B1666" t="str">
        <f>"605186"</f>
        <v>605186</v>
      </c>
      <c r="C1666" t="s">
        <v>3648</v>
      </c>
      <c r="D1666" t="s">
        <v>3477</v>
      </c>
      <c r="F1666">
        <v>489755359</v>
      </c>
      <c r="G1666">
        <v>286806989</v>
      </c>
      <c r="H1666">
        <v>300239669</v>
      </c>
      <c r="I1666">
        <v>256457603</v>
      </c>
      <c r="J1666">
        <v>233048589</v>
      </c>
      <c r="K1666">
        <v>205079789</v>
      </c>
      <c r="P1666">
        <v>47</v>
      </c>
      <c r="Q1666" t="s">
        <v>3649</v>
      </c>
    </row>
    <row r="1667" spans="1:17" x14ac:dyDescent="0.3">
      <c r="A1667" t="s">
        <v>17</v>
      </c>
      <c r="B1667" t="str">
        <f>"605188"</f>
        <v>605188</v>
      </c>
      <c r="C1667" t="s">
        <v>3650</v>
      </c>
      <c r="D1667" t="s">
        <v>798</v>
      </c>
      <c r="F1667">
        <v>2142707606</v>
      </c>
      <c r="G1667">
        <v>2254287517</v>
      </c>
      <c r="H1667">
        <v>2527154571</v>
      </c>
      <c r="I1667">
        <v>2293455103</v>
      </c>
      <c r="J1667">
        <v>2135510337</v>
      </c>
      <c r="P1667">
        <v>43</v>
      </c>
      <c r="Q1667" t="s">
        <v>3651</v>
      </c>
    </row>
    <row r="1668" spans="1:17" x14ac:dyDescent="0.3">
      <c r="A1668" t="s">
        <v>17</v>
      </c>
      <c r="B1668" t="str">
        <f>"605189"</f>
        <v>605189</v>
      </c>
      <c r="C1668" t="s">
        <v>3652</v>
      </c>
      <c r="D1668" t="s">
        <v>817</v>
      </c>
      <c r="F1668">
        <v>2175094972</v>
      </c>
      <c r="G1668">
        <v>1515012831</v>
      </c>
      <c r="H1668">
        <v>1397622284</v>
      </c>
      <c r="I1668">
        <v>1433555578</v>
      </c>
      <c r="J1668">
        <v>1329721741</v>
      </c>
      <c r="P1668">
        <v>44</v>
      </c>
      <c r="Q1668" t="s">
        <v>3653</v>
      </c>
    </row>
    <row r="1669" spans="1:17" x14ac:dyDescent="0.3">
      <c r="A1669" t="s">
        <v>17</v>
      </c>
      <c r="B1669" t="str">
        <f>"605196"</f>
        <v>605196</v>
      </c>
      <c r="C1669" t="s">
        <v>3654</v>
      </c>
      <c r="D1669" t="s">
        <v>1164</v>
      </c>
      <c r="F1669">
        <v>4397074712</v>
      </c>
      <c r="G1669">
        <v>3375767887</v>
      </c>
      <c r="H1669">
        <v>2954634265</v>
      </c>
      <c r="I1669">
        <v>2614951645</v>
      </c>
      <c r="J1669">
        <v>1903777100</v>
      </c>
      <c r="P1669">
        <v>27</v>
      </c>
      <c r="Q1669" t="s">
        <v>3655</v>
      </c>
    </row>
    <row r="1670" spans="1:17" x14ac:dyDescent="0.3">
      <c r="A1670" t="s">
        <v>17</v>
      </c>
      <c r="B1670" t="str">
        <f>"605198"</f>
        <v>605198</v>
      </c>
      <c r="C1670" t="s">
        <v>3656</v>
      </c>
      <c r="D1670" t="s">
        <v>574</v>
      </c>
      <c r="F1670">
        <v>871587320</v>
      </c>
      <c r="G1670">
        <v>842019695</v>
      </c>
      <c r="H1670">
        <v>838127337</v>
      </c>
      <c r="I1670">
        <v>1067584808</v>
      </c>
      <c r="J1670">
        <v>901041170</v>
      </c>
      <c r="K1670">
        <v>875197112</v>
      </c>
      <c r="P1670">
        <v>47</v>
      </c>
      <c r="Q1670" t="s">
        <v>3657</v>
      </c>
    </row>
    <row r="1671" spans="1:17" x14ac:dyDescent="0.3">
      <c r="A1671" t="s">
        <v>17</v>
      </c>
      <c r="B1671" t="str">
        <f>"605199"</f>
        <v>605199</v>
      </c>
      <c r="C1671" t="s">
        <v>3658</v>
      </c>
      <c r="D1671" t="s">
        <v>188</v>
      </c>
      <c r="F1671">
        <v>1353793180</v>
      </c>
      <c r="G1671">
        <v>1161705770</v>
      </c>
      <c r="H1671">
        <v>1305918059</v>
      </c>
      <c r="I1671">
        <v>983772604</v>
      </c>
      <c r="J1671">
        <v>655005486</v>
      </c>
      <c r="K1671">
        <v>487353546</v>
      </c>
      <c r="P1671">
        <v>136</v>
      </c>
      <c r="Q1671" t="s">
        <v>3659</v>
      </c>
    </row>
    <row r="1672" spans="1:17" x14ac:dyDescent="0.3">
      <c r="A1672" t="s">
        <v>17</v>
      </c>
      <c r="B1672" t="str">
        <f>"605208"</f>
        <v>605208</v>
      </c>
      <c r="C1672" t="s">
        <v>3660</v>
      </c>
      <c r="D1672" t="s">
        <v>504</v>
      </c>
      <c r="F1672">
        <v>3289673661</v>
      </c>
      <c r="G1672">
        <v>2696218122</v>
      </c>
      <c r="H1672">
        <v>2642823176</v>
      </c>
      <c r="I1672">
        <v>2493945296</v>
      </c>
      <c r="J1672">
        <v>2334883314</v>
      </c>
      <c r="P1672">
        <v>40</v>
      </c>
      <c r="Q1672" t="s">
        <v>3661</v>
      </c>
    </row>
    <row r="1673" spans="1:17" x14ac:dyDescent="0.3">
      <c r="A1673" t="s">
        <v>17</v>
      </c>
      <c r="B1673" t="str">
        <f>"605218"</f>
        <v>605218</v>
      </c>
      <c r="C1673" t="s">
        <v>3662</v>
      </c>
      <c r="D1673" t="s">
        <v>1117</v>
      </c>
      <c r="F1673">
        <v>1200514740</v>
      </c>
      <c r="G1673">
        <v>1101607723</v>
      </c>
      <c r="H1673">
        <v>1230222475</v>
      </c>
      <c r="I1673">
        <v>1557537812</v>
      </c>
      <c r="J1673">
        <v>1474726969</v>
      </c>
      <c r="K1673">
        <v>1244739913</v>
      </c>
      <c r="P1673">
        <v>56</v>
      </c>
      <c r="Q1673" t="s">
        <v>3663</v>
      </c>
    </row>
    <row r="1674" spans="1:17" x14ac:dyDescent="0.3">
      <c r="A1674" t="s">
        <v>17</v>
      </c>
      <c r="B1674" t="str">
        <f>"605222"</f>
        <v>605222</v>
      </c>
      <c r="C1674" t="s">
        <v>3664</v>
      </c>
      <c r="D1674" t="s">
        <v>1164</v>
      </c>
      <c r="F1674">
        <v>18877541660</v>
      </c>
      <c r="G1674">
        <v>9735867712</v>
      </c>
      <c r="H1674">
        <v>7647243267</v>
      </c>
      <c r="I1674">
        <v>6322677935</v>
      </c>
      <c r="J1674">
        <v>4598296965</v>
      </c>
      <c r="P1674">
        <v>110</v>
      </c>
      <c r="Q1674" t="s">
        <v>3665</v>
      </c>
    </row>
    <row r="1675" spans="1:17" x14ac:dyDescent="0.3">
      <c r="A1675" t="s">
        <v>17</v>
      </c>
      <c r="B1675" t="str">
        <f>"605228"</f>
        <v>605228</v>
      </c>
      <c r="C1675" t="s">
        <v>3666</v>
      </c>
      <c r="D1675" t="s">
        <v>191</v>
      </c>
      <c r="F1675">
        <v>1378690664</v>
      </c>
      <c r="G1675">
        <v>1486336159</v>
      </c>
      <c r="H1675">
        <v>1590227660</v>
      </c>
      <c r="I1675">
        <v>1756122937</v>
      </c>
      <c r="J1675">
        <v>1689937836</v>
      </c>
      <c r="P1675">
        <v>30</v>
      </c>
      <c r="Q1675" t="s">
        <v>3667</v>
      </c>
    </row>
    <row r="1676" spans="1:17" x14ac:dyDescent="0.3">
      <c r="A1676" t="s">
        <v>17</v>
      </c>
      <c r="B1676" t="str">
        <f>"605255"</f>
        <v>605255</v>
      </c>
      <c r="C1676" t="s">
        <v>3668</v>
      </c>
      <c r="D1676" t="s">
        <v>348</v>
      </c>
      <c r="F1676">
        <v>306295754</v>
      </c>
      <c r="G1676">
        <v>303644056</v>
      </c>
      <c r="H1676">
        <v>344560145</v>
      </c>
      <c r="I1676">
        <v>436985718</v>
      </c>
      <c r="J1676">
        <v>418466348</v>
      </c>
      <c r="P1676">
        <v>51</v>
      </c>
      <c r="Q1676" t="s">
        <v>3669</v>
      </c>
    </row>
    <row r="1677" spans="1:17" x14ac:dyDescent="0.3">
      <c r="A1677" t="s">
        <v>17</v>
      </c>
      <c r="B1677" t="str">
        <f>"605258"</f>
        <v>605258</v>
      </c>
      <c r="C1677" t="s">
        <v>3670</v>
      </c>
      <c r="D1677" t="s">
        <v>425</v>
      </c>
      <c r="F1677">
        <v>734067052</v>
      </c>
      <c r="G1677">
        <v>615831697</v>
      </c>
      <c r="H1677">
        <v>542378962</v>
      </c>
      <c r="I1677">
        <v>585596548</v>
      </c>
      <c r="J1677">
        <v>472992139</v>
      </c>
      <c r="K1677">
        <v>335846833</v>
      </c>
      <c r="P1677">
        <v>51</v>
      </c>
      <c r="Q1677" t="s">
        <v>3671</v>
      </c>
    </row>
    <row r="1678" spans="1:17" x14ac:dyDescent="0.3">
      <c r="A1678" t="s">
        <v>17</v>
      </c>
      <c r="B1678" t="str">
        <f>"605259"</f>
        <v>605259</v>
      </c>
      <c r="C1678" t="s">
        <v>3672</v>
      </c>
      <c r="D1678" t="s">
        <v>741</v>
      </c>
      <c r="F1678">
        <v>1605450110</v>
      </c>
      <c r="G1678">
        <v>1225133411</v>
      </c>
      <c r="H1678">
        <v>1049726885</v>
      </c>
      <c r="I1678">
        <v>774370182</v>
      </c>
      <c r="J1678">
        <v>733352178</v>
      </c>
      <c r="P1678">
        <v>17</v>
      </c>
      <c r="Q1678" t="s">
        <v>3673</v>
      </c>
    </row>
    <row r="1679" spans="1:17" x14ac:dyDescent="0.3">
      <c r="A1679" t="s">
        <v>17</v>
      </c>
      <c r="B1679" t="str">
        <f>"605266"</f>
        <v>605266</v>
      </c>
      <c r="C1679" t="s">
        <v>3674</v>
      </c>
      <c r="D1679" t="s">
        <v>1686</v>
      </c>
      <c r="F1679">
        <v>5234955419</v>
      </c>
      <c r="G1679">
        <v>4466357385</v>
      </c>
      <c r="H1679">
        <v>3528526143</v>
      </c>
      <c r="I1679">
        <v>2765851461</v>
      </c>
      <c r="J1679">
        <v>2346875168</v>
      </c>
      <c r="K1679">
        <v>2053839921</v>
      </c>
      <c r="P1679">
        <v>105</v>
      </c>
      <c r="Q1679" t="s">
        <v>3675</v>
      </c>
    </row>
    <row r="1680" spans="1:17" x14ac:dyDescent="0.3">
      <c r="A1680" t="s">
        <v>17</v>
      </c>
      <c r="B1680" t="str">
        <f>"605268"</f>
        <v>605268</v>
      </c>
      <c r="C1680" t="s">
        <v>3676</v>
      </c>
      <c r="D1680" t="s">
        <v>2664</v>
      </c>
      <c r="F1680">
        <v>2644905096</v>
      </c>
      <c r="G1680">
        <v>2113912415</v>
      </c>
      <c r="H1680">
        <v>1950911145</v>
      </c>
      <c r="I1680">
        <v>1727291956</v>
      </c>
      <c r="J1680">
        <v>1714891040</v>
      </c>
      <c r="K1680">
        <v>1450353800</v>
      </c>
      <c r="P1680">
        <v>60</v>
      </c>
      <c r="Q1680" t="s">
        <v>3677</v>
      </c>
    </row>
    <row r="1681" spans="1:17" x14ac:dyDescent="0.3">
      <c r="A1681" t="s">
        <v>17</v>
      </c>
      <c r="B1681" t="str">
        <f>"605277"</f>
        <v>605277</v>
      </c>
      <c r="C1681" t="s">
        <v>3678</v>
      </c>
      <c r="D1681" t="s">
        <v>313</v>
      </c>
      <c r="F1681">
        <v>1473925735</v>
      </c>
      <c r="G1681">
        <v>1000831627</v>
      </c>
      <c r="H1681">
        <v>928661525</v>
      </c>
      <c r="I1681">
        <v>896536354</v>
      </c>
      <c r="J1681">
        <v>874335579</v>
      </c>
      <c r="K1681">
        <v>612564484</v>
      </c>
      <c r="P1681">
        <v>68</v>
      </c>
      <c r="Q1681" t="s">
        <v>3679</v>
      </c>
    </row>
    <row r="1682" spans="1:17" x14ac:dyDescent="0.3">
      <c r="A1682" t="s">
        <v>17</v>
      </c>
      <c r="B1682" t="str">
        <f>"605286"</f>
        <v>605286</v>
      </c>
      <c r="C1682" t="s">
        <v>3680</v>
      </c>
      <c r="D1682" t="s">
        <v>1691</v>
      </c>
      <c r="F1682">
        <v>2295668368</v>
      </c>
      <c r="G1682">
        <v>1749210358</v>
      </c>
      <c r="H1682">
        <v>1511833927</v>
      </c>
      <c r="I1682">
        <v>1389255768</v>
      </c>
      <c r="J1682">
        <v>1215406350</v>
      </c>
      <c r="P1682">
        <v>27</v>
      </c>
      <c r="Q1682" t="s">
        <v>3681</v>
      </c>
    </row>
    <row r="1683" spans="1:17" x14ac:dyDescent="0.3">
      <c r="A1683" t="s">
        <v>17</v>
      </c>
      <c r="B1683" t="str">
        <f>"605287"</f>
        <v>605287</v>
      </c>
      <c r="C1683" t="s">
        <v>3682</v>
      </c>
      <c r="D1683" t="s">
        <v>450</v>
      </c>
      <c r="F1683">
        <v>5039505623</v>
      </c>
      <c r="G1683">
        <v>4635044992</v>
      </c>
      <c r="H1683">
        <v>4773730184</v>
      </c>
      <c r="I1683">
        <v>3369621395</v>
      </c>
      <c r="J1683">
        <v>2202513655</v>
      </c>
      <c r="P1683">
        <v>21</v>
      </c>
      <c r="Q1683" t="s">
        <v>3683</v>
      </c>
    </row>
    <row r="1684" spans="1:17" x14ac:dyDescent="0.3">
      <c r="A1684" t="s">
        <v>17</v>
      </c>
      <c r="B1684" t="str">
        <f>"605288"</f>
        <v>605288</v>
      </c>
      <c r="C1684" t="s">
        <v>3684</v>
      </c>
      <c r="D1684" t="s">
        <v>2432</v>
      </c>
      <c r="F1684">
        <v>1718482519</v>
      </c>
      <c r="G1684">
        <v>1271935745</v>
      </c>
      <c r="H1684">
        <v>1221603705</v>
      </c>
      <c r="I1684">
        <v>1138611042</v>
      </c>
      <c r="J1684">
        <v>833276317</v>
      </c>
      <c r="P1684">
        <v>86</v>
      </c>
      <c r="Q1684" t="s">
        <v>3685</v>
      </c>
    </row>
    <row r="1685" spans="1:17" x14ac:dyDescent="0.3">
      <c r="A1685" t="s">
        <v>17</v>
      </c>
      <c r="B1685" t="str">
        <f>"605289"</f>
        <v>605289</v>
      </c>
      <c r="C1685" t="s">
        <v>3686</v>
      </c>
      <c r="D1685" t="s">
        <v>1992</v>
      </c>
      <c r="F1685">
        <v>735735699</v>
      </c>
      <c r="G1685">
        <v>600653195</v>
      </c>
      <c r="H1685">
        <v>693024755</v>
      </c>
      <c r="I1685">
        <v>611673634</v>
      </c>
      <c r="J1685">
        <v>346273047</v>
      </c>
      <c r="K1685">
        <v>194979444</v>
      </c>
      <c r="P1685">
        <v>29</v>
      </c>
      <c r="Q1685" t="s">
        <v>3687</v>
      </c>
    </row>
    <row r="1686" spans="1:17" x14ac:dyDescent="0.3">
      <c r="A1686" t="s">
        <v>17</v>
      </c>
      <c r="B1686" t="str">
        <f>"605296"</f>
        <v>605296</v>
      </c>
      <c r="C1686" t="s">
        <v>3688</v>
      </c>
      <c r="D1686" t="s">
        <v>1900</v>
      </c>
      <c r="F1686">
        <v>2779458828</v>
      </c>
      <c r="G1686">
        <v>2724481580</v>
      </c>
      <c r="H1686">
        <v>1733080680</v>
      </c>
      <c r="I1686">
        <v>1091734478</v>
      </c>
      <c r="J1686">
        <v>1043541851</v>
      </c>
      <c r="P1686">
        <v>59</v>
      </c>
      <c r="Q1686" t="s">
        <v>3689</v>
      </c>
    </row>
    <row r="1687" spans="1:17" x14ac:dyDescent="0.3">
      <c r="A1687" t="s">
        <v>17</v>
      </c>
      <c r="B1687" t="str">
        <f>"605298"</f>
        <v>605298</v>
      </c>
      <c r="C1687" t="s">
        <v>3690</v>
      </c>
      <c r="D1687" t="s">
        <v>1012</v>
      </c>
      <c r="F1687">
        <v>300702371</v>
      </c>
      <c r="G1687">
        <v>347499598</v>
      </c>
      <c r="H1687">
        <v>312808138</v>
      </c>
      <c r="I1687">
        <v>282503621</v>
      </c>
      <c r="J1687">
        <v>201445676</v>
      </c>
      <c r="P1687">
        <v>46</v>
      </c>
      <c r="Q1687" t="s">
        <v>3691</v>
      </c>
    </row>
    <row r="1688" spans="1:17" x14ac:dyDescent="0.3">
      <c r="A1688" t="s">
        <v>17</v>
      </c>
      <c r="B1688" t="str">
        <f>"605299"</f>
        <v>605299</v>
      </c>
      <c r="C1688" t="s">
        <v>3692</v>
      </c>
      <c r="D1688" t="s">
        <v>2931</v>
      </c>
      <c r="F1688">
        <v>1562011884</v>
      </c>
      <c r="G1688">
        <v>1484067052</v>
      </c>
      <c r="H1688">
        <v>1333714230</v>
      </c>
      <c r="I1688">
        <v>1182009118</v>
      </c>
      <c r="J1688">
        <v>1131760096</v>
      </c>
      <c r="K1688">
        <v>1063395182</v>
      </c>
      <c r="P1688">
        <v>58</v>
      </c>
      <c r="Q1688" t="s">
        <v>3693</v>
      </c>
    </row>
    <row r="1689" spans="1:17" x14ac:dyDescent="0.3">
      <c r="A1689" t="s">
        <v>17</v>
      </c>
      <c r="B1689" t="str">
        <f>"605300"</f>
        <v>605300</v>
      </c>
      <c r="C1689" t="s">
        <v>3694</v>
      </c>
      <c r="D1689" t="s">
        <v>900</v>
      </c>
      <c r="F1689">
        <v>2399486109</v>
      </c>
      <c r="G1689">
        <v>1874374534</v>
      </c>
      <c r="H1689">
        <v>1836450063</v>
      </c>
      <c r="I1689">
        <v>1595455027</v>
      </c>
      <c r="J1689">
        <v>1367722981</v>
      </c>
      <c r="P1689">
        <v>56</v>
      </c>
      <c r="Q1689" t="s">
        <v>3695</v>
      </c>
    </row>
    <row r="1690" spans="1:17" x14ac:dyDescent="0.3">
      <c r="A1690" t="s">
        <v>17</v>
      </c>
      <c r="B1690" t="str">
        <f>"605303"</f>
        <v>605303</v>
      </c>
      <c r="C1690" t="s">
        <v>3696</v>
      </c>
      <c r="D1690" t="s">
        <v>2417</v>
      </c>
      <c r="F1690">
        <v>1223709406</v>
      </c>
      <c r="G1690">
        <v>1424936455</v>
      </c>
      <c r="H1690">
        <v>1488949196</v>
      </c>
      <c r="I1690">
        <v>1447332808</v>
      </c>
      <c r="J1690">
        <v>1266739232</v>
      </c>
      <c r="P1690">
        <v>28</v>
      </c>
      <c r="Q1690" t="s">
        <v>3697</v>
      </c>
    </row>
    <row r="1691" spans="1:17" x14ac:dyDescent="0.3">
      <c r="A1691" t="s">
        <v>17</v>
      </c>
      <c r="B1691" t="str">
        <f>"605305"</f>
        <v>605305</v>
      </c>
      <c r="C1691" t="s">
        <v>3698</v>
      </c>
      <c r="D1691" t="s">
        <v>83</v>
      </c>
      <c r="F1691">
        <v>882836848</v>
      </c>
      <c r="G1691">
        <v>681006781</v>
      </c>
      <c r="H1691">
        <v>539077024</v>
      </c>
      <c r="I1691">
        <v>355667542</v>
      </c>
      <c r="J1691">
        <v>289381046</v>
      </c>
      <c r="P1691">
        <v>81</v>
      </c>
      <c r="Q1691" t="s">
        <v>3699</v>
      </c>
    </row>
    <row r="1692" spans="1:17" x14ac:dyDescent="0.3">
      <c r="A1692" t="s">
        <v>17</v>
      </c>
      <c r="B1692" t="str">
        <f>"605318"</f>
        <v>605318</v>
      </c>
      <c r="C1692" t="s">
        <v>3700</v>
      </c>
      <c r="D1692" t="s">
        <v>722</v>
      </c>
      <c r="F1692">
        <v>663115632</v>
      </c>
      <c r="G1692">
        <v>448148002</v>
      </c>
      <c r="H1692">
        <v>480008871</v>
      </c>
      <c r="I1692">
        <v>517256728</v>
      </c>
      <c r="J1692">
        <v>551555753</v>
      </c>
      <c r="P1692">
        <v>58</v>
      </c>
      <c r="Q1692" t="s">
        <v>3701</v>
      </c>
    </row>
    <row r="1693" spans="1:17" x14ac:dyDescent="0.3">
      <c r="A1693" t="s">
        <v>17</v>
      </c>
      <c r="B1693" t="str">
        <f>"605319"</f>
        <v>605319</v>
      </c>
      <c r="C1693" t="s">
        <v>3702</v>
      </c>
      <c r="D1693" t="s">
        <v>985</v>
      </c>
      <c r="F1693">
        <v>1581769266</v>
      </c>
      <c r="G1693">
        <v>1416901448</v>
      </c>
      <c r="H1693">
        <v>1569486040</v>
      </c>
      <c r="I1693">
        <v>1526957038</v>
      </c>
      <c r="J1693">
        <v>1468658200</v>
      </c>
      <c r="P1693">
        <v>22</v>
      </c>
      <c r="Q1693" t="s">
        <v>3703</v>
      </c>
    </row>
    <row r="1694" spans="1:17" x14ac:dyDescent="0.3">
      <c r="A1694" t="s">
        <v>17</v>
      </c>
      <c r="B1694" t="str">
        <f>"605333"</f>
        <v>605333</v>
      </c>
      <c r="C1694" t="s">
        <v>3704</v>
      </c>
      <c r="D1694" t="s">
        <v>1415</v>
      </c>
      <c r="F1694">
        <v>2447839839</v>
      </c>
      <c r="G1694">
        <v>1531196096</v>
      </c>
      <c r="H1694">
        <v>1631793204</v>
      </c>
      <c r="I1694">
        <v>1510225637</v>
      </c>
      <c r="J1694">
        <v>1398772197</v>
      </c>
      <c r="P1694">
        <v>85</v>
      </c>
      <c r="Q1694" t="s">
        <v>3705</v>
      </c>
    </row>
    <row r="1695" spans="1:17" x14ac:dyDescent="0.3">
      <c r="A1695" t="s">
        <v>17</v>
      </c>
      <c r="B1695" t="str">
        <f>"605336"</f>
        <v>605336</v>
      </c>
      <c r="C1695" t="s">
        <v>3706</v>
      </c>
      <c r="D1695" t="s">
        <v>3707</v>
      </c>
      <c r="F1695">
        <v>977641254</v>
      </c>
      <c r="G1695">
        <v>713990084</v>
      </c>
      <c r="H1695">
        <v>698223676</v>
      </c>
      <c r="I1695">
        <v>631381598</v>
      </c>
      <c r="J1695">
        <v>564730598</v>
      </c>
      <c r="K1695">
        <v>407468318</v>
      </c>
      <c r="P1695">
        <v>141</v>
      </c>
      <c r="Q1695" t="s">
        <v>3708</v>
      </c>
    </row>
    <row r="1696" spans="1:17" x14ac:dyDescent="0.3">
      <c r="A1696" t="s">
        <v>17</v>
      </c>
      <c r="B1696" t="str">
        <f>"605337"</f>
        <v>605337</v>
      </c>
      <c r="C1696" t="s">
        <v>3709</v>
      </c>
      <c r="D1696" t="s">
        <v>440</v>
      </c>
      <c r="F1696">
        <v>1469723271</v>
      </c>
      <c r="G1696">
        <v>1087571686</v>
      </c>
      <c r="H1696">
        <v>974546121</v>
      </c>
      <c r="I1696">
        <v>787052295</v>
      </c>
      <c r="J1696">
        <v>602037719</v>
      </c>
      <c r="K1696">
        <v>453098275</v>
      </c>
      <c r="P1696">
        <v>146</v>
      </c>
      <c r="Q1696" t="s">
        <v>3710</v>
      </c>
    </row>
    <row r="1697" spans="1:17" x14ac:dyDescent="0.3">
      <c r="A1697" t="s">
        <v>17</v>
      </c>
      <c r="B1697" t="str">
        <f>"605338"</f>
        <v>605338</v>
      </c>
      <c r="C1697" t="s">
        <v>3711</v>
      </c>
      <c r="D1697" t="s">
        <v>2865</v>
      </c>
      <c r="F1697">
        <v>1375446233</v>
      </c>
      <c r="G1697">
        <v>975090304</v>
      </c>
      <c r="H1697">
        <v>1063973237</v>
      </c>
      <c r="I1697">
        <v>990210856</v>
      </c>
      <c r="J1697">
        <v>866591774</v>
      </c>
      <c r="K1697">
        <v>719754325</v>
      </c>
      <c r="P1697">
        <v>200</v>
      </c>
      <c r="Q1697" t="s">
        <v>3712</v>
      </c>
    </row>
    <row r="1698" spans="1:17" x14ac:dyDescent="0.3">
      <c r="A1698" t="s">
        <v>17</v>
      </c>
      <c r="B1698" t="str">
        <f>"605339"</f>
        <v>605339</v>
      </c>
      <c r="C1698" t="s">
        <v>3713</v>
      </c>
      <c r="D1698" t="s">
        <v>2488</v>
      </c>
      <c r="F1698">
        <v>2872992405</v>
      </c>
      <c r="G1698">
        <v>2322400922</v>
      </c>
      <c r="H1698">
        <v>2351094058</v>
      </c>
      <c r="I1698">
        <v>2363680049</v>
      </c>
      <c r="J1698">
        <v>2108958127</v>
      </c>
      <c r="K1698">
        <v>1878501122</v>
      </c>
      <c r="L1698">
        <v>1638757686</v>
      </c>
      <c r="P1698">
        <v>66</v>
      </c>
      <c r="Q1698" t="s">
        <v>3714</v>
      </c>
    </row>
    <row r="1699" spans="1:17" x14ac:dyDescent="0.3">
      <c r="A1699" t="s">
        <v>17</v>
      </c>
      <c r="B1699" t="str">
        <f>"605358"</f>
        <v>605358</v>
      </c>
      <c r="C1699" t="s">
        <v>3715</v>
      </c>
      <c r="D1699" t="s">
        <v>475</v>
      </c>
      <c r="F1699">
        <v>2540916179</v>
      </c>
      <c r="G1699">
        <v>1502017794</v>
      </c>
      <c r="H1699">
        <v>1191685954</v>
      </c>
      <c r="I1699">
        <v>1222666990</v>
      </c>
      <c r="J1699">
        <v>932019601</v>
      </c>
      <c r="P1699">
        <v>288</v>
      </c>
      <c r="Q1699" t="s">
        <v>3716</v>
      </c>
    </row>
    <row r="1700" spans="1:17" x14ac:dyDescent="0.3">
      <c r="A1700" t="s">
        <v>17</v>
      </c>
      <c r="B1700" t="str">
        <f>"605365"</f>
        <v>605365</v>
      </c>
      <c r="C1700" t="s">
        <v>3717</v>
      </c>
      <c r="D1700" t="s">
        <v>598</v>
      </c>
      <c r="F1700">
        <v>6477227604</v>
      </c>
      <c r="G1700">
        <v>5417889891</v>
      </c>
      <c r="H1700">
        <v>5053218487</v>
      </c>
      <c r="I1700">
        <v>4764761664</v>
      </c>
      <c r="J1700">
        <v>4629707636</v>
      </c>
      <c r="P1700">
        <v>28</v>
      </c>
      <c r="Q1700" t="s">
        <v>3718</v>
      </c>
    </row>
    <row r="1701" spans="1:17" x14ac:dyDescent="0.3">
      <c r="A1701" t="s">
        <v>17</v>
      </c>
      <c r="B1701" t="str">
        <f>"605366"</f>
        <v>605366</v>
      </c>
      <c r="C1701" t="s">
        <v>3719</v>
      </c>
      <c r="D1701" t="s">
        <v>386</v>
      </c>
      <c r="F1701">
        <v>1282966706</v>
      </c>
      <c r="G1701">
        <v>897427292</v>
      </c>
      <c r="H1701">
        <v>1013854512</v>
      </c>
      <c r="I1701">
        <v>1013010633</v>
      </c>
      <c r="J1701">
        <v>774998599</v>
      </c>
      <c r="P1701">
        <v>59</v>
      </c>
      <c r="Q1701" t="s">
        <v>3720</v>
      </c>
    </row>
    <row r="1702" spans="1:17" x14ac:dyDescent="0.3">
      <c r="A1702" t="s">
        <v>17</v>
      </c>
      <c r="B1702" t="str">
        <f>"605368"</f>
        <v>605368</v>
      </c>
      <c r="C1702" t="s">
        <v>3721</v>
      </c>
      <c r="D1702" t="s">
        <v>749</v>
      </c>
      <c r="F1702">
        <v>3900894135</v>
      </c>
      <c r="G1702">
        <v>3551838949</v>
      </c>
      <c r="H1702">
        <v>3632599836</v>
      </c>
      <c r="I1702">
        <v>3205956061</v>
      </c>
      <c r="J1702">
        <v>2512480442</v>
      </c>
      <c r="K1702">
        <v>1980448409</v>
      </c>
      <c r="L1702">
        <v>2065957101</v>
      </c>
      <c r="P1702">
        <v>60</v>
      </c>
      <c r="Q1702" t="s">
        <v>3722</v>
      </c>
    </row>
    <row r="1703" spans="1:17" x14ac:dyDescent="0.3">
      <c r="A1703" t="s">
        <v>17</v>
      </c>
      <c r="B1703" t="str">
        <f>"605369"</f>
        <v>605369</v>
      </c>
      <c r="C1703" t="s">
        <v>3723</v>
      </c>
      <c r="D1703" t="s">
        <v>1077</v>
      </c>
      <c r="F1703">
        <v>1194254245</v>
      </c>
      <c r="G1703">
        <v>829651756</v>
      </c>
      <c r="H1703">
        <v>552979559</v>
      </c>
      <c r="I1703">
        <v>482551844</v>
      </c>
      <c r="J1703">
        <v>431301238</v>
      </c>
      <c r="P1703">
        <v>176</v>
      </c>
      <c r="Q1703" t="s">
        <v>3724</v>
      </c>
    </row>
    <row r="1704" spans="1:17" x14ac:dyDescent="0.3">
      <c r="A1704" t="s">
        <v>17</v>
      </c>
      <c r="B1704" t="str">
        <f>"605376"</f>
        <v>605376</v>
      </c>
      <c r="C1704" t="s">
        <v>3725</v>
      </c>
      <c r="D1704" t="s">
        <v>636</v>
      </c>
      <c r="F1704">
        <v>969751804</v>
      </c>
      <c r="G1704">
        <v>595882190</v>
      </c>
      <c r="H1704">
        <v>480736883</v>
      </c>
      <c r="I1704">
        <v>527602199</v>
      </c>
      <c r="J1704">
        <v>323048038</v>
      </c>
      <c r="K1704">
        <v>174014500</v>
      </c>
      <c r="P1704">
        <v>112</v>
      </c>
      <c r="Q1704" t="s">
        <v>3726</v>
      </c>
    </row>
    <row r="1705" spans="1:17" x14ac:dyDescent="0.3">
      <c r="A1705" t="s">
        <v>17</v>
      </c>
      <c r="B1705" t="str">
        <f>"605377"</f>
        <v>605377</v>
      </c>
      <c r="C1705" t="s">
        <v>3727</v>
      </c>
      <c r="D1705" t="s">
        <v>244</v>
      </c>
      <c r="F1705">
        <v>2940194973</v>
      </c>
      <c r="G1705">
        <v>1611978592</v>
      </c>
      <c r="H1705">
        <v>1654020989</v>
      </c>
      <c r="I1705">
        <v>1924539260</v>
      </c>
      <c r="J1705">
        <v>1830270690</v>
      </c>
      <c r="K1705">
        <v>1347283819</v>
      </c>
      <c r="P1705">
        <v>59</v>
      </c>
      <c r="Q1705" t="s">
        <v>3728</v>
      </c>
    </row>
    <row r="1706" spans="1:17" x14ac:dyDescent="0.3">
      <c r="A1706" t="s">
        <v>17</v>
      </c>
      <c r="B1706" t="str">
        <f>"605378"</f>
        <v>605378</v>
      </c>
      <c r="C1706" t="s">
        <v>3729</v>
      </c>
      <c r="D1706" t="s">
        <v>555</v>
      </c>
      <c r="F1706">
        <v>1186526229</v>
      </c>
      <c r="G1706">
        <v>1098778984</v>
      </c>
      <c r="H1706">
        <v>990624459</v>
      </c>
      <c r="I1706">
        <v>1051980876</v>
      </c>
      <c r="J1706">
        <v>1077896628</v>
      </c>
      <c r="P1706">
        <v>32</v>
      </c>
      <c r="Q1706" t="s">
        <v>3730</v>
      </c>
    </row>
    <row r="1707" spans="1:17" x14ac:dyDescent="0.3">
      <c r="A1707" t="s">
        <v>17</v>
      </c>
      <c r="B1707" t="str">
        <f>"605388"</f>
        <v>605388</v>
      </c>
      <c r="C1707" t="s">
        <v>3731</v>
      </c>
      <c r="D1707" t="s">
        <v>900</v>
      </c>
      <c r="F1707">
        <v>913598919</v>
      </c>
      <c r="G1707">
        <v>851899378</v>
      </c>
      <c r="H1707">
        <v>1245909502</v>
      </c>
      <c r="I1707">
        <v>1286787365</v>
      </c>
      <c r="J1707">
        <v>1146000429</v>
      </c>
      <c r="P1707">
        <v>103</v>
      </c>
      <c r="Q1707" t="s">
        <v>3732</v>
      </c>
    </row>
    <row r="1708" spans="1:17" x14ac:dyDescent="0.3">
      <c r="A1708" t="s">
        <v>17</v>
      </c>
      <c r="B1708" t="str">
        <f>"605389"</f>
        <v>605389</v>
      </c>
      <c r="C1708" t="s">
        <v>3733</v>
      </c>
      <c r="D1708" t="s">
        <v>2007</v>
      </c>
      <c r="F1708">
        <v>906500139</v>
      </c>
      <c r="G1708">
        <v>867075361</v>
      </c>
      <c r="H1708">
        <v>609988151</v>
      </c>
      <c r="I1708">
        <v>558596990</v>
      </c>
      <c r="J1708">
        <v>325349756</v>
      </c>
      <c r="P1708">
        <v>64</v>
      </c>
      <c r="Q1708" t="s">
        <v>3734</v>
      </c>
    </row>
    <row r="1709" spans="1:17" x14ac:dyDescent="0.3">
      <c r="A1709" t="s">
        <v>17</v>
      </c>
      <c r="B1709" t="str">
        <f>"605398"</f>
        <v>605398</v>
      </c>
      <c r="C1709" t="s">
        <v>3735</v>
      </c>
      <c r="D1709" t="s">
        <v>316</v>
      </c>
      <c r="F1709">
        <v>591436746</v>
      </c>
      <c r="G1709">
        <v>560976966</v>
      </c>
      <c r="H1709">
        <v>554292863</v>
      </c>
      <c r="I1709">
        <v>527706159</v>
      </c>
      <c r="J1709">
        <v>383747519</v>
      </c>
      <c r="K1709">
        <v>290855608</v>
      </c>
      <c r="P1709">
        <v>39</v>
      </c>
      <c r="Q1709" t="s">
        <v>3736</v>
      </c>
    </row>
    <row r="1710" spans="1:17" x14ac:dyDescent="0.3">
      <c r="A1710" t="s">
        <v>17</v>
      </c>
      <c r="B1710" t="str">
        <f>"605399"</f>
        <v>605399</v>
      </c>
      <c r="C1710" t="s">
        <v>3737</v>
      </c>
      <c r="D1710" t="s">
        <v>1205</v>
      </c>
      <c r="F1710">
        <v>1697430525</v>
      </c>
      <c r="G1710">
        <v>746212494</v>
      </c>
      <c r="H1710">
        <v>690228932</v>
      </c>
      <c r="I1710">
        <v>670563249</v>
      </c>
      <c r="J1710">
        <v>475090898</v>
      </c>
      <c r="P1710">
        <v>128</v>
      </c>
      <c r="Q1710" t="s">
        <v>3738</v>
      </c>
    </row>
    <row r="1711" spans="1:17" x14ac:dyDescent="0.3">
      <c r="A1711" t="s">
        <v>17</v>
      </c>
      <c r="B1711" t="str">
        <f>"605488"</f>
        <v>605488</v>
      </c>
      <c r="C1711" t="s">
        <v>3739</v>
      </c>
      <c r="D1711" t="s">
        <v>1192</v>
      </c>
      <c r="F1711">
        <v>1715319467</v>
      </c>
      <c r="G1711">
        <v>1269090367</v>
      </c>
      <c r="H1711">
        <v>1268500211</v>
      </c>
      <c r="I1711">
        <v>1212078928</v>
      </c>
      <c r="J1711">
        <v>1096280900</v>
      </c>
      <c r="P1711">
        <v>28</v>
      </c>
      <c r="Q1711" t="s">
        <v>3740</v>
      </c>
    </row>
    <row r="1712" spans="1:17" x14ac:dyDescent="0.3">
      <c r="A1712" t="s">
        <v>17</v>
      </c>
      <c r="B1712" t="str">
        <f>"605499"</f>
        <v>605499</v>
      </c>
      <c r="C1712" t="s">
        <v>3741</v>
      </c>
      <c r="D1712" t="s">
        <v>440</v>
      </c>
      <c r="F1712">
        <v>6977822474</v>
      </c>
      <c r="G1712">
        <v>4958502619</v>
      </c>
      <c r="H1712">
        <v>4208728479</v>
      </c>
      <c r="I1712">
        <v>3037536000</v>
      </c>
      <c r="J1712">
        <v>2843807600</v>
      </c>
      <c r="P1712">
        <v>281</v>
      </c>
      <c r="Q1712" t="s">
        <v>3742</v>
      </c>
    </row>
    <row r="1713" spans="1:17" x14ac:dyDescent="0.3">
      <c r="A1713" t="s">
        <v>17</v>
      </c>
      <c r="B1713" t="str">
        <f>"605500"</f>
        <v>605500</v>
      </c>
      <c r="C1713" t="s">
        <v>3743</v>
      </c>
      <c r="D1713" t="s">
        <v>694</v>
      </c>
      <c r="F1713">
        <v>2955965672</v>
      </c>
      <c r="G1713">
        <v>2188568059</v>
      </c>
      <c r="H1713">
        <v>2045875933</v>
      </c>
      <c r="I1713">
        <v>2475937980</v>
      </c>
      <c r="J1713">
        <v>2155281924</v>
      </c>
      <c r="P1713">
        <v>37</v>
      </c>
      <c r="Q1713" t="s">
        <v>3744</v>
      </c>
    </row>
    <row r="1714" spans="1:17" x14ac:dyDescent="0.3">
      <c r="A1714" t="s">
        <v>17</v>
      </c>
      <c r="B1714" t="str">
        <f>"605507"</f>
        <v>605507</v>
      </c>
      <c r="C1714" t="s">
        <v>3745</v>
      </c>
      <c r="D1714" t="s">
        <v>496</v>
      </c>
      <c r="F1714">
        <v>4505350581</v>
      </c>
      <c r="G1714">
        <v>4206317954</v>
      </c>
      <c r="H1714">
        <v>3802036233</v>
      </c>
      <c r="I1714">
        <v>3279017182</v>
      </c>
      <c r="J1714">
        <v>2905475180</v>
      </c>
      <c r="P1714">
        <v>25</v>
      </c>
      <c r="Q1714" t="s">
        <v>3746</v>
      </c>
    </row>
    <row r="1715" spans="1:17" x14ac:dyDescent="0.3">
      <c r="A1715" t="s">
        <v>17</v>
      </c>
      <c r="B1715" t="str">
        <f>"605555"</f>
        <v>605555</v>
      </c>
      <c r="C1715" t="s">
        <v>3747</v>
      </c>
      <c r="D1715" t="s">
        <v>2720</v>
      </c>
      <c r="F1715">
        <v>2841506370</v>
      </c>
      <c r="G1715">
        <v>2064666442</v>
      </c>
      <c r="H1715">
        <v>1201094990</v>
      </c>
      <c r="I1715">
        <v>1224098789</v>
      </c>
      <c r="J1715">
        <v>1030041121</v>
      </c>
      <c r="P1715">
        <v>34</v>
      </c>
      <c r="Q1715" t="s">
        <v>3748</v>
      </c>
    </row>
    <row r="1716" spans="1:17" x14ac:dyDescent="0.3">
      <c r="A1716" t="s">
        <v>17</v>
      </c>
      <c r="B1716" t="str">
        <f>"605566"</f>
        <v>605566</v>
      </c>
      <c r="C1716" t="s">
        <v>3749</v>
      </c>
      <c r="D1716" t="s">
        <v>779</v>
      </c>
      <c r="F1716">
        <v>1181161943</v>
      </c>
      <c r="G1716">
        <v>997941839</v>
      </c>
      <c r="H1716">
        <v>1102268481</v>
      </c>
      <c r="I1716">
        <v>736477009</v>
      </c>
      <c r="J1716">
        <v>515698399</v>
      </c>
      <c r="P1716">
        <v>22</v>
      </c>
      <c r="Q1716" t="s">
        <v>3750</v>
      </c>
    </row>
    <row r="1717" spans="1:17" x14ac:dyDescent="0.3">
      <c r="A1717" t="s">
        <v>17</v>
      </c>
      <c r="B1717" t="str">
        <f>"605567"</f>
        <v>605567</v>
      </c>
      <c r="C1717" t="s">
        <v>3751</v>
      </c>
      <c r="D1717" t="s">
        <v>2865</v>
      </c>
      <c r="F1717">
        <v>2033360494</v>
      </c>
      <c r="G1717">
        <v>1862971959</v>
      </c>
      <c r="H1717">
        <v>1942910591</v>
      </c>
      <c r="I1717">
        <v>1599098481</v>
      </c>
      <c r="J1717">
        <v>1331919632</v>
      </c>
      <c r="P1717">
        <v>32</v>
      </c>
      <c r="Q1717" t="s">
        <v>3752</v>
      </c>
    </row>
    <row r="1718" spans="1:17" x14ac:dyDescent="0.3">
      <c r="A1718" t="s">
        <v>17</v>
      </c>
      <c r="B1718" t="str">
        <f>"605577"</f>
        <v>605577</v>
      </c>
      <c r="C1718" t="s">
        <v>3753</v>
      </c>
      <c r="D1718" t="s">
        <v>1536</v>
      </c>
      <c r="F1718">
        <v>1790597927</v>
      </c>
      <c r="G1718">
        <v>1540410005</v>
      </c>
      <c r="H1718">
        <v>1513052216</v>
      </c>
      <c r="I1718">
        <v>1404428673</v>
      </c>
      <c r="J1718">
        <v>1296680800</v>
      </c>
      <c r="P1718">
        <v>19</v>
      </c>
      <c r="Q1718" t="s">
        <v>3754</v>
      </c>
    </row>
    <row r="1719" spans="1:17" x14ac:dyDescent="0.3">
      <c r="A1719" t="s">
        <v>17</v>
      </c>
      <c r="B1719" t="str">
        <f>"605580"</f>
        <v>605580</v>
      </c>
      <c r="C1719" t="s">
        <v>3755</v>
      </c>
      <c r="D1719" t="s">
        <v>351</v>
      </c>
      <c r="F1719">
        <v>770618704</v>
      </c>
      <c r="G1719">
        <v>526804519</v>
      </c>
      <c r="H1719">
        <v>474047346</v>
      </c>
      <c r="I1719">
        <v>408240138</v>
      </c>
      <c r="J1719">
        <v>372225570</v>
      </c>
      <c r="P1719">
        <v>30</v>
      </c>
      <c r="Q1719" t="s">
        <v>3756</v>
      </c>
    </row>
    <row r="1720" spans="1:17" x14ac:dyDescent="0.3">
      <c r="A1720" t="s">
        <v>17</v>
      </c>
      <c r="B1720" t="str">
        <f>"605588"</f>
        <v>605588</v>
      </c>
      <c r="C1720" t="s">
        <v>3757</v>
      </c>
      <c r="D1720" t="s">
        <v>164</v>
      </c>
      <c r="F1720">
        <v>1396691902</v>
      </c>
      <c r="G1720">
        <v>1105470090</v>
      </c>
      <c r="H1720">
        <v>835424705</v>
      </c>
      <c r="I1720">
        <v>449973970</v>
      </c>
      <c r="J1720">
        <v>313681522</v>
      </c>
      <c r="P1720">
        <v>16</v>
      </c>
      <c r="Q1720" t="s">
        <v>3758</v>
      </c>
    </row>
    <row r="1721" spans="1:17" x14ac:dyDescent="0.3">
      <c r="A1721" t="s">
        <v>17</v>
      </c>
      <c r="B1721" t="str">
        <f>"605589"</f>
        <v>605589</v>
      </c>
      <c r="C1721" t="s">
        <v>3759</v>
      </c>
      <c r="D1721" t="s">
        <v>3377</v>
      </c>
      <c r="F1721">
        <v>8824602491</v>
      </c>
      <c r="G1721">
        <v>8319101227</v>
      </c>
      <c r="H1721">
        <v>5881683279</v>
      </c>
      <c r="I1721">
        <v>6188896931</v>
      </c>
      <c r="J1721">
        <v>5034637069</v>
      </c>
      <c r="P1721">
        <v>40</v>
      </c>
      <c r="Q1721" t="s">
        <v>3760</v>
      </c>
    </row>
    <row r="1722" spans="1:17" x14ac:dyDescent="0.3">
      <c r="A1722" t="s">
        <v>17</v>
      </c>
      <c r="B1722" t="str">
        <f>"605598"</f>
        <v>605598</v>
      </c>
      <c r="C1722" t="s">
        <v>3761</v>
      </c>
      <c r="D1722" t="s">
        <v>1992</v>
      </c>
      <c r="F1722">
        <v>734518540</v>
      </c>
      <c r="G1722">
        <v>792062809</v>
      </c>
      <c r="H1722">
        <v>1005643138</v>
      </c>
      <c r="I1722">
        <v>963424231</v>
      </c>
      <c r="J1722">
        <v>856140070</v>
      </c>
      <c r="P1722">
        <v>18</v>
      </c>
      <c r="Q1722" t="s">
        <v>3762</v>
      </c>
    </row>
    <row r="1723" spans="1:17" x14ac:dyDescent="0.3">
      <c r="A1723" t="s">
        <v>17</v>
      </c>
      <c r="B1723" t="str">
        <f>"605599"</f>
        <v>605599</v>
      </c>
      <c r="C1723" t="s">
        <v>3763</v>
      </c>
      <c r="D1723" t="s">
        <v>1238</v>
      </c>
      <c r="F1723">
        <v>10405751110</v>
      </c>
      <c r="G1723">
        <v>7067852990</v>
      </c>
      <c r="H1723">
        <v>8399161619</v>
      </c>
      <c r="I1723">
        <v>8612234120</v>
      </c>
      <c r="J1723">
        <v>7991181035</v>
      </c>
      <c r="P1723">
        <v>21</v>
      </c>
      <c r="Q1723" t="s">
        <v>3764</v>
      </c>
    </row>
    <row r="1724" spans="1:17" x14ac:dyDescent="0.3">
      <c r="A1724" t="s">
        <v>17</v>
      </c>
      <c r="B1724" t="str">
        <f>"688001"</f>
        <v>688001</v>
      </c>
      <c r="C1724" t="s">
        <v>3765</v>
      </c>
      <c r="D1724" t="s">
        <v>2566</v>
      </c>
      <c r="F1724">
        <v>2020205931</v>
      </c>
      <c r="G1724">
        <v>1677496404</v>
      </c>
      <c r="H1724">
        <v>1257737332</v>
      </c>
      <c r="I1724">
        <v>1005083477</v>
      </c>
      <c r="J1724">
        <v>1369834160</v>
      </c>
      <c r="K1724">
        <v>515954434</v>
      </c>
      <c r="P1724">
        <v>169</v>
      </c>
      <c r="Q1724" t="s">
        <v>3766</v>
      </c>
    </row>
    <row r="1725" spans="1:17" x14ac:dyDescent="0.3">
      <c r="A1725" t="s">
        <v>17</v>
      </c>
      <c r="B1725" t="str">
        <f>"688002"</f>
        <v>688002</v>
      </c>
      <c r="C1725" t="s">
        <v>3767</v>
      </c>
      <c r="D1725" t="s">
        <v>1136</v>
      </c>
      <c r="F1725">
        <v>1780286618</v>
      </c>
      <c r="G1725">
        <v>1561442487</v>
      </c>
      <c r="H1725">
        <v>684656331</v>
      </c>
      <c r="I1725">
        <v>384104725</v>
      </c>
      <c r="J1725">
        <v>155722315</v>
      </c>
      <c r="K1725">
        <v>60250640</v>
      </c>
      <c r="P1725">
        <v>407</v>
      </c>
      <c r="Q1725" t="s">
        <v>3768</v>
      </c>
    </row>
    <row r="1726" spans="1:17" x14ac:dyDescent="0.3">
      <c r="A1726" t="s">
        <v>17</v>
      </c>
      <c r="B1726" t="str">
        <f>"688003"</f>
        <v>688003</v>
      </c>
      <c r="C1726" t="s">
        <v>3769</v>
      </c>
      <c r="D1726" t="s">
        <v>3477</v>
      </c>
      <c r="F1726">
        <v>1265238702</v>
      </c>
      <c r="G1726">
        <v>964110235</v>
      </c>
      <c r="H1726">
        <v>541069294</v>
      </c>
      <c r="I1726">
        <v>508279959</v>
      </c>
      <c r="J1726">
        <v>319201235</v>
      </c>
      <c r="K1726">
        <v>180849623</v>
      </c>
      <c r="P1726">
        <v>141</v>
      </c>
      <c r="Q1726" t="s">
        <v>3770</v>
      </c>
    </row>
    <row r="1727" spans="1:17" x14ac:dyDescent="0.3">
      <c r="A1727" t="s">
        <v>17</v>
      </c>
      <c r="B1727" t="str">
        <f>"688004"</f>
        <v>688004</v>
      </c>
      <c r="C1727" t="s">
        <v>3771</v>
      </c>
      <c r="D1727" t="s">
        <v>316</v>
      </c>
      <c r="F1727">
        <v>287145118</v>
      </c>
      <c r="G1727">
        <v>287865320</v>
      </c>
      <c r="H1727">
        <v>274603322</v>
      </c>
      <c r="I1727">
        <v>283930307</v>
      </c>
      <c r="J1727">
        <v>195632335</v>
      </c>
      <c r="K1727">
        <v>149727771</v>
      </c>
      <c r="P1727">
        <v>37</v>
      </c>
      <c r="Q1727" t="s">
        <v>3772</v>
      </c>
    </row>
    <row r="1728" spans="1:17" x14ac:dyDescent="0.3">
      <c r="A1728" t="s">
        <v>17</v>
      </c>
      <c r="B1728" t="str">
        <f>"688005"</f>
        <v>688005</v>
      </c>
      <c r="C1728" t="s">
        <v>3773</v>
      </c>
      <c r="D1728" t="s">
        <v>1790</v>
      </c>
      <c r="F1728">
        <v>10259004445</v>
      </c>
      <c r="G1728">
        <v>3794556721</v>
      </c>
      <c r="H1728">
        <v>4189669078</v>
      </c>
      <c r="I1728">
        <v>3041260062</v>
      </c>
      <c r="J1728">
        <v>1878726597</v>
      </c>
      <c r="K1728">
        <v>885192256</v>
      </c>
      <c r="P1728">
        <v>318</v>
      </c>
      <c r="Q1728" t="s">
        <v>3774</v>
      </c>
    </row>
    <row r="1729" spans="1:17" x14ac:dyDescent="0.3">
      <c r="A1729" t="s">
        <v>17</v>
      </c>
      <c r="B1729" t="str">
        <f>"688006"</f>
        <v>688006</v>
      </c>
      <c r="C1729" t="s">
        <v>3775</v>
      </c>
      <c r="D1729" t="s">
        <v>3776</v>
      </c>
      <c r="F1729">
        <v>2483313053</v>
      </c>
      <c r="G1729">
        <v>1492867989</v>
      </c>
      <c r="H1729">
        <v>1313025766</v>
      </c>
      <c r="I1729">
        <v>1109306208</v>
      </c>
      <c r="J1729">
        <v>770982780</v>
      </c>
      <c r="K1729">
        <v>410215304</v>
      </c>
      <c r="P1729">
        <v>255</v>
      </c>
      <c r="Q1729" t="s">
        <v>3777</v>
      </c>
    </row>
    <row r="1730" spans="1:17" x14ac:dyDescent="0.3">
      <c r="A1730" t="s">
        <v>17</v>
      </c>
      <c r="B1730" t="str">
        <f>"688007"</f>
        <v>688007</v>
      </c>
      <c r="C1730" t="s">
        <v>3778</v>
      </c>
      <c r="D1730" t="s">
        <v>3526</v>
      </c>
      <c r="F1730">
        <v>2498228402</v>
      </c>
      <c r="G1730">
        <v>1948884177</v>
      </c>
      <c r="H1730">
        <v>1979148919</v>
      </c>
      <c r="I1730">
        <v>1385727211</v>
      </c>
      <c r="J1730">
        <v>805587944</v>
      </c>
      <c r="K1730">
        <v>354954720</v>
      </c>
      <c r="P1730">
        <v>123</v>
      </c>
      <c r="Q1730" t="s">
        <v>3779</v>
      </c>
    </row>
    <row r="1731" spans="1:17" x14ac:dyDescent="0.3">
      <c r="A1731" t="s">
        <v>17</v>
      </c>
      <c r="B1731" t="str">
        <f>"688008"</f>
        <v>688008</v>
      </c>
      <c r="C1731" t="s">
        <v>3780</v>
      </c>
      <c r="D1731" t="s">
        <v>461</v>
      </c>
      <c r="F1731">
        <v>2562017472</v>
      </c>
      <c r="G1731">
        <v>1823665555</v>
      </c>
      <c r="H1731">
        <v>1737734715</v>
      </c>
      <c r="I1731">
        <v>1757664583</v>
      </c>
      <c r="J1731">
        <v>1227514933</v>
      </c>
      <c r="K1731">
        <v>844944635</v>
      </c>
      <c r="P1731">
        <v>522</v>
      </c>
      <c r="Q1731" t="s">
        <v>3781</v>
      </c>
    </row>
    <row r="1732" spans="1:17" x14ac:dyDescent="0.3">
      <c r="A1732" t="s">
        <v>17</v>
      </c>
      <c r="B1732" t="str">
        <f>"688009"</f>
        <v>688009</v>
      </c>
      <c r="C1732" t="s">
        <v>3782</v>
      </c>
      <c r="D1732" t="s">
        <v>1012</v>
      </c>
      <c r="F1732">
        <v>38358297109</v>
      </c>
      <c r="G1732">
        <v>40124476711</v>
      </c>
      <c r="H1732">
        <v>41646286793</v>
      </c>
      <c r="I1732">
        <v>40012601322</v>
      </c>
      <c r="J1732">
        <v>34585933621</v>
      </c>
      <c r="K1732">
        <v>29770196559</v>
      </c>
      <c r="P1732">
        <v>201</v>
      </c>
      <c r="Q1732" t="s">
        <v>3783</v>
      </c>
    </row>
    <row r="1733" spans="1:17" x14ac:dyDescent="0.3">
      <c r="A1733" t="s">
        <v>17</v>
      </c>
      <c r="B1733" t="str">
        <f>"688010"</f>
        <v>688010</v>
      </c>
      <c r="C1733" t="s">
        <v>3784</v>
      </c>
      <c r="D1733" t="s">
        <v>164</v>
      </c>
      <c r="F1733">
        <v>674640293</v>
      </c>
      <c r="G1733">
        <v>587549634</v>
      </c>
      <c r="H1733">
        <v>579906988</v>
      </c>
      <c r="I1733">
        <v>551997146</v>
      </c>
      <c r="J1733">
        <v>580215114</v>
      </c>
      <c r="K1733">
        <v>469066521</v>
      </c>
      <c r="P1733">
        <v>125</v>
      </c>
      <c r="Q1733" t="s">
        <v>3785</v>
      </c>
    </row>
    <row r="1734" spans="1:17" x14ac:dyDescent="0.3">
      <c r="A1734" t="s">
        <v>17</v>
      </c>
      <c r="B1734" t="str">
        <f>"688011"</f>
        <v>688011</v>
      </c>
      <c r="C1734" t="s">
        <v>3786</v>
      </c>
      <c r="D1734" t="s">
        <v>1136</v>
      </c>
      <c r="F1734">
        <v>143800738</v>
      </c>
      <c r="G1734">
        <v>124086225</v>
      </c>
      <c r="H1734">
        <v>191646502</v>
      </c>
      <c r="I1734">
        <v>208409866</v>
      </c>
      <c r="J1734">
        <v>182048898</v>
      </c>
      <c r="K1734">
        <v>158565532</v>
      </c>
      <c r="P1734">
        <v>88</v>
      </c>
      <c r="Q1734" t="s">
        <v>3787</v>
      </c>
    </row>
    <row r="1735" spans="1:17" x14ac:dyDescent="0.3">
      <c r="A1735" t="s">
        <v>17</v>
      </c>
      <c r="B1735" t="str">
        <f>"688012"</f>
        <v>688012</v>
      </c>
      <c r="C1735" t="s">
        <v>3788</v>
      </c>
      <c r="D1735" t="s">
        <v>3187</v>
      </c>
      <c r="F1735">
        <v>3108134731</v>
      </c>
      <c r="G1735">
        <v>2273291898</v>
      </c>
      <c r="H1735">
        <v>1946949251</v>
      </c>
      <c r="I1735">
        <v>1639288330</v>
      </c>
      <c r="J1735">
        <v>971920552</v>
      </c>
      <c r="K1735">
        <v>609528438</v>
      </c>
      <c r="P1735">
        <v>620</v>
      </c>
      <c r="Q1735" t="s">
        <v>3789</v>
      </c>
    </row>
    <row r="1736" spans="1:17" x14ac:dyDescent="0.3">
      <c r="A1736" t="s">
        <v>17</v>
      </c>
      <c r="B1736" t="str">
        <f>"688013"</f>
        <v>688013</v>
      </c>
      <c r="C1736" t="s">
        <v>3790</v>
      </c>
      <c r="D1736" t="s">
        <v>1077</v>
      </c>
      <c r="F1736">
        <v>213737042</v>
      </c>
      <c r="G1736">
        <v>163344281</v>
      </c>
      <c r="H1736">
        <v>172756968</v>
      </c>
      <c r="I1736">
        <v>119028653</v>
      </c>
      <c r="J1736">
        <v>89648519</v>
      </c>
      <c r="P1736">
        <v>64</v>
      </c>
      <c r="Q1736" t="s">
        <v>3791</v>
      </c>
    </row>
    <row r="1737" spans="1:17" x14ac:dyDescent="0.3">
      <c r="A1737" t="s">
        <v>17</v>
      </c>
      <c r="B1737" t="str">
        <f>"688015"</f>
        <v>688015</v>
      </c>
      <c r="C1737" t="s">
        <v>3792</v>
      </c>
      <c r="D1737" t="s">
        <v>1012</v>
      </c>
      <c r="F1737">
        <v>2582126710</v>
      </c>
      <c r="G1737">
        <v>2026170762</v>
      </c>
      <c r="H1737">
        <v>1651775098</v>
      </c>
      <c r="I1737">
        <v>1162520491</v>
      </c>
      <c r="J1737">
        <v>879619762</v>
      </c>
      <c r="K1737">
        <v>886501979</v>
      </c>
      <c r="P1737">
        <v>280</v>
      </c>
      <c r="Q1737" t="s">
        <v>3793</v>
      </c>
    </row>
    <row r="1738" spans="1:17" x14ac:dyDescent="0.3">
      <c r="A1738" t="s">
        <v>17</v>
      </c>
      <c r="B1738" t="str">
        <f>"688016"</f>
        <v>688016</v>
      </c>
      <c r="C1738" t="s">
        <v>3794</v>
      </c>
      <c r="D1738" t="s">
        <v>1077</v>
      </c>
      <c r="F1738">
        <v>684630747</v>
      </c>
      <c r="G1738">
        <v>470252335</v>
      </c>
      <c r="H1738">
        <v>333732540</v>
      </c>
      <c r="I1738">
        <v>231127473</v>
      </c>
      <c r="J1738">
        <v>165134841</v>
      </c>
      <c r="K1738">
        <v>125326712</v>
      </c>
      <c r="P1738">
        <v>551</v>
      </c>
      <c r="Q1738" t="s">
        <v>3795</v>
      </c>
    </row>
    <row r="1739" spans="1:17" x14ac:dyDescent="0.3">
      <c r="A1739" t="s">
        <v>17</v>
      </c>
      <c r="B1739" t="str">
        <f>"688017"</f>
        <v>688017</v>
      </c>
      <c r="C1739" t="s">
        <v>3796</v>
      </c>
      <c r="D1739" t="s">
        <v>2938</v>
      </c>
      <c r="F1739">
        <v>443351435</v>
      </c>
      <c r="G1739">
        <v>216512127</v>
      </c>
      <c r="H1739">
        <v>185900986</v>
      </c>
      <c r="I1739">
        <v>219533969</v>
      </c>
      <c r="J1739">
        <v>175702143</v>
      </c>
      <c r="P1739">
        <v>152</v>
      </c>
      <c r="Q1739" t="s">
        <v>3797</v>
      </c>
    </row>
    <row r="1740" spans="1:17" x14ac:dyDescent="0.3">
      <c r="A1740" t="s">
        <v>17</v>
      </c>
      <c r="B1740" t="str">
        <f>"688018"</f>
        <v>688018</v>
      </c>
      <c r="C1740" t="s">
        <v>3798</v>
      </c>
      <c r="D1740" t="s">
        <v>461</v>
      </c>
      <c r="F1740">
        <v>1386371541</v>
      </c>
      <c r="G1740">
        <v>831286490</v>
      </c>
      <c r="H1740">
        <v>757428577</v>
      </c>
      <c r="I1740">
        <v>474920158</v>
      </c>
      <c r="J1740">
        <v>272006994</v>
      </c>
      <c r="K1740">
        <v>122938573</v>
      </c>
      <c r="P1740">
        <v>317</v>
      </c>
      <c r="Q1740" t="s">
        <v>3799</v>
      </c>
    </row>
    <row r="1741" spans="1:17" x14ac:dyDescent="0.3">
      <c r="A1741" t="s">
        <v>17</v>
      </c>
      <c r="B1741" t="str">
        <f>"688019"</f>
        <v>688019</v>
      </c>
      <c r="C1741" t="s">
        <v>3800</v>
      </c>
      <c r="D1741" t="s">
        <v>2408</v>
      </c>
      <c r="F1741">
        <v>686660621</v>
      </c>
      <c r="G1741">
        <v>422379914</v>
      </c>
      <c r="H1741">
        <v>285410172</v>
      </c>
      <c r="I1741">
        <v>247848715</v>
      </c>
      <c r="J1741">
        <v>232427094</v>
      </c>
      <c r="K1741">
        <v>196639231</v>
      </c>
      <c r="P1741">
        <v>286</v>
      </c>
      <c r="Q1741" t="s">
        <v>3801</v>
      </c>
    </row>
    <row r="1742" spans="1:17" x14ac:dyDescent="0.3">
      <c r="A1742" t="s">
        <v>17</v>
      </c>
      <c r="B1742" t="str">
        <f>"688020"</f>
        <v>688020</v>
      </c>
      <c r="C1742" t="s">
        <v>3802</v>
      </c>
      <c r="D1742" t="s">
        <v>425</v>
      </c>
      <c r="F1742">
        <v>286350923</v>
      </c>
      <c r="G1742">
        <v>288536053</v>
      </c>
      <c r="H1742">
        <v>291693847</v>
      </c>
      <c r="I1742">
        <v>274707377</v>
      </c>
      <c r="J1742">
        <v>226254503</v>
      </c>
      <c r="K1742">
        <v>190282589</v>
      </c>
      <c r="P1742">
        <v>253</v>
      </c>
      <c r="Q1742" t="s">
        <v>3803</v>
      </c>
    </row>
    <row r="1743" spans="1:17" x14ac:dyDescent="0.3">
      <c r="A1743" t="s">
        <v>17</v>
      </c>
      <c r="B1743" t="str">
        <f>"688021"</f>
        <v>688021</v>
      </c>
      <c r="C1743" t="s">
        <v>3804</v>
      </c>
      <c r="D1743" t="s">
        <v>985</v>
      </c>
      <c r="F1743">
        <v>396012673</v>
      </c>
      <c r="G1743">
        <v>314146544</v>
      </c>
      <c r="H1743">
        <v>268078301</v>
      </c>
      <c r="I1743">
        <v>248272095</v>
      </c>
      <c r="J1743">
        <v>196117103</v>
      </c>
      <c r="K1743">
        <v>92868662</v>
      </c>
      <c r="P1743">
        <v>79</v>
      </c>
      <c r="Q1743" t="s">
        <v>3805</v>
      </c>
    </row>
    <row r="1744" spans="1:17" x14ac:dyDescent="0.3">
      <c r="A1744" t="s">
        <v>17</v>
      </c>
      <c r="B1744" t="str">
        <f>"688022"</f>
        <v>688022</v>
      </c>
      <c r="C1744" t="s">
        <v>3806</v>
      </c>
      <c r="D1744" t="s">
        <v>741</v>
      </c>
      <c r="F1744">
        <v>757974561</v>
      </c>
      <c r="G1744">
        <v>603138410</v>
      </c>
      <c r="H1744">
        <v>457494623</v>
      </c>
      <c r="I1744">
        <v>436017584</v>
      </c>
      <c r="J1744">
        <v>243849084</v>
      </c>
      <c r="K1744">
        <v>150226411</v>
      </c>
      <c r="P1744">
        <v>164</v>
      </c>
      <c r="Q1744" t="s">
        <v>3807</v>
      </c>
    </row>
    <row r="1745" spans="1:17" x14ac:dyDescent="0.3">
      <c r="A1745" t="s">
        <v>17</v>
      </c>
      <c r="B1745" t="str">
        <f>"688023"</f>
        <v>688023</v>
      </c>
      <c r="C1745" t="s">
        <v>3808</v>
      </c>
      <c r="D1745" t="s">
        <v>1189</v>
      </c>
      <c r="F1745">
        <v>1820328069</v>
      </c>
      <c r="G1745">
        <v>1322972682</v>
      </c>
      <c r="H1745">
        <v>944032874</v>
      </c>
      <c r="I1745">
        <v>626586770</v>
      </c>
      <c r="J1745">
        <v>430398141</v>
      </c>
      <c r="K1745">
        <v>316713849</v>
      </c>
      <c r="P1745">
        <v>249</v>
      </c>
      <c r="Q1745" t="s">
        <v>3809</v>
      </c>
    </row>
    <row r="1746" spans="1:17" x14ac:dyDescent="0.3">
      <c r="A1746" t="s">
        <v>17</v>
      </c>
      <c r="B1746" t="str">
        <f>"688025"</f>
        <v>688025</v>
      </c>
      <c r="C1746" t="s">
        <v>3810</v>
      </c>
      <c r="D1746" t="s">
        <v>3811</v>
      </c>
      <c r="F1746">
        <v>1199378769</v>
      </c>
      <c r="G1746">
        <v>853627173</v>
      </c>
      <c r="H1746">
        <v>567679889</v>
      </c>
      <c r="I1746">
        <v>666254241</v>
      </c>
      <c r="J1746">
        <v>633339258</v>
      </c>
      <c r="K1746">
        <v>253486738</v>
      </c>
      <c r="P1746">
        <v>158</v>
      </c>
      <c r="Q1746" t="s">
        <v>3812</v>
      </c>
    </row>
    <row r="1747" spans="1:17" x14ac:dyDescent="0.3">
      <c r="A1747" t="s">
        <v>17</v>
      </c>
      <c r="B1747" t="str">
        <f>"688026"</f>
        <v>688026</v>
      </c>
      <c r="C1747" t="s">
        <v>3813</v>
      </c>
      <c r="D1747" t="s">
        <v>1192</v>
      </c>
      <c r="F1747">
        <v>855658196</v>
      </c>
      <c r="G1747">
        <v>503933836</v>
      </c>
      <c r="H1747">
        <v>247495947</v>
      </c>
      <c r="I1747">
        <v>207479558</v>
      </c>
      <c r="J1747">
        <v>167043100</v>
      </c>
      <c r="K1747">
        <v>124022877</v>
      </c>
      <c r="P1747">
        <v>211</v>
      </c>
      <c r="Q1747" t="s">
        <v>3814</v>
      </c>
    </row>
    <row r="1748" spans="1:17" x14ac:dyDescent="0.3">
      <c r="A1748" t="s">
        <v>17</v>
      </c>
      <c r="B1748" t="str">
        <f>"688027"</f>
        <v>688027</v>
      </c>
      <c r="C1748" t="s">
        <v>3815</v>
      </c>
      <c r="D1748" t="s">
        <v>786</v>
      </c>
      <c r="F1748">
        <v>179153578</v>
      </c>
      <c r="G1748">
        <v>134147622</v>
      </c>
      <c r="H1748">
        <v>257853720</v>
      </c>
      <c r="I1748">
        <v>264669819</v>
      </c>
      <c r="J1748">
        <v>283661095</v>
      </c>
      <c r="K1748">
        <v>227154199</v>
      </c>
      <c r="P1748">
        <v>98</v>
      </c>
      <c r="Q1748" t="s">
        <v>3816</v>
      </c>
    </row>
    <row r="1749" spans="1:17" x14ac:dyDescent="0.3">
      <c r="A1749" t="s">
        <v>17</v>
      </c>
      <c r="B1749" t="str">
        <f>"688028"</f>
        <v>688028</v>
      </c>
      <c r="C1749" t="s">
        <v>3817</v>
      </c>
      <c r="D1749" t="s">
        <v>404</v>
      </c>
      <c r="F1749">
        <v>325809095</v>
      </c>
      <c r="G1749">
        <v>241831705</v>
      </c>
      <c r="H1749">
        <v>255014005</v>
      </c>
      <c r="I1749">
        <v>262249173</v>
      </c>
      <c r="J1749">
        <v>233464379</v>
      </c>
      <c r="K1749">
        <v>174723548</v>
      </c>
      <c r="P1749">
        <v>76</v>
      </c>
      <c r="Q1749" t="s">
        <v>3818</v>
      </c>
    </row>
    <row r="1750" spans="1:17" x14ac:dyDescent="0.3">
      <c r="A1750" t="s">
        <v>17</v>
      </c>
      <c r="B1750" t="str">
        <f>"688029"</f>
        <v>688029</v>
      </c>
      <c r="C1750" t="s">
        <v>3819</v>
      </c>
      <c r="D1750" t="s">
        <v>1077</v>
      </c>
      <c r="F1750">
        <v>1946723952</v>
      </c>
      <c r="G1750">
        <v>1326405645</v>
      </c>
      <c r="H1750">
        <v>1307474274</v>
      </c>
      <c r="I1750">
        <v>922109300</v>
      </c>
      <c r="J1750">
        <v>640672960</v>
      </c>
      <c r="K1750">
        <v>414309708</v>
      </c>
      <c r="P1750">
        <v>394</v>
      </c>
      <c r="Q1750" t="s">
        <v>3820</v>
      </c>
    </row>
    <row r="1751" spans="1:17" x14ac:dyDescent="0.3">
      <c r="A1751" t="s">
        <v>17</v>
      </c>
      <c r="B1751" t="str">
        <f>"688030"</f>
        <v>688030</v>
      </c>
      <c r="C1751" t="s">
        <v>3821</v>
      </c>
      <c r="D1751" t="s">
        <v>1189</v>
      </c>
      <c r="F1751">
        <v>1026948139</v>
      </c>
      <c r="G1751">
        <v>725388849</v>
      </c>
      <c r="H1751">
        <v>674570695</v>
      </c>
      <c r="I1751">
        <v>566129794</v>
      </c>
      <c r="J1751">
        <v>463058592</v>
      </c>
      <c r="K1751">
        <v>326522580</v>
      </c>
      <c r="P1751">
        <v>145</v>
      </c>
      <c r="Q1751" t="s">
        <v>3822</v>
      </c>
    </row>
    <row r="1752" spans="1:17" x14ac:dyDescent="0.3">
      <c r="A1752" t="s">
        <v>17</v>
      </c>
      <c r="B1752" t="str">
        <f>"688032"</f>
        <v>688032</v>
      </c>
      <c r="C1752" t="s">
        <v>3823</v>
      </c>
      <c r="D1752" t="s">
        <v>3824</v>
      </c>
      <c r="F1752">
        <v>795185561</v>
      </c>
      <c r="G1752">
        <v>495015584</v>
      </c>
      <c r="H1752">
        <v>460045189</v>
      </c>
      <c r="I1752">
        <v>306875884</v>
      </c>
      <c r="J1752">
        <v>249299707</v>
      </c>
      <c r="P1752">
        <v>31</v>
      </c>
      <c r="Q1752" t="s">
        <v>3825</v>
      </c>
    </row>
    <row r="1753" spans="1:17" x14ac:dyDescent="0.3">
      <c r="A1753" t="s">
        <v>17</v>
      </c>
      <c r="B1753" t="str">
        <f>"688033"</f>
        <v>688033</v>
      </c>
      <c r="C1753" t="s">
        <v>3826</v>
      </c>
      <c r="D1753" t="s">
        <v>1012</v>
      </c>
      <c r="F1753">
        <v>671259223</v>
      </c>
      <c r="G1753">
        <v>415166885</v>
      </c>
      <c r="H1753">
        <v>581837175</v>
      </c>
      <c r="I1753">
        <v>557896179</v>
      </c>
      <c r="J1753">
        <v>507134038</v>
      </c>
      <c r="K1753">
        <v>468421794</v>
      </c>
      <c r="P1753">
        <v>86</v>
      </c>
      <c r="Q1753" t="s">
        <v>3827</v>
      </c>
    </row>
    <row r="1754" spans="1:17" x14ac:dyDescent="0.3">
      <c r="A1754" t="s">
        <v>17</v>
      </c>
      <c r="B1754" t="str">
        <f>"688036"</f>
        <v>688036</v>
      </c>
      <c r="C1754" t="s">
        <v>3828</v>
      </c>
      <c r="D1754" t="s">
        <v>3526</v>
      </c>
      <c r="F1754">
        <v>49411901654</v>
      </c>
      <c r="G1754">
        <v>37791888886</v>
      </c>
      <c r="H1754">
        <v>25345929613</v>
      </c>
      <c r="I1754">
        <v>22645881210</v>
      </c>
      <c r="J1754">
        <v>20043626350</v>
      </c>
      <c r="K1754">
        <v>11636757529</v>
      </c>
      <c r="P1754">
        <v>596</v>
      </c>
      <c r="Q1754" t="s">
        <v>3829</v>
      </c>
    </row>
    <row r="1755" spans="1:17" x14ac:dyDescent="0.3">
      <c r="A1755" t="s">
        <v>17</v>
      </c>
      <c r="B1755" t="str">
        <f>"688037"</f>
        <v>688037</v>
      </c>
      <c r="C1755" t="s">
        <v>3830</v>
      </c>
      <c r="D1755" t="s">
        <v>3187</v>
      </c>
      <c r="F1755">
        <v>828672512</v>
      </c>
      <c r="G1755">
        <v>328900200</v>
      </c>
      <c r="H1755">
        <v>213156650</v>
      </c>
      <c r="I1755">
        <v>209990524</v>
      </c>
      <c r="J1755">
        <v>189885024</v>
      </c>
      <c r="K1755">
        <v>147603130</v>
      </c>
      <c r="P1755">
        <v>168</v>
      </c>
      <c r="Q1755" t="s">
        <v>3831</v>
      </c>
    </row>
    <row r="1756" spans="1:17" x14ac:dyDescent="0.3">
      <c r="A1756" t="s">
        <v>17</v>
      </c>
      <c r="B1756" t="str">
        <f>"688038"</f>
        <v>688038</v>
      </c>
      <c r="C1756" t="s">
        <v>3832</v>
      </c>
      <c r="D1756" t="s">
        <v>945</v>
      </c>
      <c r="F1756">
        <v>427905658</v>
      </c>
      <c r="G1756">
        <v>495970358</v>
      </c>
      <c r="H1756">
        <v>442916976</v>
      </c>
      <c r="I1756">
        <v>266721689</v>
      </c>
      <c r="J1756">
        <v>158955912</v>
      </c>
      <c r="P1756">
        <v>17</v>
      </c>
      <c r="Q1756" t="s">
        <v>3833</v>
      </c>
    </row>
    <row r="1757" spans="1:17" x14ac:dyDescent="0.3">
      <c r="A1757" t="s">
        <v>17</v>
      </c>
      <c r="B1757" t="str">
        <f>"688039"</f>
        <v>688039</v>
      </c>
      <c r="C1757" t="s">
        <v>3834</v>
      </c>
      <c r="D1757" t="s">
        <v>316</v>
      </c>
      <c r="F1757">
        <v>418198927</v>
      </c>
      <c r="G1757">
        <v>365891260</v>
      </c>
      <c r="H1757">
        <v>284518015</v>
      </c>
      <c r="I1757">
        <v>203551861</v>
      </c>
      <c r="J1757">
        <v>138984205</v>
      </c>
      <c r="K1757">
        <v>101513299</v>
      </c>
      <c r="P1757">
        <v>155</v>
      </c>
      <c r="Q1757" t="s">
        <v>3835</v>
      </c>
    </row>
    <row r="1758" spans="1:17" x14ac:dyDescent="0.3">
      <c r="A1758" t="s">
        <v>17</v>
      </c>
      <c r="B1758" t="str">
        <f>"688046"</f>
        <v>688046</v>
      </c>
      <c r="C1758" t="s">
        <v>3836</v>
      </c>
      <c r="F1758">
        <v>393787165</v>
      </c>
      <c r="G1758">
        <v>261917140</v>
      </c>
      <c r="H1758">
        <v>192720597</v>
      </c>
      <c r="I1758">
        <v>53290606</v>
      </c>
      <c r="P1758">
        <v>2</v>
      </c>
      <c r="Q1758" t="s">
        <v>3837</v>
      </c>
    </row>
    <row r="1759" spans="1:17" x14ac:dyDescent="0.3">
      <c r="A1759" t="s">
        <v>17</v>
      </c>
      <c r="B1759" t="str">
        <f>"688048"</f>
        <v>688048</v>
      </c>
      <c r="C1759" t="s">
        <v>3838</v>
      </c>
      <c r="F1759">
        <v>429088533</v>
      </c>
      <c r="G1759">
        <v>247178554</v>
      </c>
      <c r="H1759">
        <v>138510111</v>
      </c>
      <c r="I1759">
        <v>92434355</v>
      </c>
      <c r="P1759">
        <v>12</v>
      </c>
      <c r="Q1759" t="s">
        <v>3839</v>
      </c>
    </row>
    <row r="1760" spans="1:17" x14ac:dyDescent="0.3">
      <c r="A1760" t="s">
        <v>17</v>
      </c>
      <c r="B1760" t="str">
        <f>"688049"</f>
        <v>688049</v>
      </c>
      <c r="C1760" t="s">
        <v>3840</v>
      </c>
      <c r="D1760" t="s">
        <v>461</v>
      </c>
      <c r="F1760">
        <v>526267172</v>
      </c>
      <c r="G1760">
        <v>410416660</v>
      </c>
      <c r="H1760">
        <v>361207488</v>
      </c>
      <c r="I1760">
        <v>346094842</v>
      </c>
      <c r="J1760">
        <v>306851473</v>
      </c>
      <c r="P1760">
        <v>21</v>
      </c>
      <c r="Q1760" t="s">
        <v>3841</v>
      </c>
    </row>
    <row r="1761" spans="1:17" x14ac:dyDescent="0.3">
      <c r="A1761" t="s">
        <v>17</v>
      </c>
      <c r="B1761" t="str">
        <f>"688050"</f>
        <v>688050</v>
      </c>
      <c r="C1761" t="s">
        <v>3842</v>
      </c>
      <c r="D1761" t="s">
        <v>1077</v>
      </c>
      <c r="F1761">
        <v>433070742</v>
      </c>
      <c r="G1761">
        <v>273048715</v>
      </c>
      <c r="H1761">
        <v>195197501</v>
      </c>
      <c r="I1761">
        <v>126972754</v>
      </c>
      <c r="J1761">
        <v>74811084</v>
      </c>
      <c r="K1761">
        <v>43529112</v>
      </c>
      <c r="P1761">
        <v>410</v>
      </c>
      <c r="Q1761" t="s">
        <v>3843</v>
      </c>
    </row>
    <row r="1762" spans="1:17" x14ac:dyDescent="0.3">
      <c r="A1762" t="s">
        <v>17</v>
      </c>
      <c r="B1762" t="str">
        <f>"688051"</f>
        <v>688051</v>
      </c>
      <c r="C1762" t="s">
        <v>3844</v>
      </c>
      <c r="D1762" t="s">
        <v>316</v>
      </c>
      <c r="F1762">
        <v>486347694</v>
      </c>
      <c r="G1762">
        <v>681426486</v>
      </c>
      <c r="H1762">
        <v>514781584</v>
      </c>
      <c r="I1762">
        <v>389035100</v>
      </c>
      <c r="J1762">
        <v>332276079</v>
      </c>
      <c r="K1762">
        <v>306499927</v>
      </c>
      <c r="P1762">
        <v>91</v>
      </c>
      <c r="Q1762" t="s">
        <v>3845</v>
      </c>
    </row>
    <row r="1763" spans="1:17" x14ac:dyDescent="0.3">
      <c r="A1763" t="s">
        <v>17</v>
      </c>
      <c r="B1763" t="str">
        <f>"688052"</f>
        <v>688052</v>
      </c>
      <c r="C1763" t="s">
        <v>3846</v>
      </c>
      <c r="F1763">
        <v>862093207</v>
      </c>
      <c r="G1763">
        <v>241987088</v>
      </c>
      <c r="H1763">
        <v>92103212</v>
      </c>
      <c r="I1763">
        <v>40223347</v>
      </c>
      <c r="P1763">
        <v>11</v>
      </c>
      <c r="Q1763" t="s">
        <v>3847</v>
      </c>
    </row>
    <row r="1764" spans="1:17" x14ac:dyDescent="0.3">
      <c r="A1764" t="s">
        <v>17</v>
      </c>
      <c r="B1764" t="str">
        <f>"688055"</f>
        <v>688055</v>
      </c>
      <c r="C1764" t="s">
        <v>3848</v>
      </c>
      <c r="D1764" t="s">
        <v>1117</v>
      </c>
      <c r="F1764">
        <v>5732954115</v>
      </c>
      <c r="G1764">
        <v>4382567744</v>
      </c>
      <c r="H1764">
        <v>3848623414</v>
      </c>
      <c r="I1764">
        <v>3725275606</v>
      </c>
      <c r="J1764">
        <v>4305999245</v>
      </c>
      <c r="K1764">
        <v>4160259683</v>
      </c>
      <c r="P1764">
        <v>78</v>
      </c>
      <c r="Q1764" t="s">
        <v>3849</v>
      </c>
    </row>
    <row r="1765" spans="1:17" x14ac:dyDescent="0.3">
      <c r="A1765" t="s">
        <v>17</v>
      </c>
      <c r="B1765" t="str">
        <f>"688056"</f>
        <v>688056</v>
      </c>
      <c r="C1765" t="s">
        <v>3850</v>
      </c>
      <c r="D1765" t="s">
        <v>2566</v>
      </c>
      <c r="F1765">
        <v>368857921</v>
      </c>
      <c r="G1765">
        <v>348604853</v>
      </c>
      <c r="H1765">
        <v>380518492</v>
      </c>
      <c r="I1765">
        <v>350055212</v>
      </c>
      <c r="J1765">
        <v>322081855</v>
      </c>
      <c r="K1765">
        <v>290375317</v>
      </c>
      <c r="P1765">
        <v>50</v>
      </c>
      <c r="Q1765" t="s">
        <v>3851</v>
      </c>
    </row>
    <row r="1766" spans="1:17" x14ac:dyDescent="0.3">
      <c r="A1766" t="s">
        <v>17</v>
      </c>
      <c r="B1766" t="str">
        <f>"688057"</f>
        <v>688057</v>
      </c>
      <c r="C1766" t="s">
        <v>3852</v>
      </c>
      <c r="D1766" t="s">
        <v>33</v>
      </c>
      <c r="F1766">
        <v>912603795</v>
      </c>
      <c r="G1766">
        <v>970880810</v>
      </c>
      <c r="H1766">
        <v>777870097</v>
      </c>
      <c r="I1766">
        <v>729651919</v>
      </c>
      <c r="J1766">
        <v>457110456</v>
      </c>
      <c r="K1766">
        <v>272742334</v>
      </c>
      <c r="P1766">
        <v>116</v>
      </c>
      <c r="Q1766" t="s">
        <v>3853</v>
      </c>
    </row>
    <row r="1767" spans="1:17" x14ac:dyDescent="0.3">
      <c r="A1767" t="s">
        <v>17</v>
      </c>
      <c r="B1767" t="str">
        <f>"688058"</f>
        <v>688058</v>
      </c>
      <c r="C1767" t="s">
        <v>3854</v>
      </c>
      <c r="D1767" t="s">
        <v>1189</v>
      </c>
      <c r="F1767">
        <v>199839476</v>
      </c>
      <c r="G1767">
        <v>182260207</v>
      </c>
      <c r="H1767">
        <v>143302330</v>
      </c>
      <c r="I1767">
        <v>122369994</v>
      </c>
      <c r="J1767">
        <v>86668245</v>
      </c>
      <c r="K1767">
        <v>80114001</v>
      </c>
      <c r="P1767">
        <v>96</v>
      </c>
      <c r="Q1767" t="s">
        <v>3855</v>
      </c>
    </row>
    <row r="1768" spans="1:17" x14ac:dyDescent="0.3">
      <c r="A1768" t="s">
        <v>17</v>
      </c>
      <c r="B1768" t="str">
        <f>"688059"</f>
        <v>688059</v>
      </c>
      <c r="C1768" t="s">
        <v>3856</v>
      </c>
      <c r="D1768" t="s">
        <v>274</v>
      </c>
      <c r="F1768">
        <v>485477290</v>
      </c>
      <c r="G1768">
        <v>312185917</v>
      </c>
      <c r="H1768">
        <v>258929016</v>
      </c>
      <c r="I1768">
        <v>213634958</v>
      </c>
      <c r="J1768">
        <v>134165083</v>
      </c>
      <c r="P1768">
        <v>105</v>
      </c>
      <c r="Q1768" t="s">
        <v>3857</v>
      </c>
    </row>
    <row r="1769" spans="1:17" x14ac:dyDescent="0.3">
      <c r="A1769" t="s">
        <v>17</v>
      </c>
      <c r="B1769" t="str">
        <f>"688060"</f>
        <v>688060</v>
      </c>
      <c r="C1769" t="s">
        <v>3858</v>
      </c>
      <c r="D1769" t="s">
        <v>236</v>
      </c>
      <c r="F1769">
        <v>309179201</v>
      </c>
      <c r="G1769">
        <v>262948290</v>
      </c>
      <c r="H1769">
        <v>250881391</v>
      </c>
      <c r="I1769">
        <v>161959797</v>
      </c>
      <c r="J1769">
        <v>137928986</v>
      </c>
      <c r="K1769">
        <v>130569930</v>
      </c>
      <c r="P1769">
        <v>75</v>
      </c>
      <c r="Q1769" t="s">
        <v>3859</v>
      </c>
    </row>
    <row r="1770" spans="1:17" x14ac:dyDescent="0.3">
      <c r="A1770" t="s">
        <v>17</v>
      </c>
      <c r="B1770" t="str">
        <f>"688062"</f>
        <v>688062</v>
      </c>
      <c r="C1770" t="s">
        <v>3860</v>
      </c>
      <c r="D1770" t="s">
        <v>143</v>
      </c>
      <c r="F1770">
        <v>16226241</v>
      </c>
      <c r="G1770">
        <v>5302169</v>
      </c>
      <c r="H1770">
        <v>29425706</v>
      </c>
      <c r="I1770">
        <v>37375721</v>
      </c>
      <c r="J1770">
        <v>4602482</v>
      </c>
      <c r="P1770">
        <v>14</v>
      </c>
      <c r="Q1770" t="s">
        <v>3861</v>
      </c>
    </row>
    <row r="1771" spans="1:17" x14ac:dyDescent="0.3">
      <c r="A1771" t="s">
        <v>17</v>
      </c>
      <c r="B1771" t="str">
        <f>"688063"</f>
        <v>688063</v>
      </c>
      <c r="C1771" t="s">
        <v>3862</v>
      </c>
      <c r="D1771" t="s">
        <v>359</v>
      </c>
      <c r="F1771">
        <v>2062515046</v>
      </c>
      <c r="G1771">
        <v>1120070051</v>
      </c>
      <c r="H1771">
        <v>819849199</v>
      </c>
      <c r="I1771">
        <v>426025451</v>
      </c>
      <c r="J1771">
        <v>143337667</v>
      </c>
      <c r="P1771">
        <v>212</v>
      </c>
      <c r="Q1771" t="s">
        <v>3863</v>
      </c>
    </row>
    <row r="1772" spans="1:17" x14ac:dyDescent="0.3">
      <c r="A1772" t="s">
        <v>17</v>
      </c>
      <c r="B1772" t="str">
        <f>"688065"</f>
        <v>688065</v>
      </c>
      <c r="C1772" t="s">
        <v>3864</v>
      </c>
      <c r="D1772" t="s">
        <v>386</v>
      </c>
      <c r="F1772">
        <v>2197456745</v>
      </c>
      <c r="G1772">
        <v>1497191402</v>
      </c>
      <c r="H1772">
        <v>1916199461</v>
      </c>
      <c r="I1772">
        <v>1757116170</v>
      </c>
      <c r="J1772">
        <v>1362694736</v>
      </c>
      <c r="K1772">
        <v>929128417</v>
      </c>
      <c r="P1772">
        <v>107</v>
      </c>
      <c r="Q1772" t="s">
        <v>3865</v>
      </c>
    </row>
    <row r="1773" spans="1:17" x14ac:dyDescent="0.3">
      <c r="A1773" t="s">
        <v>17</v>
      </c>
      <c r="B1773" t="str">
        <f>"688066"</f>
        <v>688066</v>
      </c>
      <c r="C1773" t="s">
        <v>3866</v>
      </c>
      <c r="D1773" t="s">
        <v>316</v>
      </c>
      <c r="F1773">
        <v>1468443800</v>
      </c>
      <c r="G1773">
        <v>846698036</v>
      </c>
      <c r="H1773">
        <v>601171534</v>
      </c>
      <c r="I1773">
        <v>423330390</v>
      </c>
      <c r="J1773">
        <v>296347379</v>
      </c>
      <c r="K1773">
        <v>194985772</v>
      </c>
      <c r="P1773">
        <v>159</v>
      </c>
      <c r="Q1773" t="s">
        <v>3867</v>
      </c>
    </row>
    <row r="1774" spans="1:17" x14ac:dyDescent="0.3">
      <c r="A1774" t="s">
        <v>17</v>
      </c>
      <c r="B1774" t="str">
        <f>"688067"</f>
        <v>688067</v>
      </c>
      <c r="C1774" t="s">
        <v>3868</v>
      </c>
      <c r="D1774" t="s">
        <v>1305</v>
      </c>
      <c r="F1774">
        <v>210668651</v>
      </c>
      <c r="G1774">
        <v>180199388</v>
      </c>
      <c r="H1774">
        <v>189982846</v>
      </c>
      <c r="I1774">
        <v>150540704</v>
      </c>
      <c r="J1774">
        <v>134252299</v>
      </c>
      <c r="P1774">
        <v>35</v>
      </c>
      <c r="Q1774" t="s">
        <v>3869</v>
      </c>
    </row>
    <row r="1775" spans="1:17" x14ac:dyDescent="0.3">
      <c r="A1775" t="s">
        <v>17</v>
      </c>
      <c r="B1775" t="str">
        <f>"688068"</f>
        <v>688068</v>
      </c>
      <c r="C1775" t="s">
        <v>3870</v>
      </c>
      <c r="D1775" t="s">
        <v>1305</v>
      </c>
      <c r="F1775">
        <v>5369203762</v>
      </c>
      <c r="G1775">
        <v>513533630</v>
      </c>
      <c r="H1775">
        <v>210412323</v>
      </c>
      <c r="I1775">
        <v>187123051</v>
      </c>
      <c r="J1775">
        <v>142088956</v>
      </c>
      <c r="K1775">
        <v>122195767</v>
      </c>
      <c r="P1775">
        <v>254</v>
      </c>
      <c r="Q1775" t="s">
        <v>3871</v>
      </c>
    </row>
    <row r="1776" spans="1:17" x14ac:dyDescent="0.3">
      <c r="A1776" t="s">
        <v>17</v>
      </c>
      <c r="B1776" t="str">
        <f>"688069"</f>
        <v>688069</v>
      </c>
      <c r="C1776" t="s">
        <v>3872</v>
      </c>
      <c r="D1776" t="s">
        <v>33</v>
      </c>
      <c r="F1776">
        <v>491462653</v>
      </c>
      <c r="G1776">
        <v>491387353</v>
      </c>
      <c r="H1776">
        <v>296879607</v>
      </c>
      <c r="I1776">
        <v>207584959</v>
      </c>
      <c r="J1776">
        <v>118635789</v>
      </c>
      <c r="K1776">
        <v>48090768</v>
      </c>
      <c r="P1776">
        <v>79</v>
      </c>
      <c r="Q1776" t="s">
        <v>3873</v>
      </c>
    </row>
    <row r="1777" spans="1:17" x14ac:dyDescent="0.3">
      <c r="A1777" t="s">
        <v>17</v>
      </c>
      <c r="B1777" t="str">
        <f>"688070"</f>
        <v>688070</v>
      </c>
      <c r="C1777" t="s">
        <v>3874</v>
      </c>
      <c r="D1777" t="s">
        <v>98</v>
      </c>
      <c r="F1777">
        <v>250341078</v>
      </c>
      <c r="G1777">
        <v>271808807</v>
      </c>
      <c r="H1777">
        <v>210760337</v>
      </c>
      <c r="I1777">
        <v>116574331</v>
      </c>
      <c r="J1777">
        <v>103386965</v>
      </c>
      <c r="P1777">
        <v>43</v>
      </c>
      <c r="Q1777" t="s">
        <v>3875</v>
      </c>
    </row>
    <row r="1778" spans="1:17" x14ac:dyDescent="0.3">
      <c r="A1778" t="s">
        <v>17</v>
      </c>
      <c r="B1778" t="str">
        <f>"688071"</f>
        <v>688071</v>
      </c>
      <c r="C1778" t="s">
        <v>3876</v>
      </c>
      <c r="D1778" t="s">
        <v>741</v>
      </c>
      <c r="F1778">
        <v>320700227</v>
      </c>
      <c r="G1778">
        <v>301903233</v>
      </c>
      <c r="H1778">
        <v>295935178</v>
      </c>
      <c r="I1778">
        <v>204501371</v>
      </c>
      <c r="J1778">
        <v>99160288</v>
      </c>
      <c r="P1778">
        <v>28</v>
      </c>
      <c r="Q1778" t="s">
        <v>3877</v>
      </c>
    </row>
    <row r="1779" spans="1:17" x14ac:dyDescent="0.3">
      <c r="A1779" t="s">
        <v>17</v>
      </c>
      <c r="B1779" t="str">
        <f>"688072"</f>
        <v>688072</v>
      </c>
      <c r="C1779" t="s">
        <v>3878</v>
      </c>
      <c r="F1779">
        <v>757960880</v>
      </c>
      <c r="G1779">
        <v>435627676</v>
      </c>
      <c r="H1779">
        <v>251251547</v>
      </c>
      <c r="I1779">
        <v>70644027</v>
      </c>
      <c r="P1779">
        <v>5</v>
      </c>
      <c r="Q1779" t="s">
        <v>3879</v>
      </c>
    </row>
    <row r="1780" spans="1:17" x14ac:dyDescent="0.3">
      <c r="A1780" t="s">
        <v>17</v>
      </c>
      <c r="B1780" t="str">
        <f>"688075"</f>
        <v>688075</v>
      </c>
      <c r="C1780" t="s">
        <v>3880</v>
      </c>
      <c r="D1780" t="s">
        <v>1305</v>
      </c>
      <c r="F1780">
        <v>1589279102</v>
      </c>
      <c r="G1780">
        <v>1199766026</v>
      </c>
      <c r="H1780">
        <v>209802275</v>
      </c>
      <c r="I1780">
        <v>163733123</v>
      </c>
      <c r="J1780">
        <v>110996258</v>
      </c>
      <c r="P1780">
        <v>37</v>
      </c>
      <c r="Q1780" t="s">
        <v>3881</v>
      </c>
    </row>
    <row r="1781" spans="1:17" x14ac:dyDescent="0.3">
      <c r="A1781" t="s">
        <v>17</v>
      </c>
      <c r="B1781" t="str">
        <f>"688076"</f>
        <v>688076</v>
      </c>
      <c r="C1781" t="s">
        <v>3882</v>
      </c>
      <c r="D1781" t="s">
        <v>1461</v>
      </c>
      <c r="F1781">
        <v>643869464</v>
      </c>
      <c r="G1781">
        <v>566872462</v>
      </c>
      <c r="H1781">
        <v>371530570</v>
      </c>
      <c r="I1781">
        <v>255527351</v>
      </c>
      <c r="J1781">
        <v>228867459</v>
      </c>
      <c r="P1781">
        <v>53</v>
      </c>
      <c r="Q1781" t="s">
        <v>3883</v>
      </c>
    </row>
    <row r="1782" spans="1:17" x14ac:dyDescent="0.3">
      <c r="A1782" t="s">
        <v>17</v>
      </c>
      <c r="B1782" t="str">
        <f>"688077"</f>
        <v>688077</v>
      </c>
      <c r="C1782" t="s">
        <v>3884</v>
      </c>
      <c r="D1782" t="s">
        <v>808</v>
      </c>
      <c r="F1782">
        <v>1654565278</v>
      </c>
      <c r="G1782">
        <v>782160958</v>
      </c>
      <c r="H1782">
        <v>630951036</v>
      </c>
      <c r="I1782">
        <v>585598210</v>
      </c>
      <c r="J1782">
        <v>480499808</v>
      </c>
      <c r="K1782">
        <v>334103654</v>
      </c>
      <c r="P1782">
        <v>78</v>
      </c>
      <c r="Q1782" t="s">
        <v>3885</v>
      </c>
    </row>
    <row r="1783" spans="1:17" x14ac:dyDescent="0.3">
      <c r="A1783" t="s">
        <v>17</v>
      </c>
      <c r="B1783" t="str">
        <f>"688078"</f>
        <v>688078</v>
      </c>
      <c r="C1783" t="s">
        <v>3886</v>
      </c>
      <c r="D1783" t="s">
        <v>1189</v>
      </c>
      <c r="F1783">
        <v>290867095</v>
      </c>
      <c r="G1783">
        <v>197641738</v>
      </c>
      <c r="H1783">
        <v>154339974</v>
      </c>
      <c r="I1783">
        <v>125477376</v>
      </c>
      <c r="J1783">
        <v>107269037</v>
      </c>
      <c r="K1783">
        <v>79334866</v>
      </c>
      <c r="P1783">
        <v>83</v>
      </c>
      <c r="Q1783" t="s">
        <v>3887</v>
      </c>
    </row>
    <row r="1784" spans="1:17" x14ac:dyDescent="0.3">
      <c r="A1784" t="s">
        <v>17</v>
      </c>
      <c r="B1784" t="str">
        <f>"688079"</f>
        <v>688079</v>
      </c>
      <c r="C1784" t="s">
        <v>3888</v>
      </c>
      <c r="D1784" t="s">
        <v>164</v>
      </c>
      <c r="F1784">
        <v>439467117</v>
      </c>
      <c r="G1784">
        <v>422552308</v>
      </c>
      <c r="H1784">
        <v>304001935</v>
      </c>
      <c r="I1784">
        <v>334302220</v>
      </c>
      <c r="J1784">
        <v>204858545</v>
      </c>
      <c r="P1784">
        <v>36</v>
      </c>
      <c r="Q1784" t="s">
        <v>3889</v>
      </c>
    </row>
    <row r="1785" spans="1:17" x14ac:dyDescent="0.3">
      <c r="A1785" t="s">
        <v>17</v>
      </c>
      <c r="B1785" t="str">
        <f>"688080"</f>
        <v>688080</v>
      </c>
      <c r="C1785" t="s">
        <v>3890</v>
      </c>
      <c r="D1785" t="s">
        <v>595</v>
      </c>
      <c r="F1785">
        <v>449539752</v>
      </c>
      <c r="G1785">
        <v>310813765</v>
      </c>
      <c r="H1785">
        <v>296652507</v>
      </c>
      <c r="I1785">
        <v>276433248</v>
      </c>
      <c r="J1785">
        <v>229225922</v>
      </c>
      <c r="K1785">
        <v>144599859</v>
      </c>
      <c r="P1785">
        <v>87</v>
      </c>
      <c r="Q1785" t="s">
        <v>3891</v>
      </c>
    </row>
    <row r="1786" spans="1:17" x14ac:dyDescent="0.3">
      <c r="A1786" t="s">
        <v>17</v>
      </c>
      <c r="B1786" t="str">
        <f>"688081"</f>
        <v>688081</v>
      </c>
      <c r="C1786" t="s">
        <v>3892</v>
      </c>
      <c r="D1786" t="s">
        <v>1136</v>
      </c>
      <c r="F1786">
        <v>156650242</v>
      </c>
      <c r="G1786">
        <v>192675899</v>
      </c>
      <c r="H1786">
        <v>200371609</v>
      </c>
      <c r="I1786">
        <v>198136403</v>
      </c>
      <c r="J1786">
        <v>148844836</v>
      </c>
      <c r="K1786">
        <v>79554649</v>
      </c>
      <c r="P1786">
        <v>55</v>
      </c>
      <c r="Q1786" t="s">
        <v>3893</v>
      </c>
    </row>
    <row r="1787" spans="1:17" x14ac:dyDescent="0.3">
      <c r="A1787" t="s">
        <v>17</v>
      </c>
      <c r="B1787" t="str">
        <f>"688082"</f>
        <v>688082</v>
      </c>
      <c r="C1787" t="s">
        <v>3894</v>
      </c>
      <c r="D1787" t="s">
        <v>3187</v>
      </c>
      <c r="F1787">
        <v>1620869142</v>
      </c>
      <c r="G1787">
        <v>1007471810</v>
      </c>
      <c r="H1787">
        <v>756732957</v>
      </c>
      <c r="I1787">
        <v>550269056</v>
      </c>
      <c r="J1787">
        <v>253587250</v>
      </c>
      <c r="P1787">
        <v>35</v>
      </c>
      <c r="Q1787" t="s">
        <v>3895</v>
      </c>
    </row>
    <row r="1788" spans="1:17" x14ac:dyDescent="0.3">
      <c r="A1788" t="s">
        <v>17</v>
      </c>
      <c r="B1788" t="str">
        <f>"688083"</f>
        <v>688083</v>
      </c>
      <c r="C1788" t="s">
        <v>3896</v>
      </c>
      <c r="D1788" t="s">
        <v>945</v>
      </c>
      <c r="F1788">
        <v>618680713</v>
      </c>
      <c r="G1788">
        <v>456090102</v>
      </c>
      <c r="H1788">
        <v>361077958</v>
      </c>
      <c r="I1788">
        <v>255030802</v>
      </c>
      <c r="J1788">
        <v>183874205</v>
      </c>
      <c r="P1788">
        <v>130</v>
      </c>
      <c r="Q1788" t="s">
        <v>3897</v>
      </c>
    </row>
    <row r="1789" spans="1:17" x14ac:dyDescent="0.3">
      <c r="A1789" t="s">
        <v>17</v>
      </c>
      <c r="B1789" t="str">
        <f>"688085"</f>
        <v>688085</v>
      </c>
      <c r="C1789" t="s">
        <v>3898</v>
      </c>
      <c r="D1789" t="s">
        <v>1077</v>
      </c>
      <c r="F1789">
        <v>593359316</v>
      </c>
      <c r="G1789">
        <v>390432506</v>
      </c>
      <c r="H1789">
        <v>354319330</v>
      </c>
      <c r="I1789">
        <v>222312864</v>
      </c>
      <c r="J1789">
        <v>139969162</v>
      </c>
      <c r="K1789">
        <v>75286130</v>
      </c>
      <c r="P1789">
        <v>196</v>
      </c>
      <c r="Q1789" t="s">
        <v>3899</v>
      </c>
    </row>
    <row r="1790" spans="1:17" x14ac:dyDescent="0.3">
      <c r="A1790" t="s">
        <v>17</v>
      </c>
      <c r="B1790" t="str">
        <f>"688086"</f>
        <v>688086</v>
      </c>
      <c r="C1790" t="s">
        <v>3900</v>
      </c>
      <c r="D1790" t="s">
        <v>236</v>
      </c>
      <c r="F1790">
        <v>457935840</v>
      </c>
      <c r="G1790">
        <v>562628550</v>
      </c>
      <c r="H1790">
        <v>516332148</v>
      </c>
      <c r="I1790">
        <v>401596347</v>
      </c>
      <c r="J1790">
        <v>312924894</v>
      </c>
      <c r="K1790">
        <v>149384343</v>
      </c>
      <c r="P1790">
        <v>84</v>
      </c>
      <c r="Q1790" t="s">
        <v>3901</v>
      </c>
    </row>
    <row r="1791" spans="1:17" x14ac:dyDescent="0.3">
      <c r="A1791" t="s">
        <v>17</v>
      </c>
      <c r="B1791" t="str">
        <f>"688087"</f>
        <v>688087</v>
      </c>
      <c r="C1791" t="s">
        <v>3902</v>
      </c>
      <c r="D1791" t="s">
        <v>1192</v>
      </c>
      <c r="F1791">
        <v>1990054055</v>
      </c>
      <c r="G1791">
        <v>1698929482</v>
      </c>
      <c r="H1791">
        <v>1273001355</v>
      </c>
      <c r="I1791">
        <v>1174966112</v>
      </c>
      <c r="J1791">
        <v>1016567228</v>
      </c>
      <c r="P1791">
        <v>36</v>
      </c>
      <c r="Q1791" t="s">
        <v>3903</v>
      </c>
    </row>
    <row r="1792" spans="1:17" x14ac:dyDescent="0.3">
      <c r="A1792" t="s">
        <v>17</v>
      </c>
      <c r="B1792" t="str">
        <f>"688088"</f>
        <v>688088</v>
      </c>
      <c r="C1792" t="s">
        <v>3904</v>
      </c>
      <c r="D1792" t="s">
        <v>316</v>
      </c>
      <c r="F1792">
        <v>573024553</v>
      </c>
      <c r="G1792">
        <v>683186583</v>
      </c>
      <c r="H1792">
        <v>564477016</v>
      </c>
      <c r="I1792">
        <v>458071270</v>
      </c>
      <c r="J1792">
        <v>345924002</v>
      </c>
      <c r="K1792">
        <v>261001120</v>
      </c>
      <c r="P1792">
        <v>271</v>
      </c>
      <c r="Q1792" t="s">
        <v>3905</v>
      </c>
    </row>
    <row r="1793" spans="1:17" x14ac:dyDescent="0.3">
      <c r="A1793" t="s">
        <v>17</v>
      </c>
      <c r="B1793" t="str">
        <f>"688089"</f>
        <v>688089</v>
      </c>
      <c r="C1793" t="s">
        <v>3906</v>
      </c>
      <c r="D1793" t="s">
        <v>677</v>
      </c>
      <c r="F1793">
        <v>351109348</v>
      </c>
      <c r="G1793">
        <v>323460669</v>
      </c>
      <c r="H1793">
        <v>311547812</v>
      </c>
      <c r="I1793">
        <v>286105571</v>
      </c>
      <c r="J1793">
        <v>228559195</v>
      </c>
      <c r="K1793">
        <v>189803141</v>
      </c>
      <c r="P1793">
        <v>150</v>
      </c>
      <c r="Q1793" t="s">
        <v>3907</v>
      </c>
    </row>
    <row r="1794" spans="1:17" x14ac:dyDescent="0.3">
      <c r="A1794" t="s">
        <v>17</v>
      </c>
      <c r="B1794" t="str">
        <f>"688090"</f>
        <v>688090</v>
      </c>
      <c r="C1794" t="s">
        <v>3908</v>
      </c>
      <c r="D1794" t="s">
        <v>2938</v>
      </c>
      <c r="F1794">
        <v>955857058</v>
      </c>
      <c r="G1794">
        <v>798906310</v>
      </c>
      <c r="H1794">
        <v>730714062</v>
      </c>
      <c r="I1794">
        <v>736377534</v>
      </c>
      <c r="J1794">
        <v>705103790</v>
      </c>
      <c r="K1794">
        <v>654903337</v>
      </c>
      <c r="P1794">
        <v>63</v>
      </c>
      <c r="Q1794" t="s">
        <v>3909</v>
      </c>
    </row>
    <row r="1795" spans="1:17" x14ac:dyDescent="0.3">
      <c r="A1795" t="s">
        <v>17</v>
      </c>
      <c r="B1795" t="str">
        <f>"688091"</f>
        <v>688091</v>
      </c>
      <c r="C1795" t="s">
        <v>3910</v>
      </c>
      <c r="D1795" t="s">
        <v>143</v>
      </c>
      <c r="F1795">
        <v>4077536</v>
      </c>
      <c r="P1795">
        <v>14</v>
      </c>
      <c r="Q1795" t="s">
        <v>3911</v>
      </c>
    </row>
    <row r="1796" spans="1:17" x14ac:dyDescent="0.3">
      <c r="A1796" t="s">
        <v>17</v>
      </c>
      <c r="B1796" t="str">
        <f>"688092"</f>
        <v>688092</v>
      </c>
      <c r="C1796" t="s">
        <v>3912</v>
      </c>
      <c r="D1796" t="s">
        <v>741</v>
      </c>
      <c r="F1796">
        <v>318828667</v>
      </c>
      <c r="G1796">
        <v>222569617</v>
      </c>
      <c r="H1796">
        <v>211191013</v>
      </c>
      <c r="I1796">
        <v>206210162</v>
      </c>
      <c r="J1796">
        <v>176488101</v>
      </c>
      <c r="P1796">
        <v>29</v>
      </c>
      <c r="Q1796" t="s">
        <v>3913</v>
      </c>
    </row>
    <row r="1797" spans="1:17" x14ac:dyDescent="0.3">
      <c r="A1797" t="s">
        <v>17</v>
      </c>
      <c r="B1797" t="str">
        <f>"688093"</f>
        <v>688093</v>
      </c>
      <c r="C1797" t="s">
        <v>3914</v>
      </c>
      <c r="D1797" t="s">
        <v>651</v>
      </c>
      <c r="F1797">
        <v>425404856</v>
      </c>
      <c r="G1797">
        <v>328956029</v>
      </c>
      <c r="H1797">
        <v>240988957</v>
      </c>
      <c r="I1797">
        <v>256190124</v>
      </c>
      <c r="J1797">
        <v>233789994</v>
      </c>
      <c r="P1797">
        <v>59</v>
      </c>
      <c r="Q1797" t="s">
        <v>3915</v>
      </c>
    </row>
    <row r="1798" spans="1:17" x14ac:dyDescent="0.3">
      <c r="A1798" t="s">
        <v>17</v>
      </c>
      <c r="B1798" t="str">
        <f>"688095"</f>
        <v>688095</v>
      </c>
      <c r="C1798" t="s">
        <v>3916</v>
      </c>
      <c r="D1798" t="s">
        <v>1189</v>
      </c>
      <c r="F1798">
        <v>541121312</v>
      </c>
      <c r="G1798">
        <v>468603962</v>
      </c>
      <c r="H1798">
        <v>368954743</v>
      </c>
      <c r="I1798">
        <v>280887367</v>
      </c>
      <c r="J1798">
        <v>220657687</v>
      </c>
      <c r="K1798">
        <v>176634542</v>
      </c>
      <c r="P1798">
        <v>141</v>
      </c>
      <c r="Q1798" t="s">
        <v>3917</v>
      </c>
    </row>
    <row r="1799" spans="1:17" x14ac:dyDescent="0.3">
      <c r="A1799" t="s">
        <v>17</v>
      </c>
      <c r="B1799" t="str">
        <f>"688096"</f>
        <v>688096</v>
      </c>
      <c r="C1799" t="s">
        <v>3918</v>
      </c>
      <c r="D1799" t="s">
        <v>33</v>
      </c>
      <c r="F1799">
        <v>422112445</v>
      </c>
      <c r="G1799">
        <v>351790745</v>
      </c>
      <c r="H1799">
        <v>323904684</v>
      </c>
      <c r="I1799">
        <v>253221774</v>
      </c>
      <c r="J1799">
        <v>166041438</v>
      </c>
      <c r="K1799">
        <v>96718241</v>
      </c>
      <c r="P1799">
        <v>73</v>
      </c>
      <c r="Q1799" t="s">
        <v>3919</v>
      </c>
    </row>
    <row r="1800" spans="1:17" x14ac:dyDescent="0.3">
      <c r="A1800" t="s">
        <v>17</v>
      </c>
      <c r="B1800" t="str">
        <f>"688097"</f>
        <v>688097</v>
      </c>
      <c r="C1800" t="s">
        <v>3920</v>
      </c>
      <c r="D1800" t="s">
        <v>3477</v>
      </c>
      <c r="F1800">
        <v>3827081643</v>
      </c>
      <c r="G1800">
        <v>2596884881</v>
      </c>
      <c r="H1800">
        <v>2110506735</v>
      </c>
      <c r="I1800">
        <v>2517512859</v>
      </c>
      <c r="J1800">
        <v>1991365328</v>
      </c>
      <c r="K1800">
        <v>1550304633</v>
      </c>
      <c r="P1800">
        <v>25</v>
      </c>
      <c r="Q1800" t="s">
        <v>3921</v>
      </c>
    </row>
    <row r="1801" spans="1:17" x14ac:dyDescent="0.3">
      <c r="A1801" t="s">
        <v>17</v>
      </c>
      <c r="B1801" t="str">
        <f>"688098"</f>
        <v>688098</v>
      </c>
      <c r="C1801" t="s">
        <v>3922</v>
      </c>
      <c r="D1801" t="s">
        <v>453</v>
      </c>
      <c r="F1801">
        <v>358429249</v>
      </c>
      <c r="G1801">
        <v>337732401</v>
      </c>
      <c r="H1801">
        <v>253809330</v>
      </c>
      <c r="I1801">
        <v>275137415</v>
      </c>
      <c r="J1801">
        <v>302075997</v>
      </c>
      <c r="K1801">
        <v>267705441</v>
      </c>
      <c r="P1801">
        <v>73</v>
      </c>
      <c r="Q1801" t="s">
        <v>3923</v>
      </c>
    </row>
    <row r="1802" spans="1:17" x14ac:dyDescent="0.3">
      <c r="A1802" t="s">
        <v>17</v>
      </c>
      <c r="B1802" t="str">
        <f>"688099"</f>
        <v>688099</v>
      </c>
      <c r="C1802" t="s">
        <v>3924</v>
      </c>
      <c r="D1802" t="s">
        <v>461</v>
      </c>
      <c r="F1802">
        <v>4777074913</v>
      </c>
      <c r="G1802">
        <v>2738253324</v>
      </c>
      <c r="H1802">
        <v>2357733387</v>
      </c>
      <c r="I1802">
        <v>2369069435</v>
      </c>
      <c r="J1802">
        <v>1690487574</v>
      </c>
      <c r="K1802">
        <v>1149533183</v>
      </c>
      <c r="P1802">
        <v>299</v>
      </c>
      <c r="Q1802" t="s">
        <v>3925</v>
      </c>
    </row>
    <row r="1803" spans="1:17" x14ac:dyDescent="0.3">
      <c r="A1803" t="s">
        <v>17</v>
      </c>
      <c r="B1803" t="str">
        <f>"688100"</f>
        <v>688100</v>
      </c>
      <c r="C1803" t="s">
        <v>3926</v>
      </c>
      <c r="D1803" t="s">
        <v>786</v>
      </c>
      <c r="F1803">
        <v>1825624440</v>
      </c>
      <c r="G1803">
        <v>1448590818</v>
      </c>
      <c r="H1803">
        <v>1244051734</v>
      </c>
      <c r="I1803">
        <v>1038641006</v>
      </c>
      <c r="J1803">
        <v>995093404</v>
      </c>
      <c r="K1803">
        <v>680314336</v>
      </c>
      <c r="P1803">
        <v>103</v>
      </c>
      <c r="Q1803" t="s">
        <v>3927</v>
      </c>
    </row>
    <row r="1804" spans="1:17" x14ac:dyDescent="0.3">
      <c r="A1804" t="s">
        <v>17</v>
      </c>
      <c r="B1804" t="str">
        <f>"688101"</f>
        <v>688101</v>
      </c>
      <c r="C1804" t="s">
        <v>3928</v>
      </c>
      <c r="D1804" t="s">
        <v>33</v>
      </c>
      <c r="F1804">
        <v>1150709067</v>
      </c>
      <c r="G1804">
        <v>876447101</v>
      </c>
      <c r="H1804">
        <v>742008731</v>
      </c>
      <c r="I1804">
        <v>589908835</v>
      </c>
      <c r="J1804">
        <v>585941725</v>
      </c>
      <c r="K1804">
        <v>544464674</v>
      </c>
      <c r="P1804">
        <v>77</v>
      </c>
      <c r="Q1804" t="s">
        <v>3929</v>
      </c>
    </row>
    <row r="1805" spans="1:17" x14ac:dyDescent="0.3">
      <c r="A1805" t="s">
        <v>17</v>
      </c>
      <c r="B1805" t="str">
        <f>"688102"</f>
        <v>688102</v>
      </c>
      <c r="C1805" t="s">
        <v>3930</v>
      </c>
      <c r="F1805">
        <v>968292220</v>
      </c>
      <c r="G1805">
        <v>680671776</v>
      </c>
      <c r="H1805">
        <v>565645728</v>
      </c>
      <c r="I1805">
        <v>491544490</v>
      </c>
      <c r="J1805">
        <v>393067424</v>
      </c>
      <c r="P1805">
        <v>3</v>
      </c>
      <c r="Q1805" t="s">
        <v>3931</v>
      </c>
    </row>
    <row r="1806" spans="1:17" x14ac:dyDescent="0.3">
      <c r="A1806" t="s">
        <v>17</v>
      </c>
      <c r="B1806" t="str">
        <f>"688103"</f>
        <v>688103</v>
      </c>
      <c r="C1806" t="s">
        <v>3932</v>
      </c>
      <c r="D1806" t="s">
        <v>651</v>
      </c>
      <c r="F1806">
        <v>509050299</v>
      </c>
      <c r="G1806">
        <v>404778193</v>
      </c>
      <c r="H1806">
        <v>331848472</v>
      </c>
      <c r="I1806">
        <v>372603414</v>
      </c>
      <c r="J1806">
        <v>414160289</v>
      </c>
      <c r="P1806">
        <v>13</v>
      </c>
      <c r="Q1806" t="s">
        <v>3933</v>
      </c>
    </row>
    <row r="1807" spans="1:17" x14ac:dyDescent="0.3">
      <c r="A1807" t="s">
        <v>17</v>
      </c>
      <c r="B1807" t="str">
        <f>"688105"</f>
        <v>688105</v>
      </c>
      <c r="C1807" t="s">
        <v>3934</v>
      </c>
      <c r="D1807" t="s">
        <v>1305</v>
      </c>
      <c r="F1807">
        <v>1868627293</v>
      </c>
      <c r="G1807">
        <v>1564454262</v>
      </c>
      <c r="H1807">
        <v>268380113</v>
      </c>
      <c r="I1807">
        <v>170804715</v>
      </c>
      <c r="J1807">
        <v>112372334</v>
      </c>
      <c r="P1807">
        <v>51</v>
      </c>
      <c r="Q1807" t="s">
        <v>3935</v>
      </c>
    </row>
    <row r="1808" spans="1:17" x14ac:dyDescent="0.3">
      <c r="A1808" t="s">
        <v>17</v>
      </c>
      <c r="B1808" t="str">
        <f>"688106"</f>
        <v>688106</v>
      </c>
      <c r="C1808" t="s">
        <v>3936</v>
      </c>
      <c r="D1808" t="s">
        <v>2408</v>
      </c>
      <c r="F1808">
        <v>1741293971</v>
      </c>
      <c r="G1808">
        <v>1243342379</v>
      </c>
      <c r="H1808">
        <v>1160577533</v>
      </c>
      <c r="I1808">
        <v>1069793892</v>
      </c>
      <c r="J1808">
        <v>893458344</v>
      </c>
      <c r="K1808">
        <v>654483578</v>
      </c>
      <c r="P1808">
        <v>136</v>
      </c>
      <c r="Q1808" t="s">
        <v>3937</v>
      </c>
    </row>
    <row r="1809" spans="1:17" x14ac:dyDescent="0.3">
      <c r="A1809" t="s">
        <v>17</v>
      </c>
      <c r="B1809" t="str">
        <f>"688107"</f>
        <v>688107</v>
      </c>
      <c r="C1809" t="s">
        <v>3938</v>
      </c>
      <c r="D1809" t="s">
        <v>461</v>
      </c>
      <c r="F1809">
        <v>678520243</v>
      </c>
      <c r="G1809">
        <v>281028944</v>
      </c>
      <c r="H1809">
        <v>122327726</v>
      </c>
      <c r="I1809">
        <v>28520326</v>
      </c>
      <c r="P1809">
        <v>31</v>
      </c>
      <c r="Q1809" t="s">
        <v>3939</v>
      </c>
    </row>
    <row r="1810" spans="1:17" x14ac:dyDescent="0.3">
      <c r="A1810" t="s">
        <v>17</v>
      </c>
      <c r="B1810" t="str">
        <f>"688108"</f>
        <v>688108</v>
      </c>
      <c r="C1810" t="s">
        <v>3940</v>
      </c>
      <c r="D1810" t="s">
        <v>1077</v>
      </c>
      <c r="F1810">
        <v>194356081</v>
      </c>
      <c r="G1810">
        <v>327419972</v>
      </c>
      <c r="H1810">
        <v>435913439</v>
      </c>
      <c r="I1810">
        <v>380422072</v>
      </c>
      <c r="J1810">
        <v>322004652</v>
      </c>
      <c r="K1810">
        <v>265614221</v>
      </c>
      <c r="P1810">
        <v>104</v>
      </c>
      <c r="Q1810" t="s">
        <v>3941</v>
      </c>
    </row>
    <row r="1811" spans="1:17" x14ac:dyDescent="0.3">
      <c r="A1811" t="s">
        <v>17</v>
      </c>
      <c r="B1811" t="str">
        <f>"688109"</f>
        <v>688109</v>
      </c>
      <c r="C1811" t="s">
        <v>3942</v>
      </c>
      <c r="D1811" t="s">
        <v>945</v>
      </c>
      <c r="F1811">
        <v>475495638</v>
      </c>
      <c r="G1811">
        <v>379892485</v>
      </c>
      <c r="H1811">
        <v>282868387</v>
      </c>
      <c r="I1811">
        <v>221522660</v>
      </c>
      <c r="J1811">
        <v>144793486</v>
      </c>
      <c r="P1811">
        <v>72</v>
      </c>
      <c r="Q1811" t="s">
        <v>3943</v>
      </c>
    </row>
    <row r="1812" spans="1:17" x14ac:dyDescent="0.3">
      <c r="A1812" t="s">
        <v>17</v>
      </c>
      <c r="B1812" t="str">
        <f>"688110"</f>
        <v>688110</v>
      </c>
      <c r="C1812" t="s">
        <v>3944</v>
      </c>
      <c r="D1812" t="s">
        <v>461</v>
      </c>
      <c r="F1812">
        <v>1134281270</v>
      </c>
      <c r="G1812">
        <v>784307914</v>
      </c>
      <c r="H1812">
        <v>513608751</v>
      </c>
      <c r="I1812">
        <v>509975477</v>
      </c>
      <c r="J1812">
        <v>358049476</v>
      </c>
      <c r="P1812">
        <v>28</v>
      </c>
      <c r="Q1812" t="s">
        <v>3945</v>
      </c>
    </row>
    <row r="1813" spans="1:17" x14ac:dyDescent="0.3">
      <c r="A1813" t="s">
        <v>17</v>
      </c>
      <c r="B1813" t="str">
        <f>"688111"</f>
        <v>688111</v>
      </c>
      <c r="C1813" t="s">
        <v>3946</v>
      </c>
      <c r="D1813" t="s">
        <v>1189</v>
      </c>
      <c r="F1813">
        <v>3280058758</v>
      </c>
      <c r="G1813">
        <v>2260968393</v>
      </c>
      <c r="H1813">
        <v>1579520610</v>
      </c>
      <c r="I1813">
        <v>1129681138</v>
      </c>
      <c r="J1813">
        <v>753264996</v>
      </c>
      <c r="K1813">
        <v>542522688</v>
      </c>
      <c r="L1813">
        <v>393719200</v>
      </c>
      <c r="P1813">
        <v>964</v>
      </c>
      <c r="Q1813" t="s">
        <v>3947</v>
      </c>
    </row>
    <row r="1814" spans="1:17" x14ac:dyDescent="0.3">
      <c r="A1814" t="s">
        <v>17</v>
      </c>
      <c r="B1814" t="str">
        <f>"688112"</f>
        <v>688112</v>
      </c>
      <c r="C1814" t="s">
        <v>3948</v>
      </c>
      <c r="D1814" t="s">
        <v>2566</v>
      </c>
      <c r="F1814">
        <v>303823156</v>
      </c>
      <c r="G1814">
        <v>220800333</v>
      </c>
      <c r="H1814">
        <v>189549474</v>
      </c>
      <c r="I1814">
        <v>154110086</v>
      </c>
      <c r="J1814">
        <v>122274380</v>
      </c>
      <c r="P1814">
        <v>42</v>
      </c>
      <c r="Q1814" t="s">
        <v>3949</v>
      </c>
    </row>
    <row r="1815" spans="1:17" x14ac:dyDescent="0.3">
      <c r="A1815" t="s">
        <v>17</v>
      </c>
      <c r="B1815" t="str">
        <f>"688113"</f>
        <v>688113</v>
      </c>
      <c r="C1815" t="s">
        <v>3950</v>
      </c>
      <c r="D1815" t="s">
        <v>741</v>
      </c>
      <c r="F1815">
        <v>338918502</v>
      </c>
      <c r="G1815">
        <v>358488505</v>
      </c>
      <c r="H1815">
        <v>315834762</v>
      </c>
      <c r="I1815">
        <v>223416104</v>
      </c>
      <c r="J1815">
        <v>164758180</v>
      </c>
      <c r="P1815">
        <v>40</v>
      </c>
      <c r="Q1815" t="s">
        <v>3951</v>
      </c>
    </row>
    <row r="1816" spans="1:17" x14ac:dyDescent="0.3">
      <c r="A1816" t="s">
        <v>17</v>
      </c>
      <c r="B1816" t="str">
        <f>"688115"</f>
        <v>688115</v>
      </c>
      <c r="C1816" t="s">
        <v>3952</v>
      </c>
      <c r="F1816">
        <v>222245139</v>
      </c>
      <c r="G1816">
        <v>188701598</v>
      </c>
      <c r="H1816">
        <v>118599612</v>
      </c>
      <c r="I1816">
        <v>121364703</v>
      </c>
      <c r="P1816">
        <v>7</v>
      </c>
      <c r="Q1816" t="s">
        <v>3953</v>
      </c>
    </row>
    <row r="1817" spans="1:17" x14ac:dyDescent="0.3">
      <c r="A1817" t="s">
        <v>17</v>
      </c>
      <c r="B1817" t="str">
        <f>"688116"</f>
        <v>688116</v>
      </c>
      <c r="C1817" t="s">
        <v>3954</v>
      </c>
      <c r="D1817" t="s">
        <v>1790</v>
      </c>
      <c r="F1817">
        <v>1319956531</v>
      </c>
      <c r="G1817">
        <v>471946419</v>
      </c>
      <c r="H1817">
        <v>386429983</v>
      </c>
      <c r="I1817">
        <v>327594936</v>
      </c>
      <c r="J1817">
        <v>307956749</v>
      </c>
      <c r="K1817">
        <v>133806948</v>
      </c>
      <c r="P1817">
        <v>197</v>
      </c>
      <c r="Q1817" t="s">
        <v>3955</v>
      </c>
    </row>
    <row r="1818" spans="1:17" x14ac:dyDescent="0.3">
      <c r="A1818" t="s">
        <v>17</v>
      </c>
      <c r="B1818" t="str">
        <f>"688117"</f>
        <v>688117</v>
      </c>
      <c r="C1818" t="s">
        <v>3956</v>
      </c>
      <c r="D1818" t="s">
        <v>143</v>
      </c>
      <c r="F1818">
        <v>386529716</v>
      </c>
      <c r="G1818">
        <v>378771804</v>
      </c>
      <c r="H1818">
        <v>326739092</v>
      </c>
      <c r="I1818">
        <v>277973511</v>
      </c>
      <c r="J1818">
        <v>194453240</v>
      </c>
      <c r="P1818">
        <v>29</v>
      </c>
      <c r="Q1818" t="s">
        <v>3957</v>
      </c>
    </row>
    <row r="1819" spans="1:17" x14ac:dyDescent="0.3">
      <c r="A1819" t="s">
        <v>17</v>
      </c>
      <c r="B1819" t="str">
        <f>"688118"</f>
        <v>688118</v>
      </c>
      <c r="C1819" t="s">
        <v>3958</v>
      </c>
      <c r="D1819" t="s">
        <v>945</v>
      </c>
      <c r="F1819">
        <v>436429259</v>
      </c>
      <c r="G1819">
        <v>360718171</v>
      </c>
      <c r="H1819">
        <v>395978625</v>
      </c>
      <c r="I1819">
        <v>340191647</v>
      </c>
      <c r="J1819">
        <v>317274163</v>
      </c>
      <c r="K1819">
        <v>315370557</v>
      </c>
      <c r="P1819">
        <v>71</v>
      </c>
      <c r="Q1819" t="s">
        <v>3959</v>
      </c>
    </row>
    <row r="1820" spans="1:17" x14ac:dyDescent="0.3">
      <c r="A1820" t="s">
        <v>17</v>
      </c>
      <c r="B1820" t="str">
        <f>"688121"</f>
        <v>688121</v>
      </c>
      <c r="C1820" t="s">
        <v>3960</v>
      </c>
      <c r="D1820" t="s">
        <v>395</v>
      </c>
      <c r="F1820">
        <v>3900886605</v>
      </c>
      <c r="G1820">
        <v>2727506812</v>
      </c>
      <c r="H1820">
        <v>1395037450</v>
      </c>
      <c r="I1820">
        <v>816071672</v>
      </c>
      <c r="J1820">
        <v>688850942</v>
      </c>
      <c r="P1820">
        <v>24</v>
      </c>
      <c r="Q1820" t="s">
        <v>3961</v>
      </c>
    </row>
    <row r="1821" spans="1:17" x14ac:dyDescent="0.3">
      <c r="A1821" t="s">
        <v>17</v>
      </c>
      <c r="B1821" t="str">
        <f>"688122"</f>
        <v>688122</v>
      </c>
      <c r="C1821" t="s">
        <v>3962</v>
      </c>
      <c r="D1821" t="s">
        <v>98</v>
      </c>
      <c r="F1821">
        <v>2927218790</v>
      </c>
      <c r="G1821">
        <v>2112832971</v>
      </c>
      <c r="H1821">
        <v>1446107391</v>
      </c>
      <c r="I1821">
        <v>1088390484</v>
      </c>
      <c r="J1821">
        <v>967331562</v>
      </c>
      <c r="K1821">
        <v>977762607</v>
      </c>
      <c r="P1821">
        <v>307</v>
      </c>
      <c r="Q1821" t="s">
        <v>3963</v>
      </c>
    </row>
    <row r="1822" spans="1:17" x14ac:dyDescent="0.3">
      <c r="A1822" t="s">
        <v>17</v>
      </c>
      <c r="B1822" t="str">
        <f>"688123"</f>
        <v>688123</v>
      </c>
      <c r="C1822" t="s">
        <v>3964</v>
      </c>
      <c r="D1822" t="s">
        <v>461</v>
      </c>
      <c r="F1822">
        <v>544053915</v>
      </c>
      <c r="G1822">
        <v>493852066</v>
      </c>
      <c r="H1822">
        <v>513371896</v>
      </c>
      <c r="I1822">
        <v>432192235</v>
      </c>
      <c r="J1822">
        <v>343857919</v>
      </c>
      <c r="K1822">
        <v>306753673</v>
      </c>
      <c r="P1822">
        <v>163</v>
      </c>
      <c r="Q1822" t="s">
        <v>3965</v>
      </c>
    </row>
    <row r="1823" spans="1:17" x14ac:dyDescent="0.3">
      <c r="A1823" t="s">
        <v>17</v>
      </c>
      <c r="B1823" t="str">
        <f>"688125"</f>
        <v>688125</v>
      </c>
      <c r="C1823" t="s">
        <v>3966</v>
      </c>
      <c r="F1823">
        <v>628113230</v>
      </c>
      <c r="G1823">
        <v>506690271</v>
      </c>
      <c r="H1823">
        <v>362865457</v>
      </c>
      <c r="I1823">
        <v>447848802</v>
      </c>
      <c r="P1823">
        <v>2</v>
      </c>
      <c r="Q1823" t="s">
        <v>3967</v>
      </c>
    </row>
    <row r="1824" spans="1:17" x14ac:dyDescent="0.3">
      <c r="A1824" t="s">
        <v>17</v>
      </c>
      <c r="B1824" t="str">
        <f>"688126"</f>
        <v>688126</v>
      </c>
      <c r="C1824" t="s">
        <v>3968</v>
      </c>
      <c r="D1824" t="s">
        <v>475</v>
      </c>
      <c r="F1824">
        <v>2466832248</v>
      </c>
      <c r="G1824">
        <v>1811277802</v>
      </c>
      <c r="H1824">
        <v>1492509838</v>
      </c>
      <c r="I1824">
        <v>1010445517</v>
      </c>
      <c r="J1824">
        <v>693795945</v>
      </c>
      <c r="K1824">
        <v>270065037</v>
      </c>
      <c r="P1824">
        <v>329</v>
      </c>
      <c r="Q1824" t="s">
        <v>3969</v>
      </c>
    </row>
    <row r="1825" spans="1:17" x14ac:dyDescent="0.3">
      <c r="A1825" t="s">
        <v>17</v>
      </c>
      <c r="B1825" t="str">
        <f>"688127"</f>
        <v>688127</v>
      </c>
      <c r="C1825" t="s">
        <v>3970</v>
      </c>
      <c r="D1825" t="s">
        <v>164</v>
      </c>
      <c r="F1825">
        <v>415483740</v>
      </c>
      <c r="G1825">
        <v>438933263</v>
      </c>
      <c r="H1825">
        <v>334088516</v>
      </c>
      <c r="I1825">
        <v>394661375</v>
      </c>
      <c r="J1825">
        <v>410057778</v>
      </c>
      <c r="K1825">
        <v>166904107</v>
      </c>
      <c r="P1825">
        <v>86</v>
      </c>
      <c r="Q1825" t="s">
        <v>3971</v>
      </c>
    </row>
    <row r="1826" spans="1:17" x14ac:dyDescent="0.3">
      <c r="A1826" t="s">
        <v>17</v>
      </c>
      <c r="B1826" t="str">
        <f>"688128"</f>
        <v>688128</v>
      </c>
      <c r="C1826" t="s">
        <v>3972</v>
      </c>
      <c r="D1826" t="s">
        <v>741</v>
      </c>
      <c r="F1826">
        <v>3407454548</v>
      </c>
      <c r="G1826">
        <v>2519647246</v>
      </c>
      <c r="H1826">
        <v>2752397713</v>
      </c>
      <c r="I1826">
        <v>2597796946</v>
      </c>
      <c r="J1826">
        <v>1942362593</v>
      </c>
      <c r="K1826">
        <v>1581061139</v>
      </c>
      <c r="P1826">
        <v>68</v>
      </c>
      <c r="Q1826" t="s">
        <v>3973</v>
      </c>
    </row>
    <row r="1827" spans="1:17" x14ac:dyDescent="0.3">
      <c r="A1827" t="s">
        <v>17</v>
      </c>
      <c r="B1827" t="str">
        <f>"688129"</f>
        <v>688129</v>
      </c>
      <c r="C1827" t="s">
        <v>3974</v>
      </c>
      <c r="D1827" t="s">
        <v>2585</v>
      </c>
      <c r="F1827">
        <v>493698388</v>
      </c>
      <c r="G1827">
        <v>407989125</v>
      </c>
      <c r="H1827">
        <v>467597639</v>
      </c>
      <c r="I1827">
        <v>458079657</v>
      </c>
      <c r="J1827">
        <v>436619665</v>
      </c>
      <c r="P1827">
        <v>38</v>
      </c>
      <c r="Q1827" t="s">
        <v>3975</v>
      </c>
    </row>
    <row r="1828" spans="1:17" x14ac:dyDescent="0.3">
      <c r="A1828" t="s">
        <v>17</v>
      </c>
      <c r="B1828" t="str">
        <f>"688131"</f>
        <v>688131</v>
      </c>
      <c r="C1828" t="s">
        <v>3976</v>
      </c>
      <c r="D1828" t="s">
        <v>496</v>
      </c>
      <c r="F1828">
        <v>969225560</v>
      </c>
      <c r="G1828">
        <v>635100715</v>
      </c>
      <c r="H1828">
        <v>408969005</v>
      </c>
      <c r="I1828">
        <v>300195129</v>
      </c>
      <c r="J1828">
        <v>173966702</v>
      </c>
      <c r="P1828">
        <v>88</v>
      </c>
      <c r="Q1828" t="s">
        <v>3977</v>
      </c>
    </row>
    <row r="1829" spans="1:17" x14ac:dyDescent="0.3">
      <c r="A1829" t="s">
        <v>17</v>
      </c>
      <c r="B1829" t="str">
        <f>"688133"</f>
        <v>688133</v>
      </c>
      <c r="C1829" t="s">
        <v>3978</v>
      </c>
      <c r="D1829" t="s">
        <v>386</v>
      </c>
      <c r="F1829">
        <v>2164238365</v>
      </c>
      <c r="G1829">
        <v>1384484734</v>
      </c>
      <c r="H1829">
        <v>1144096949</v>
      </c>
      <c r="I1829">
        <v>925611270</v>
      </c>
      <c r="J1829">
        <v>664185800</v>
      </c>
      <c r="K1829">
        <v>408676474</v>
      </c>
      <c r="P1829">
        <v>118</v>
      </c>
      <c r="Q1829" t="s">
        <v>3979</v>
      </c>
    </row>
    <row r="1830" spans="1:17" x14ac:dyDescent="0.3">
      <c r="A1830" t="s">
        <v>17</v>
      </c>
      <c r="B1830" t="str">
        <f>"688135"</f>
        <v>688135</v>
      </c>
      <c r="C1830" t="s">
        <v>3980</v>
      </c>
      <c r="D1830" t="s">
        <v>1180</v>
      </c>
      <c r="F1830">
        <v>391198103</v>
      </c>
      <c r="G1830">
        <v>252825409</v>
      </c>
      <c r="H1830">
        <v>232013366</v>
      </c>
      <c r="I1830">
        <v>138381416</v>
      </c>
      <c r="J1830">
        <v>129320021</v>
      </c>
      <c r="K1830">
        <v>96221139</v>
      </c>
      <c r="P1830">
        <v>87</v>
      </c>
      <c r="Q1830" t="s">
        <v>3981</v>
      </c>
    </row>
    <row r="1831" spans="1:17" x14ac:dyDescent="0.3">
      <c r="A1831" t="s">
        <v>17</v>
      </c>
      <c r="B1831" t="str">
        <f>"688136"</f>
        <v>688136</v>
      </c>
      <c r="C1831" t="s">
        <v>3982</v>
      </c>
      <c r="D1831" t="s">
        <v>1379</v>
      </c>
      <c r="F1831">
        <v>1285171729</v>
      </c>
      <c r="G1831">
        <v>1220289989</v>
      </c>
      <c r="H1831">
        <v>1190766326</v>
      </c>
      <c r="I1831">
        <v>890611692</v>
      </c>
      <c r="J1831">
        <v>615840135</v>
      </c>
      <c r="P1831">
        <v>66</v>
      </c>
      <c r="Q1831" t="s">
        <v>3983</v>
      </c>
    </row>
    <row r="1832" spans="1:17" x14ac:dyDescent="0.3">
      <c r="A1832" t="s">
        <v>17</v>
      </c>
      <c r="B1832" t="str">
        <f>"688138"</f>
        <v>688138</v>
      </c>
      <c r="C1832" t="s">
        <v>3984</v>
      </c>
      <c r="D1832" t="s">
        <v>475</v>
      </c>
      <c r="F1832">
        <v>543912423</v>
      </c>
      <c r="G1832">
        <v>487192557</v>
      </c>
      <c r="H1832">
        <v>479650905</v>
      </c>
      <c r="I1832">
        <v>407364437</v>
      </c>
      <c r="J1832">
        <v>319383652</v>
      </c>
      <c r="K1832">
        <v>314663246</v>
      </c>
      <c r="P1832">
        <v>92</v>
      </c>
      <c r="Q1832" t="s">
        <v>3985</v>
      </c>
    </row>
    <row r="1833" spans="1:17" x14ac:dyDescent="0.3">
      <c r="A1833" t="s">
        <v>17</v>
      </c>
      <c r="B1833" t="str">
        <f>"688139"</f>
        <v>688139</v>
      </c>
      <c r="C1833" t="s">
        <v>3986</v>
      </c>
      <c r="D1833" t="s">
        <v>122</v>
      </c>
      <c r="F1833">
        <v>2125862739</v>
      </c>
      <c r="G1833">
        <v>1402028952</v>
      </c>
      <c r="H1833">
        <v>1012520355</v>
      </c>
      <c r="I1833">
        <v>841668642</v>
      </c>
      <c r="J1833">
        <v>621407509</v>
      </c>
      <c r="K1833">
        <v>481981608</v>
      </c>
      <c r="P1833">
        <v>349</v>
      </c>
      <c r="Q1833" t="s">
        <v>3987</v>
      </c>
    </row>
    <row r="1834" spans="1:17" x14ac:dyDescent="0.3">
      <c r="A1834" t="s">
        <v>17</v>
      </c>
      <c r="B1834" t="str">
        <f>"688148"</f>
        <v>688148</v>
      </c>
      <c r="C1834" t="s">
        <v>3988</v>
      </c>
      <c r="D1834" t="s">
        <v>1790</v>
      </c>
      <c r="F1834">
        <v>2069563236</v>
      </c>
      <c r="G1834">
        <v>992666096</v>
      </c>
      <c r="H1834">
        <v>951142014</v>
      </c>
      <c r="I1834">
        <v>771761908</v>
      </c>
      <c r="J1834">
        <v>191831951</v>
      </c>
      <c r="P1834">
        <v>29</v>
      </c>
      <c r="Q1834" t="s">
        <v>3989</v>
      </c>
    </row>
    <row r="1835" spans="1:17" x14ac:dyDescent="0.3">
      <c r="A1835" t="s">
        <v>17</v>
      </c>
      <c r="B1835" t="str">
        <f>"688150"</f>
        <v>688150</v>
      </c>
      <c r="C1835" t="s">
        <v>3990</v>
      </c>
      <c r="F1835">
        <v>336653887</v>
      </c>
      <c r="G1835">
        <v>274627850</v>
      </c>
      <c r="H1835">
        <v>201798623</v>
      </c>
      <c r="I1835">
        <v>112440379</v>
      </c>
      <c r="P1835">
        <v>4</v>
      </c>
      <c r="Q1835" t="s">
        <v>3991</v>
      </c>
    </row>
    <row r="1836" spans="1:17" x14ac:dyDescent="0.3">
      <c r="A1836" t="s">
        <v>17</v>
      </c>
      <c r="B1836" t="str">
        <f>"688151"</f>
        <v>688151</v>
      </c>
      <c r="C1836" t="s">
        <v>3992</v>
      </c>
      <c r="D1836" t="s">
        <v>428</v>
      </c>
      <c r="F1836">
        <v>1275242617</v>
      </c>
      <c r="G1836">
        <v>835116531</v>
      </c>
      <c r="H1836">
        <v>1647591695</v>
      </c>
      <c r="I1836">
        <v>743421504</v>
      </c>
      <c r="J1836">
        <v>585490117</v>
      </c>
      <c r="P1836">
        <v>13</v>
      </c>
      <c r="Q1836" t="s">
        <v>3993</v>
      </c>
    </row>
    <row r="1837" spans="1:17" x14ac:dyDescent="0.3">
      <c r="A1837" t="s">
        <v>17</v>
      </c>
      <c r="B1837" t="str">
        <f>"688153"</f>
        <v>688153</v>
      </c>
      <c r="C1837" t="s">
        <v>3994</v>
      </c>
      <c r="F1837">
        <v>3508560728</v>
      </c>
      <c r="G1837">
        <v>1810446974</v>
      </c>
      <c r="H1837">
        <v>581422710</v>
      </c>
      <c r="I1837">
        <v>284016281</v>
      </c>
      <c r="P1837">
        <v>8</v>
      </c>
      <c r="Q1837" t="s">
        <v>3995</v>
      </c>
    </row>
    <row r="1838" spans="1:17" x14ac:dyDescent="0.3">
      <c r="A1838" t="s">
        <v>17</v>
      </c>
      <c r="B1838" t="str">
        <f>"688155"</f>
        <v>688155</v>
      </c>
      <c r="C1838" t="s">
        <v>3996</v>
      </c>
      <c r="D1838" t="s">
        <v>3776</v>
      </c>
      <c r="F1838">
        <v>1101981198</v>
      </c>
      <c r="G1838">
        <v>502352353</v>
      </c>
      <c r="H1838">
        <v>364943926</v>
      </c>
      <c r="I1838">
        <v>325257733</v>
      </c>
      <c r="J1838">
        <v>290510173</v>
      </c>
      <c r="K1838">
        <v>178219883</v>
      </c>
      <c r="P1838">
        <v>101</v>
      </c>
      <c r="Q1838" t="s">
        <v>3997</v>
      </c>
    </row>
    <row r="1839" spans="1:17" x14ac:dyDescent="0.3">
      <c r="A1839" t="s">
        <v>17</v>
      </c>
      <c r="B1839" t="str">
        <f>"688156"</f>
        <v>688156</v>
      </c>
      <c r="C1839" t="s">
        <v>3998</v>
      </c>
      <c r="D1839" t="s">
        <v>499</v>
      </c>
      <c r="F1839">
        <v>382000137</v>
      </c>
      <c r="G1839">
        <v>250399502</v>
      </c>
      <c r="H1839">
        <v>303692127</v>
      </c>
      <c r="I1839">
        <v>225401043</v>
      </c>
      <c r="J1839">
        <v>269172078</v>
      </c>
      <c r="K1839">
        <v>122475658</v>
      </c>
      <c r="P1839">
        <v>41</v>
      </c>
      <c r="Q1839" t="s">
        <v>3999</v>
      </c>
    </row>
    <row r="1840" spans="1:17" x14ac:dyDescent="0.3">
      <c r="A1840" t="s">
        <v>17</v>
      </c>
      <c r="B1840" t="str">
        <f>"688157"</f>
        <v>688157</v>
      </c>
      <c r="C1840" t="s">
        <v>4000</v>
      </c>
      <c r="D1840" t="s">
        <v>2585</v>
      </c>
      <c r="F1840">
        <v>508232035</v>
      </c>
      <c r="G1840">
        <v>434926289</v>
      </c>
      <c r="H1840">
        <v>455138283</v>
      </c>
      <c r="I1840">
        <v>262232748</v>
      </c>
      <c r="J1840">
        <v>187399078</v>
      </c>
      <c r="K1840">
        <v>157175809</v>
      </c>
      <c r="P1840">
        <v>100</v>
      </c>
      <c r="Q1840" t="s">
        <v>4001</v>
      </c>
    </row>
    <row r="1841" spans="1:17" x14ac:dyDescent="0.3">
      <c r="A1841" t="s">
        <v>17</v>
      </c>
      <c r="B1841" t="str">
        <f>"688158"</f>
        <v>688158</v>
      </c>
      <c r="C1841" t="s">
        <v>4002</v>
      </c>
      <c r="D1841" t="s">
        <v>316</v>
      </c>
      <c r="F1841">
        <v>2901247268</v>
      </c>
      <c r="G1841">
        <v>2455134254</v>
      </c>
      <c r="H1841">
        <v>1514917638</v>
      </c>
      <c r="I1841">
        <v>1187433238</v>
      </c>
      <c r="J1841">
        <v>839799653</v>
      </c>
      <c r="K1841">
        <v>516468366</v>
      </c>
      <c r="P1841">
        <v>104</v>
      </c>
      <c r="Q1841" t="s">
        <v>4003</v>
      </c>
    </row>
    <row r="1842" spans="1:17" x14ac:dyDescent="0.3">
      <c r="A1842" t="s">
        <v>17</v>
      </c>
      <c r="B1842" t="str">
        <f>"688159"</f>
        <v>688159</v>
      </c>
      <c r="C1842" t="s">
        <v>4004</v>
      </c>
      <c r="D1842" t="s">
        <v>786</v>
      </c>
      <c r="F1842">
        <v>1024558179</v>
      </c>
      <c r="G1842">
        <v>573615812</v>
      </c>
      <c r="H1842">
        <v>782167255</v>
      </c>
      <c r="I1842">
        <v>557135551</v>
      </c>
      <c r="J1842">
        <v>498969250</v>
      </c>
      <c r="K1842">
        <v>328037547</v>
      </c>
      <c r="P1842">
        <v>93</v>
      </c>
      <c r="Q1842" t="s">
        <v>4005</v>
      </c>
    </row>
    <row r="1843" spans="1:17" x14ac:dyDescent="0.3">
      <c r="A1843" t="s">
        <v>17</v>
      </c>
      <c r="B1843" t="str">
        <f>"688160"</f>
        <v>688160</v>
      </c>
      <c r="C1843" t="s">
        <v>4006</v>
      </c>
      <c r="D1843" t="s">
        <v>2432</v>
      </c>
      <c r="F1843">
        <v>537326398</v>
      </c>
      <c r="G1843">
        <v>434089679</v>
      </c>
      <c r="H1843">
        <v>345323564</v>
      </c>
      <c r="I1843">
        <v>319028513</v>
      </c>
      <c r="J1843">
        <v>308261270</v>
      </c>
      <c r="K1843">
        <v>236554727</v>
      </c>
      <c r="P1843">
        <v>44</v>
      </c>
      <c r="Q1843" t="s">
        <v>4007</v>
      </c>
    </row>
    <row r="1844" spans="1:17" x14ac:dyDescent="0.3">
      <c r="A1844" t="s">
        <v>17</v>
      </c>
      <c r="B1844" t="str">
        <f>"688161"</f>
        <v>688161</v>
      </c>
      <c r="C1844" t="s">
        <v>4008</v>
      </c>
      <c r="D1844" t="s">
        <v>1077</v>
      </c>
      <c r="F1844">
        <v>2153547035</v>
      </c>
      <c r="G1844">
        <v>1823776334</v>
      </c>
      <c r="H1844">
        <v>1574008097</v>
      </c>
      <c r="I1844">
        <v>1211182161</v>
      </c>
      <c r="J1844">
        <v>905700351</v>
      </c>
      <c r="P1844">
        <v>101</v>
      </c>
      <c r="Q1844" t="s">
        <v>4009</v>
      </c>
    </row>
    <row r="1845" spans="1:17" x14ac:dyDescent="0.3">
      <c r="A1845" t="s">
        <v>17</v>
      </c>
      <c r="B1845" t="str">
        <f>"688162"</f>
        <v>688162</v>
      </c>
      <c r="C1845" t="s">
        <v>4010</v>
      </c>
      <c r="D1845" t="s">
        <v>348</v>
      </c>
      <c r="F1845">
        <v>2122797043</v>
      </c>
      <c r="G1845">
        <v>1494289504</v>
      </c>
      <c r="H1845">
        <v>1431935803</v>
      </c>
      <c r="I1845">
        <v>1260592895</v>
      </c>
      <c r="J1845">
        <v>1225260343</v>
      </c>
      <c r="P1845">
        <v>31</v>
      </c>
      <c r="Q1845" t="s">
        <v>4011</v>
      </c>
    </row>
    <row r="1846" spans="1:17" x14ac:dyDescent="0.3">
      <c r="A1846" t="s">
        <v>17</v>
      </c>
      <c r="B1846" t="str">
        <f>"688163"</f>
        <v>688163</v>
      </c>
      <c r="C1846" t="s">
        <v>4012</v>
      </c>
      <c r="F1846">
        <v>208693627</v>
      </c>
      <c r="G1846">
        <v>185562793</v>
      </c>
      <c r="H1846">
        <v>188097076</v>
      </c>
      <c r="I1846">
        <v>144330936</v>
      </c>
      <c r="J1846">
        <v>119881339</v>
      </c>
      <c r="P1846">
        <v>12</v>
      </c>
      <c r="Q1846" t="s">
        <v>4013</v>
      </c>
    </row>
    <row r="1847" spans="1:17" x14ac:dyDescent="0.3">
      <c r="A1847" t="s">
        <v>17</v>
      </c>
      <c r="B1847" t="str">
        <f>"688165"</f>
        <v>688165</v>
      </c>
      <c r="C1847" t="s">
        <v>4014</v>
      </c>
      <c r="D1847" t="s">
        <v>2938</v>
      </c>
      <c r="F1847">
        <v>1147089656</v>
      </c>
      <c r="G1847">
        <v>1133583829</v>
      </c>
      <c r="H1847">
        <v>1267797557</v>
      </c>
      <c r="I1847">
        <v>1313599637</v>
      </c>
      <c r="J1847">
        <v>781841333</v>
      </c>
      <c r="K1847">
        <v>503700329</v>
      </c>
      <c r="P1847">
        <v>64</v>
      </c>
      <c r="Q1847" t="s">
        <v>4015</v>
      </c>
    </row>
    <row r="1848" spans="1:17" x14ac:dyDescent="0.3">
      <c r="A1848" t="s">
        <v>17</v>
      </c>
      <c r="B1848" t="str">
        <f>"688166"</f>
        <v>688166</v>
      </c>
      <c r="C1848" t="s">
        <v>4016</v>
      </c>
      <c r="D1848" t="s">
        <v>143</v>
      </c>
      <c r="F1848">
        <v>1052408591</v>
      </c>
      <c r="G1848">
        <v>785382729</v>
      </c>
      <c r="H1848">
        <v>503156657</v>
      </c>
      <c r="I1848">
        <v>407503283</v>
      </c>
      <c r="J1848">
        <v>316770479</v>
      </c>
      <c r="K1848">
        <v>200924791</v>
      </c>
      <c r="P1848">
        <v>192</v>
      </c>
      <c r="Q1848" t="s">
        <v>4017</v>
      </c>
    </row>
    <row r="1849" spans="1:17" x14ac:dyDescent="0.3">
      <c r="A1849" t="s">
        <v>17</v>
      </c>
      <c r="B1849" t="str">
        <f>"688167"</f>
        <v>688167</v>
      </c>
      <c r="C1849" t="s">
        <v>4018</v>
      </c>
      <c r="D1849" t="s">
        <v>3811</v>
      </c>
      <c r="F1849">
        <v>475804602</v>
      </c>
      <c r="G1849">
        <v>359877804</v>
      </c>
      <c r="H1849">
        <v>334983008</v>
      </c>
      <c r="I1849">
        <v>354809585</v>
      </c>
      <c r="J1849">
        <v>263583875</v>
      </c>
      <c r="P1849">
        <v>32</v>
      </c>
      <c r="Q1849" t="s">
        <v>4019</v>
      </c>
    </row>
    <row r="1850" spans="1:17" x14ac:dyDescent="0.3">
      <c r="A1850" t="s">
        <v>17</v>
      </c>
      <c r="B1850" t="str">
        <f>"688168"</f>
        <v>688168</v>
      </c>
      <c r="C1850" t="s">
        <v>4020</v>
      </c>
      <c r="D1850" t="s">
        <v>1189</v>
      </c>
      <c r="F1850">
        <v>391422907</v>
      </c>
      <c r="G1850">
        <v>262835661</v>
      </c>
      <c r="H1850">
        <v>248731760</v>
      </c>
      <c r="I1850">
        <v>195346549</v>
      </c>
      <c r="J1850">
        <v>150756322</v>
      </c>
      <c r="K1850">
        <v>106337547</v>
      </c>
      <c r="P1850">
        <v>144</v>
      </c>
      <c r="Q1850" t="s">
        <v>4021</v>
      </c>
    </row>
    <row r="1851" spans="1:17" x14ac:dyDescent="0.3">
      <c r="A1851" t="s">
        <v>17</v>
      </c>
      <c r="B1851" t="str">
        <f>"688169"</f>
        <v>688169</v>
      </c>
      <c r="C1851" t="s">
        <v>4022</v>
      </c>
      <c r="D1851" t="s">
        <v>2720</v>
      </c>
      <c r="F1851">
        <v>5837051346</v>
      </c>
      <c r="G1851">
        <v>4530438736</v>
      </c>
      <c r="H1851">
        <v>4204901983</v>
      </c>
      <c r="I1851">
        <v>3051250421</v>
      </c>
      <c r="J1851">
        <v>1118817593</v>
      </c>
      <c r="K1851">
        <v>183127015</v>
      </c>
      <c r="P1851">
        <v>758</v>
      </c>
      <c r="Q1851" t="s">
        <v>4023</v>
      </c>
    </row>
    <row r="1852" spans="1:17" x14ac:dyDescent="0.3">
      <c r="A1852" t="s">
        <v>17</v>
      </c>
      <c r="B1852" t="str">
        <f>"688170"</f>
        <v>688170</v>
      </c>
      <c r="C1852" t="s">
        <v>4024</v>
      </c>
      <c r="F1852">
        <v>549316370</v>
      </c>
      <c r="G1852">
        <v>419082725</v>
      </c>
      <c r="H1852">
        <v>352956884</v>
      </c>
      <c r="I1852">
        <v>322675736</v>
      </c>
      <c r="P1852">
        <v>2</v>
      </c>
      <c r="Q1852" t="s">
        <v>4025</v>
      </c>
    </row>
    <row r="1853" spans="1:17" x14ac:dyDescent="0.3">
      <c r="A1853" t="s">
        <v>17</v>
      </c>
      <c r="B1853" t="str">
        <f>"688171"</f>
        <v>688171</v>
      </c>
      <c r="C1853" t="s">
        <v>4026</v>
      </c>
      <c r="F1853">
        <v>177561052</v>
      </c>
      <c r="G1853">
        <v>135898858</v>
      </c>
      <c r="H1853">
        <v>122388713</v>
      </c>
      <c r="I1853">
        <v>82329579</v>
      </c>
      <c r="J1853">
        <v>47971840</v>
      </c>
      <c r="P1853">
        <v>12</v>
      </c>
      <c r="Q1853" t="s">
        <v>4027</v>
      </c>
    </row>
    <row r="1854" spans="1:17" x14ac:dyDescent="0.3">
      <c r="A1854" t="s">
        <v>17</v>
      </c>
      <c r="B1854" t="str">
        <f>"688173"</f>
        <v>688173</v>
      </c>
      <c r="C1854" t="s">
        <v>4028</v>
      </c>
      <c r="F1854">
        <v>462902081</v>
      </c>
      <c r="G1854">
        <v>228388614</v>
      </c>
      <c r="H1854">
        <v>115318873</v>
      </c>
      <c r="I1854">
        <v>68163241</v>
      </c>
      <c r="P1854">
        <v>11</v>
      </c>
      <c r="Q1854" t="s">
        <v>4029</v>
      </c>
    </row>
    <row r="1855" spans="1:17" x14ac:dyDescent="0.3">
      <c r="A1855" t="s">
        <v>17</v>
      </c>
      <c r="B1855" t="str">
        <f>"688175"</f>
        <v>688175</v>
      </c>
      <c r="C1855" t="s">
        <v>4030</v>
      </c>
      <c r="F1855">
        <v>495249997</v>
      </c>
      <c r="G1855">
        <v>397578619</v>
      </c>
      <c r="H1855">
        <v>252143549</v>
      </c>
      <c r="I1855">
        <v>175443742</v>
      </c>
      <c r="P1855">
        <v>3</v>
      </c>
      <c r="Q1855" t="s">
        <v>4031</v>
      </c>
    </row>
    <row r="1856" spans="1:17" x14ac:dyDescent="0.3">
      <c r="A1856" t="s">
        <v>17</v>
      </c>
      <c r="B1856" t="str">
        <f>"688176"</f>
        <v>688176</v>
      </c>
      <c r="C1856" t="s">
        <v>4032</v>
      </c>
      <c r="D1856" t="s">
        <v>143</v>
      </c>
      <c r="F1856">
        <v>4575</v>
      </c>
      <c r="P1856">
        <v>9</v>
      </c>
      <c r="Q1856" t="s">
        <v>4033</v>
      </c>
    </row>
    <row r="1857" spans="1:17" x14ac:dyDescent="0.3">
      <c r="A1857" t="s">
        <v>17</v>
      </c>
      <c r="B1857" t="str">
        <f>"688177"</f>
        <v>688177</v>
      </c>
      <c r="C1857" t="s">
        <v>4034</v>
      </c>
      <c r="D1857" t="s">
        <v>1379</v>
      </c>
      <c r="F1857">
        <v>836578621</v>
      </c>
      <c r="G1857">
        <v>184989902</v>
      </c>
      <c r="H1857">
        <v>700000</v>
      </c>
      <c r="J1857">
        <v>2008900</v>
      </c>
      <c r="K1857">
        <v>2763660</v>
      </c>
      <c r="P1857">
        <v>98</v>
      </c>
      <c r="Q1857" t="s">
        <v>4035</v>
      </c>
    </row>
    <row r="1858" spans="1:17" x14ac:dyDescent="0.3">
      <c r="A1858" t="s">
        <v>17</v>
      </c>
      <c r="B1858" t="str">
        <f>"688178"</f>
        <v>688178</v>
      </c>
      <c r="C1858" t="s">
        <v>4036</v>
      </c>
      <c r="D1858" t="s">
        <v>33</v>
      </c>
      <c r="F1858">
        <v>1047475552</v>
      </c>
      <c r="G1858">
        <v>797607373</v>
      </c>
      <c r="H1858">
        <v>773768428</v>
      </c>
      <c r="I1858">
        <v>492564222</v>
      </c>
      <c r="J1858">
        <v>282546367</v>
      </c>
      <c r="K1858">
        <v>146357591</v>
      </c>
      <c r="P1858">
        <v>69</v>
      </c>
      <c r="Q1858" t="s">
        <v>4037</v>
      </c>
    </row>
    <row r="1859" spans="1:17" x14ac:dyDescent="0.3">
      <c r="A1859" t="s">
        <v>17</v>
      </c>
      <c r="B1859" t="str">
        <f>"688179"</f>
        <v>688179</v>
      </c>
      <c r="C1859" t="s">
        <v>4038</v>
      </c>
      <c r="D1859" t="s">
        <v>386</v>
      </c>
      <c r="F1859">
        <v>287661275</v>
      </c>
      <c r="G1859">
        <v>234220218</v>
      </c>
      <c r="H1859">
        <v>209603356</v>
      </c>
      <c r="I1859">
        <v>166290304</v>
      </c>
      <c r="J1859">
        <v>126496696</v>
      </c>
      <c r="K1859">
        <v>105620322</v>
      </c>
      <c r="P1859">
        <v>156</v>
      </c>
      <c r="Q1859" t="s">
        <v>4039</v>
      </c>
    </row>
    <row r="1860" spans="1:17" x14ac:dyDescent="0.3">
      <c r="A1860" t="s">
        <v>17</v>
      </c>
      <c r="B1860" t="str">
        <f>"688180"</f>
        <v>688180</v>
      </c>
      <c r="C1860" t="s">
        <v>4040</v>
      </c>
      <c r="D1860" t="s">
        <v>1379</v>
      </c>
      <c r="F1860">
        <v>4024840879</v>
      </c>
      <c r="G1860">
        <v>1594896564</v>
      </c>
      <c r="H1860">
        <v>775089154</v>
      </c>
      <c r="I1860">
        <v>2927574</v>
      </c>
      <c r="J1860">
        <v>54499849</v>
      </c>
      <c r="K1860">
        <v>5939067</v>
      </c>
      <c r="P1860">
        <v>206</v>
      </c>
      <c r="Q1860" t="s">
        <v>4041</v>
      </c>
    </row>
    <row r="1861" spans="1:17" x14ac:dyDescent="0.3">
      <c r="A1861" t="s">
        <v>17</v>
      </c>
      <c r="B1861" t="str">
        <f>"688181"</f>
        <v>688181</v>
      </c>
      <c r="C1861" t="s">
        <v>4042</v>
      </c>
      <c r="D1861" t="s">
        <v>1117</v>
      </c>
      <c r="F1861">
        <v>886783858</v>
      </c>
      <c r="G1861">
        <v>648683829</v>
      </c>
      <c r="H1861">
        <v>430411467</v>
      </c>
      <c r="I1861">
        <v>394032422</v>
      </c>
      <c r="J1861">
        <v>230753949</v>
      </c>
      <c r="K1861">
        <v>132508692</v>
      </c>
      <c r="P1861">
        <v>108</v>
      </c>
      <c r="Q1861" t="s">
        <v>4043</v>
      </c>
    </row>
    <row r="1862" spans="1:17" x14ac:dyDescent="0.3">
      <c r="A1862" t="s">
        <v>17</v>
      </c>
      <c r="B1862" t="str">
        <f>"688182"</f>
        <v>688182</v>
      </c>
      <c r="C1862" t="s">
        <v>4044</v>
      </c>
      <c r="D1862" t="s">
        <v>1019</v>
      </c>
      <c r="F1862">
        <v>333582986</v>
      </c>
      <c r="G1862">
        <v>1042108102</v>
      </c>
      <c r="H1862">
        <v>1408410146</v>
      </c>
      <c r="I1862">
        <v>271218645</v>
      </c>
      <c r="J1862">
        <v>120446747</v>
      </c>
      <c r="P1862">
        <v>17</v>
      </c>
      <c r="Q1862" t="s">
        <v>4045</v>
      </c>
    </row>
    <row r="1863" spans="1:17" x14ac:dyDescent="0.3">
      <c r="A1863" t="s">
        <v>17</v>
      </c>
      <c r="B1863" t="str">
        <f>"688183"</f>
        <v>688183</v>
      </c>
      <c r="C1863" t="s">
        <v>4046</v>
      </c>
      <c r="D1863" t="s">
        <v>425</v>
      </c>
      <c r="F1863">
        <v>3647394628</v>
      </c>
      <c r="G1863">
        <v>3633501933</v>
      </c>
      <c r="H1863">
        <v>3096245837</v>
      </c>
      <c r="I1863">
        <v>2053524707</v>
      </c>
      <c r="J1863">
        <v>1711259975</v>
      </c>
      <c r="P1863">
        <v>41</v>
      </c>
      <c r="Q1863" t="s">
        <v>4047</v>
      </c>
    </row>
    <row r="1864" spans="1:17" x14ac:dyDescent="0.3">
      <c r="A1864" t="s">
        <v>17</v>
      </c>
      <c r="B1864" t="str">
        <f>"688185"</f>
        <v>688185</v>
      </c>
      <c r="C1864" t="s">
        <v>4048</v>
      </c>
      <c r="D1864" t="s">
        <v>1499</v>
      </c>
      <c r="F1864">
        <v>4299702000</v>
      </c>
      <c r="G1864">
        <v>24890414</v>
      </c>
      <c r="H1864">
        <v>2283392</v>
      </c>
      <c r="I1864">
        <v>2811897</v>
      </c>
      <c r="J1864">
        <v>187166</v>
      </c>
      <c r="K1864">
        <v>154667</v>
      </c>
      <c r="P1864">
        <v>266</v>
      </c>
      <c r="Q1864" t="s">
        <v>4049</v>
      </c>
    </row>
    <row r="1865" spans="1:17" x14ac:dyDescent="0.3">
      <c r="A1865" t="s">
        <v>17</v>
      </c>
      <c r="B1865" t="str">
        <f>"688186"</f>
        <v>688186</v>
      </c>
      <c r="C1865" t="s">
        <v>4050</v>
      </c>
      <c r="D1865" t="s">
        <v>281</v>
      </c>
      <c r="F1865">
        <v>2737280294</v>
      </c>
      <c r="G1865">
        <v>1810337765</v>
      </c>
      <c r="H1865">
        <v>1588297775</v>
      </c>
      <c r="I1865">
        <v>1507468884</v>
      </c>
      <c r="J1865">
        <v>1126631120</v>
      </c>
      <c r="K1865">
        <v>870677725</v>
      </c>
      <c r="P1865">
        <v>110</v>
      </c>
      <c r="Q1865" t="s">
        <v>4051</v>
      </c>
    </row>
    <row r="1866" spans="1:17" x14ac:dyDescent="0.3">
      <c r="A1866" t="s">
        <v>17</v>
      </c>
      <c r="B1866" t="str">
        <f>"688187"</f>
        <v>688187</v>
      </c>
      <c r="C1866" t="s">
        <v>4052</v>
      </c>
      <c r="D1866" t="s">
        <v>1012</v>
      </c>
      <c r="F1866">
        <v>15121167406</v>
      </c>
      <c r="G1866">
        <v>16033898624</v>
      </c>
      <c r="H1866">
        <v>16304206791</v>
      </c>
      <c r="I1866">
        <v>15657900734</v>
      </c>
      <c r="J1866">
        <v>15143709348</v>
      </c>
      <c r="P1866">
        <v>59</v>
      </c>
      <c r="Q1866" t="s">
        <v>4053</v>
      </c>
    </row>
    <row r="1867" spans="1:17" x14ac:dyDescent="0.3">
      <c r="A1867" t="s">
        <v>17</v>
      </c>
      <c r="B1867" t="str">
        <f>"688188"</f>
        <v>688188</v>
      </c>
      <c r="C1867" t="s">
        <v>4054</v>
      </c>
      <c r="D1867" t="s">
        <v>236</v>
      </c>
      <c r="F1867">
        <v>913439701</v>
      </c>
      <c r="G1867">
        <v>570829250</v>
      </c>
      <c r="H1867">
        <v>376070956</v>
      </c>
      <c r="I1867">
        <v>245264063</v>
      </c>
      <c r="J1867">
        <v>210378378</v>
      </c>
      <c r="K1867">
        <v>122203296</v>
      </c>
      <c r="P1867">
        <v>365</v>
      </c>
      <c r="Q1867" t="s">
        <v>4055</v>
      </c>
    </row>
    <row r="1868" spans="1:17" x14ac:dyDescent="0.3">
      <c r="A1868" t="s">
        <v>17</v>
      </c>
      <c r="B1868" t="str">
        <f>"688189"</f>
        <v>688189</v>
      </c>
      <c r="C1868" t="s">
        <v>4056</v>
      </c>
      <c r="D1868" t="s">
        <v>143</v>
      </c>
      <c r="F1868">
        <v>684683935</v>
      </c>
      <c r="G1868">
        <v>1088117032</v>
      </c>
      <c r="H1868">
        <v>1014222982</v>
      </c>
      <c r="I1868">
        <v>700520677</v>
      </c>
      <c r="J1868">
        <v>347517547</v>
      </c>
      <c r="K1868">
        <v>278195746</v>
      </c>
      <c r="P1868">
        <v>97</v>
      </c>
      <c r="Q1868" t="s">
        <v>4057</v>
      </c>
    </row>
    <row r="1869" spans="1:17" x14ac:dyDescent="0.3">
      <c r="A1869" t="s">
        <v>17</v>
      </c>
      <c r="B1869" t="str">
        <f>"688190"</f>
        <v>688190</v>
      </c>
      <c r="C1869" t="s">
        <v>4058</v>
      </c>
      <c r="D1869" t="s">
        <v>581</v>
      </c>
      <c r="F1869">
        <v>935745824</v>
      </c>
      <c r="G1869">
        <v>715279640</v>
      </c>
      <c r="H1869">
        <v>699562703</v>
      </c>
      <c r="I1869">
        <v>734986896</v>
      </c>
      <c r="P1869">
        <v>15</v>
      </c>
      <c r="Q1869" t="s">
        <v>4059</v>
      </c>
    </row>
    <row r="1870" spans="1:17" x14ac:dyDescent="0.3">
      <c r="A1870" t="s">
        <v>17</v>
      </c>
      <c r="B1870" t="str">
        <f>"688191"</f>
        <v>688191</v>
      </c>
      <c r="C1870" t="s">
        <v>4060</v>
      </c>
      <c r="D1870" t="s">
        <v>610</v>
      </c>
      <c r="F1870">
        <v>656019014</v>
      </c>
      <c r="G1870">
        <v>502233259</v>
      </c>
      <c r="H1870">
        <v>328541519</v>
      </c>
      <c r="I1870">
        <v>219371240</v>
      </c>
      <c r="J1870">
        <v>136791496</v>
      </c>
      <c r="P1870">
        <v>56</v>
      </c>
      <c r="Q1870" t="s">
        <v>4061</v>
      </c>
    </row>
    <row r="1871" spans="1:17" x14ac:dyDescent="0.3">
      <c r="A1871" t="s">
        <v>17</v>
      </c>
      <c r="B1871" t="str">
        <f>"688192"</f>
        <v>688192</v>
      </c>
      <c r="C1871" t="s">
        <v>4062</v>
      </c>
      <c r="D1871" t="s">
        <v>143</v>
      </c>
      <c r="F1871">
        <v>10285450</v>
      </c>
      <c r="G1871">
        <v>27760807</v>
      </c>
      <c r="H1871">
        <v>41017538</v>
      </c>
      <c r="I1871">
        <v>39419174</v>
      </c>
      <c r="P1871">
        <v>11</v>
      </c>
      <c r="Q1871" t="s">
        <v>4063</v>
      </c>
    </row>
    <row r="1872" spans="1:17" x14ac:dyDescent="0.3">
      <c r="A1872" t="s">
        <v>17</v>
      </c>
      <c r="B1872" t="str">
        <f>"688193"</f>
        <v>688193</v>
      </c>
      <c r="C1872" t="s">
        <v>4064</v>
      </c>
      <c r="F1872">
        <v>292306247</v>
      </c>
      <c r="G1872">
        <v>249903354</v>
      </c>
      <c r="H1872">
        <v>99168053</v>
      </c>
      <c r="I1872">
        <v>69343387</v>
      </c>
      <c r="P1872">
        <v>2</v>
      </c>
      <c r="Q1872" t="s">
        <v>4065</v>
      </c>
    </row>
    <row r="1873" spans="1:17" x14ac:dyDescent="0.3">
      <c r="A1873" t="s">
        <v>17</v>
      </c>
      <c r="B1873" t="str">
        <f>"688195"</f>
        <v>688195</v>
      </c>
      <c r="C1873" t="s">
        <v>4066</v>
      </c>
      <c r="D1873" t="s">
        <v>164</v>
      </c>
      <c r="F1873">
        <v>302749828</v>
      </c>
      <c r="G1873">
        <v>269250053</v>
      </c>
      <c r="H1873">
        <v>179025928</v>
      </c>
      <c r="I1873">
        <v>126328215</v>
      </c>
      <c r="J1873">
        <v>83011343</v>
      </c>
      <c r="P1873">
        <v>41</v>
      </c>
      <c r="Q1873" t="s">
        <v>4067</v>
      </c>
    </row>
    <row r="1874" spans="1:17" x14ac:dyDescent="0.3">
      <c r="A1874" t="s">
        <v>17</v>
      </c>
      <c r="B1874" t="str">
        <f>"688196"</f>
        <v>688196</v>
      </c>
      <c r="C1874" t="s">
        <v>4068</v>
      </c>
      <c r="D1874" t="s">
        <v>386</v>
      </c>
      <c r="F1874">
        <v>3083491987</v>
      </c>
      <c r="G1874">
        <v>1598397938</v>
      </c>
      <c r="H1874">
        <v>1294528038</v>
      </c>
      <c r="I1874">
        <v>1017535995</v>
      </c>
      <c r="J1874">
        <v>872876985</v>
      </c>
      <c r="K1874">
        <v>465820005</v>
      </c>
      <c r="P1874">
        <v>188</v>
      </c>
      <c r="Q1874" t="s">
        <v>4069</v>
      </c>
    </row>
    <row r="1875" spans="1:17" x14ac:dyDescent="0.3">
      <c r="A1875" t="s">
        <v>17</v>
      </c>
      <c r="B1875" t="str">
        <f>"688197"</f>
        <v>688197</v>
      </c>
      <c r="C1875" t="s">
        <v>4070</v>
      </c>
      <c r="F1875">
        <v>13032547</v>
      </c>
      <c r="G1875">
        <v>7019098</v>
      </c>
      <c r="H1875">
        <v>11547608</v>
      </c>
      <c r="I1875">
        <v>19976044</v>
      </c>
      <c r="J1875">
        <v>31056324</v>
      </c>
      <c r="P1875">
        <v>3</v>
      </c>
      <c r="Q1875" t="s">
        <v>4071</v>
      </c>
    </row>
    <row r="1876" spans="1:17" x14ac:dyDescent="0.3">
      <c r="A1876" t="s">
        <v>17</v>
      </c>
      <c r="B1876" t="str">
        <f>"688198"</f>
        <v>688198</v>
      </c>
      <c r="C1876" t="s">
        <v>4072</v>
      </c>
      <c r="D1876" t="s">
        <v>1077</v>
      </c>
      <c r="F1876">
        <v>251817559</v>
      </c>
      <c r="G1876">
        <v>181917903</v>
      </c>
      <c r="H1876">
        <v>146033297</v>
      </c>
      <c r="I1876">
        <v>110648032</v>
      </c>
      <c r="J1876">
        <v>92347144</v>
      </c>
      <c r="K1876">
        <v>78459946</v>
      </c>
      <c r="P1876">
        <v>190</v>
      </c>
      <c r="Q1876" t="s">
        <v>4073</v>
      </c>
    </row>
    <row r="1877" spans="1:17" x14ac:dyDescent="0.3">
      <c r="A1877" t="s">
        <v>17</v>
      </c>
      <c r="B1877" t="str">
        <f>"688199"</f>
        <v>688199</v>
      </c>
      <c r="C1877" t="s">
        <v>4074</v>
      </c>
      <c r="D1877" t="s">
        <v>386</v>
      </c>
      <c r="F1877">
        <v>1252459155</v>
      </c>
      <c r="G1877">
        <v>1011418016</v>
      </c>
      <c r="H1877">
        <v>1334866139</v>
      </c>
      <c r="I1877">
        <v>1005158805</v>
      </c>
      <c r="J1877">
        <v>739779615</v>
      </c>
      <c r="K1877">
        <v>638590337</v>
      </c>
      <c r="P1877">
        <v>94</v>
      </c>
      <c r="Q1877" t="s">
        <v>4075</v>
      </c>
    </row>
    <row r="1878" spans="1:17" x14ac:dyDescent="0.3">
      <c r="A1878" t="s">
        <v>17</v>
      </c>
      <c r="B1878" t="str">
        <f>"688200"</f>
        <v>688200</v>
      </c>
      <c r="C1878" t="s">
        <v>4076</v>
      </c>
      <c r="D1878" t="s">
        <v>3187</v>
      </c>
      <c r="F1878">
        <v>878269296</v>
      </c>
      <c r="G1878">
        <v>397484397</v>
      </c>
      <c r="H1878">
        <v>254610663</v>
      </c>
      <c r="I1878">
        <v>218676733</v>
      </c>
      <c r="J1878">
        <v>148573035</v>
      </c>
      <c r="K1878">
        <v>111937474</v>
      </c>
      <c r="P1878">
        <v>291</v>
      </c>
      <c r="Q1878" t="s">
        <v>4077</v>
      </c>
    </row>
    <row r="1879" spans="1:17" x14ac:dyDescent="0.3">
      <c r="A1879" t="s">
        <v>17</v>
      </c>
      <c r="B1879" t="str">
        <f>"688201"</f>
        <v>688201</v>
      </c>
      <c r="C1879" t="s">
        <v>4078</v>
      </c>
      <c r="D1879" t="s">
        <v>1189</v>
      </c>
      <c r="F1879">
        <v>524604415</v>
      </c>
      <c r="G1879">
        <v>417983877</v>
      </c>
      <c r="H1879">
        <v>317839042</v>
      </c>
      <c r="I1879">
        <v>269341504</v>
      </c>
      <c r="J1879">
        <v>220441342</v>
      </c>
      <c r="P1879">
        <v>62</v>
      </c>
      <c r="Q1879" t="s">
        <v>4079</v>
      </c>
    </row>
    <row r="1880" spans="1:17" x14ac:dyDescent="0.3">
      <c r="A1880" t="s">
        <v>17</v>
      </c>
      <c r="B1880" t="str">
        <f>"688202"</f>
        <v>688202</v>
      </c>
      <c r="C1880" t="s">
        <v>4080</v>
      </c>
      <c r="D1880" t="s">
        <v>1461</v>
      </c>
      <c r="F1880">
        <v>1167261648</v>
      </c>
      <c r="G1880">
        <v>665955932</v>
      </c>
      <c r="H1880">
        <v>449392826</v>
      </c>
      <c r="I1880">
        <v>324936936</v>
      </c>
      <c r="J1880">
        <v>249274771</v>
      </c>
      <c r="K1880">
        <v>232322650</v>
      </c>
      <c r="P1880">
        <v>381</v>
      </c>
      <c r="Q1880" t="s">
        <v>4081</v>
      </c>
    </row>
    <row r="1881" spans="1:17" x14ac:dyDescent="0.3">
      <c r="A1881" t="s">
        <v>17</v>
      </c>
      <c r="B1881" t="str">
        <f>"688206"</f>
        <v>688206</v>
      </c>
      <c r="C1881" t="s">
        <v>4082</v>
      </c>
      <c r="D1881" t="s">
        <v>3187</v>
      </c>
      <c r="F1881">
        <v>193868563</v>
      </c>
      <c r="G1881">
        <v>137483160</v>
      </c>
      <c r="H1881">
        <v>65486597</v>
      </c>
      <c r="I1881">
        <v>51948648</v>
      </c>
      <c r="P1881">
        <v>26</v>
      </c>
      <c r="Q1881" t="s">
        <v>4083</v>
      </c>
    </row>
    <row r="1882" spans="1:17" x14ac:dyDescent="0.3">
      <c r="A1882" t="s">
        <v>17</v>
      </c>
      <c r="B1882" t="str">
        <f>"688207"</f>
        <v>688207</v>
      </c>
      <c r="C1882" t="s">
        <v>4084</v>
      </c>
      <c r="F1882">
        <v>293562254</v>
      </c>
      <c r="G1882">
        <v>242715565</v>
      </c>
      <c r="H1882">
        <v>71210700</v>
      </c>
      <c r="I1882">
        <v>51963543</v>
      </c>
      <c r="P1882">
        <v>7</v>
      </c>
      <c r="Q1882" t="s">
        <v>4085</v>
      </c>
    </row>
    <row r="1883" spans="1:17" x14ac:dyDescent="0.3">
      <c r="A1883" t="s">
        <v>17</v>
      </c>
      <c r="B1883" t="str">
        <f>"688208"</f>
        <v>688208</v>
      </c>
      <c r="C1883" t="s">
        <v>4086</v>
      </c>
      <c r="D1883" t="s">
        <v>236</v>
      </c>
      <c r="F1883">
        <v>2253712739</v>
      </c>
      <c r="G1883">
        <v>1577775104</v>
      </c>
      <c r="H1883">
        <v>1195799595</v>
      </c>
      <c r="I1883">
        <v>900254636</v>
      </c>
      <c r="J1883">
        <v>721623204</v>
      </c>
      <c r="K1883">
        <v>584642211</v>
      </c>
      <c r="P1883">
        <v>222</v>
      </c>
      <c r="Q1883" t="s">
        <v>4087</v>
      </c>
    </row>
    <row r="1884" spans="1:17" x14ac:dyDescent="0.3">
      <c r="A1884" t="s">
        <v>17</v>
      </c>
      <c r="B1884" t="str">
        <f>"688209"</f>
        <v>688209</v>
      </c>
      <c r="C1884" t="s">
        <v>4088</v>
      </c>
      <c r="F1884">
        <v>780718305</v>
      </c>
      <c r="G1884">
        <v>389268975</v>
      </c>
      <c r="H1884">
        <v>348047007</v>
      </c>
      <c r="I1884">
        <v>216676680</v>
      </c>
      <c r="P1884">
        <v>5</v>
      </c>
      <c r="Q1884" t="s">
        <v>4089</v>
      </c>
    </row>
    <row r="1885" spans="1:17" x14ac:dyDescent="0.3">
      <c r="A1885" t="s">
        <v>17</v>
      </c>
      <c r="B1885" t="str">
        <f>"688210"</f>
        <v>688210</v>
      </c>
      <c r="C1885" t="s">
        <v>4090</v>
      </c>
      <c r="D1885" t="s">
        <v>313</v>
      </c>
      <c r="F1885">
        <v>354533625</v>
      </c>
      <c r="G1885">
        <v>336310403</v>
      </c>
      <c r="H1885">
        <v>206221324</v>
      </c>
      <c r="I1885">
        <v>128483811</v>
      </c>
      <c r="J1885">
        <v>26168132</v>
      </c>
      <c r="P1885">
        <v>9</v>
      </c>
      <c r="Q1885" t="s">
        <v>4091</v>
      </c>
    </row>
    <row r="1886" spans="1:17" x14ac:dyDescent="0.3">
      <c r="A1886" t="s">
        <v>17</v>
      </c>
      <c r="B1886" t="str">
        <f>"688211"</f>
        <v>688211</v>
      </c>
      <c r="C1886" t="s">
        <v>4092</v>
      </c>
      <c r="D1886" t="s">
        <v>741</v>
      </c>
      <c r="F1886">
        <v>2209625669</v>
      </c>
      <c r="G1886">
        <v>1204415341</v>
      </c>
      <c r="H1886">
        <v>750714015</v>
      </c>
      <c r="I1886">
        <v>324504044</v>
      </c>
      <c r="J1886">
        <v>152666351</v>
      </c>
      <c r="P1886">
        <v>27</v>
      </c>
      <c r="Q1886" t="s">
        <v>4093</v>
      </c>
    </row>
    <row r="1887" spans="1:17" x14ac:dyDescent="0.3">
      <c r="A1887" t="s">
        <v>17</v>
      </c>
      <c r="B1887" t="str">
        <f>"688212"</f>
        <v>688212</v>
      </c>
      <c r="C1887" t="s">
        <v>4094</v>
      </c>
      <c r="D1887" t="s">
        <v>122</v>
      </c>
      <c r="F1887">
        <v>347053598</v>
      </c>
      <c r="G1887">
        <v>263279013</v>
      </c>
      <c r="H1887">
        <v>297754520</v>
      </c>
      <c r="I1887">
        <v>155501140</v>
      </c>
      <c r="J1887">
        <v>130175380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"688213"</f>
        <v>688213</v>
      </c>
      <c r="C1888" t="s">
        <v>4096</v>
      </c>
      <c r="F1888">
        <v>2689327872</v>
      </c>
      <c r="G1888">
        <v>1527181505</v>
      </c>
      <c r="H1888">
        <v>679154976</v>
      </c>
      <c r="I1888">
        <v>324631155</v>
      </c>
      <c r="Q1888" t="s">
        <v>4097</v>
      </c>
    </row>
    <row r="1889" spans="1:17" x14ac:dyDescent="0.3">
      <c r="A1889" t="s">
        <v>17</v>
      </c>
      <c r="B1889" t="str">
        <f>"688215"</f>
        <v>688215</v>
      </c>
      <c r="C1889" t="s">
        <v>4098</v>
      </c>
      <c r="D1889" t="s">
        <v>3477</v>
      </c>
      <c r="F1889">
        <v>199818307</v>
      </c>
      <c r="G1889">
        <v>133397698</v>
      </c>
      <c r="H1889">
        <v>246898113</v>
      </c>
      <c r="I1889">
        <v>166806761</v>
      </c>
      <c r="J1889">
        <v>97981860</v>
      </c>
      <c r="K1889">
        <v>63212956</v>
      </c>
      <c r="P1889">
        <v>62</v>
      </c>
      <c r="Q1889" t="s">
        <v>4099</v>
      </c>
    </row>
    <row r="1890" spans="1:17" x14ac:dyDescent="0.3">
      <c r="A1890" t="s">
        <v>17</v>
      </c>
      <c r="B1890" t="str">
        <f>"688216"</f>
        <v>688216</v>
      </c>
      <c r="C1890" t="s">
        <v>4100</v>
      </c>
      <c r="D1890" t="s">
        <v>1180</v>
      </c>
      <c r="F1890">
        <v>809363651</v>
      </c>
      <c r="G1890">
        <v>548004477</v>
      </c>
      <c r="H1890">
        <v>414468603</v>
      </c>
      <c r="I1890">
        <v>378960168</v>
      </c>
      <c r="J1890">
        <v>399252411</v>
      </c>
      <c r="P1890">
        <v>26</v>
      </c>
      <c r="Q1890" t="s">
        <v>4101</v>
      </c>
    </row>
    <row r="1891" spans="1:17" x14ac:dyDescent="0.3">
      <c r="A1891" t="s">
        <v>17</v>
      </c>
      <c r="B1891" t="str">
        <f>"688217"</f>
        <v>688217</v>
      </c>
      <c r="C1891" t="s">
        <v>4102</v>
      </c>
      <c r="D1891" t="s">
        <v>1305</v>
      </c>
      <c r="F1891">
        <v>290951595</v>
      </c>
      <c r="G1891">
        <v>284925966</v>
      </c>
      <c r="H1891">
        <v>255479024</v>
      </c>
      <c r="I1891">
        <v>224443332</v>
      </c>
      <c r="J1891">
        <v>172318043</v>
      </c>
      <c r="P1891">
        <v>31</v>
      </c>
      <c r="Q1891" t="s">
        <v>4103</v>
      </c>
    </row>
    <row r="1892" spans="1:17" x14ac:dyDescent="0.3">
      <c r="A1892" t="s">
        <v>17</v>
      </c>
      <c r="B1892" t="str">
        <f>"688218"</f>
        <v>688218</v>
      </c>
      <c r="C1892" t="s">
        <v>4104</v>
      </c>
      <c r="D1892" t="s">
        <v>2938</v>
      </c>
      <c r="F1892">
        <v>587427408</v>
      </c>
      <c r="G1892">
        <v>472872171</v>
      </c>
      <c r="H1892">
        <v>473130750</v>
      </c>
      <c r="I1892">
        <v>412624545</v>
      </c>
      <c r="J1892">
        <v>250842306</v>
      </c>
      <c r="K1892">
        <v>182758806</v>
      </c>
      <c r="P1892">
        <v>47</v>
      </c>
      <c r="Q1892" t="s">
        <v>4105</v>
      </c>
    </row>
    <row r="1893" spans="1:17" x14ac:dyDescent="0.3">
      <c r="A1893" t="s">
        <v>17</v>
      </c>
      <c r="B1893" t="str">
        <f>"688219"</f>
        <v>688219</v>
      </c>
      <c r="C1893" t="s">
        <v>4106</v>
      </c>
      <c r="D1893" t="s">
        <v>341</v>
      </c>
      <c r="F1893">
        <v>4900932921</v>
      </c>
      <c r="G1893">
        <v>4123746991</v>
      </c>
      <c r="H1893">
        <v>4031472798</v>
      </c>
      <c r="I1893">
        <v>1885776335</v>
      </c>
      <c r="J1893">
        <v>1702270573</v>
      </c>
      <c r="P1893">
        <v>50</v>
      </c>
      <c r="Q1893" t="s">
        <v>4107</v>
      </c>
    </row>
    <row r="1894" spans="1:17" x14ac:dyDescent="0.3">
      <c r="A1894" t="s">
        <v>17</v>
      </c>
      <c r="B1894" t="str">
        <f>"688220"</f>
        <v>688220</v>
      </c>
      <c r="C1894" t="s">
        <v>4108</v>
      </c>
      <c r="D1894" t="s">
        <v>401</v>
      </c>
      <c r="F1894">
        <v>2136894881</v>
      </c>
      <c r="G1894">
        <v>1080958138</v>
      </c>
      <c r="H1894">
        <v>397941604</v>
      </c>
      <c r="I1894">
        <v>115391108</v>
      </c>
      <c r="J1894">
        <v>84233452</v>
      </c>
      <c r="P1894">
        <v>19</v>
      </c>
      <c r="Q1894" t="s">
        <v>4109</v>
      </c>
    </row>
    <row r="1895" spans="1:17" x14ac:dyDescent="0.3">
      <c r="A1895" t="s">
        <v>17</v>
      </c>
      <c r="B1895" t="str">
        <f>"688221"</f>
        <v>688221</v>
      </c>
      <c r="C1895" t="s">
        <v>4110</v>
      </c>
      <c r="D1895" t="s">
        <v>143</v>
      </c>
      <c r="F1895">
        <v>40502898</v>
      </c>
      <c r="G1895">
        <v>46622753</v>
      </c>
      <c r="H1895">
        <v>20860023</v>
      </c>
      <c r="I1895">
        <v>1911054</v>
      </c>
      <c r="P1895">
        <v>51</v>
      </c>
      <c r="Q1895" t="s">
        <v>4111</v>
      </c>
    </row>
    <row r="1896" spans="1:17" x14ac:dyDescent="0.3">
      <c r="A1896" t="s">
        <v>17</v>
      </c>
      <c r="B1896" t="str">
        <f>"688222"</f>
        <v>688222</v>
      </c>
      <c r="C1896" t="s">
        <v>4112</v>
      </c>
      <c r="D1896" t="s">
        <v>1461</v>
      </c>
      <c r="F1896">
        <v>311058556</v>
      </c>
      <c r="G1896">
        <v>243600479</v>
      </c>
      <c r="H1896">
        <v>264196931</v>
      </c>
      <c r="I1896">
        <v>151195999</v>
      </c>
      <c r="J1896">
        <v>53218655</v>
      </c>
      <c r="K1896">
        <v>16429056</v>
      </c>
      <c r="P1896">
        <v>128</v>
      </c>
      <c r="Q1896" t="s">
        <v>4113</v>
      </c>
    </row>
    <row r="1897" spans="1:17" x14ac:dyDescent="0.3">
      <c r="A1897" t="s">
        <v>17</v>
      </c>
      <c r="B1897" t="str">
        <f>"688223"</f>
        <v>688223</v>
      </c>
      <c r="C1897" t="s">
        <v>4114</v>
      </c>
      <c r="D1897" t="s">
        <v>475</v>
      </c>
      <c r="F1897">
        <v>40569618325</v>
      </c>
      <c r="G1897">
        <v>33659554248</v>
      </c>
      <c r="H1897">
        <v>29489576245</v>
      </c>
      <c r="I1897">
        <v>24508770860</v>
      </c>
      <c r="P1897">
        <v>29</v>
      </c>
      <c r="Q1897" t="s">
        <v>4115</v>
      </c>
    </row>
    <row r="1898" spans="1:17" x14ac:dyDescent="0.3">
      <c r="A1898" t="s">
        <v>17</v>
      </c>
      <c r="B1898" t="str">
        <f>"688225"</f>
        <v>688225</v>
      </c>
      <c r="C1898" t="s">
        <v>4116</v>
      </c>
      <c r="F1898">
        <v>1667467958</v>
      </c>
      <c r="G1898">
        <v>1274594672</v>
      </c>
      <c r="H1898">
        <v>1077269508</v>
      </c>
      <c r="I1898">
        <v>873421301</v>
      </c>
      <c r="J1898">
        <v>648998893</v>
      </c>
      <c r="P1898">
        <v>9</v>
      </c>
      <c r="Q1898" t="s">
        <v>4117</v>
      </c>
    </row>
    <row r="1899" spans="1:17" x14ac:dyDescent="0.3">
      <c r="A1899" t="s">
        <v>17</v>
      </c>
      <c r="B1899" t="str">
        <f>"688226"</f>
        <v>688226</v>
      </c>
      <c r="C1899" t="s">
        <v>4118</v>
      </c>
      <c r="D1899" t="s">
        <v>1164</v>
      </c>
      <c r="F1899">
        <v>1254053102</v>
      </c>
      <c r="G1899">
        <v>948032713</v>
      </c>
      <c r="H1899">
        <v>908174093</v>
      </c>
      <c r="I1899">
        <v>934617905</v>
      </c>
      <c r="J1899">
        <v>737181812</v>
      </c>
      <c r="P1899">
        <v>19</v>
      </c>
      <c r="Q1899" t="s">
        <v>4119</v>
      </c>
    </row>
    <row r="1900" spans="1:17" x14ac:dyDescent="0.3">
      <c r="A1900" t="s">
        <v>17</v>
      </c>
      <c r="B1900" t="str">
        <f>"688227"</f>
        <v>688227</v>
      </c>
      <c r="C1900" t="s">
        <v>4120</v>
      </c>
      <c r="D1900" t="s">
        <v>316</v>
      </c>
      <c r="F1900">
        <v>471003782</v>
      </c>
      <c r="G1900">
        <v>461651483</v>
      </c>
      <c r="H1900">
        <v>401850232</v>
      </c>
      <c r="I1900">
        <v>442876022</v>
      </c>
      <c r="J1900">
        <v>251957707</v>
      </c>
      <c r="P1900">
        <v>13</v>
      </c>
      <c r="Q1900" t="s">
        <v>4121</v>
      </c>
    </row>
    <row r="1901" spans="1:17" x14ac:dyDescent="0.3">
      <c r="A1901" t="s">
        <v>17</v>
      </c>
      <c r="B1901" t="str">
        <f>"688228"</f>
        <v>688228</v>
      </c>
      <c r="C1901" t="s">
        <v>4122</v>
      </c>
      <c r="D1901" t="s">
        <v>316</v>
      </c>
      <c r="F1901">
        <v>460594848</v>
      </c>
      <c r="G1901">
        <v>301232157</v>
      </c>
      <c r="H1901">
        <v>298067695</v>
      </c>
      <c r="I1901">
        <v>228034321</v>
      </c>
      <c r="J1901">
        <v>156681303</v>
      </c>
      <c r="K1901">
        <v>105771700</v>
      </c>
      <c r="P1901">
        <v>93</v>
      </c>
      <c r="Q1901" t="s">
        <v>4123</v>
      </c>
    </row>
    <row r="1902" spans="1:17" x14ac:dyDescent="0.3">
      <c r="A1902" t="s">
        <v>17</v>
      </c>
      <c r="B1902" t="str">
        <f>"688229"</f>
        <v>688229</v>
      </c>
      <c r="C1902" t="s">
        <v>4124</v>
      </c>
      <c r="D1902" t="s">
        <v>316</v>
      </c>
      <c r="F1902">
        <v>133107817</v>
      </c>
      <c r="G1902">
        <v>138840444</v>
      </c>
      <c r="H1902">
        <v>164535969</v>
      </c>
      <c r="I1902">
        <v>153198171</v>
      </c>
      <c r="J1902">
        <v>130105375</v>
      </c>
      <c r="K1902">
        <v>104254874</v>
      </c>
      <c r="P1902">
        <v>63</v>
      </c>
      <c r="Q1902" t="s">
        <v>4125</v>
      </c>
    </row>
    <row r="1903" spans="1:17" x14ac:dyDescent="0.3">
      <c r="A1903" t="s">
        <v>17</v>
      </c>
      <c r="B1903" t="str">
        <f>"688230"</f>
        <v>688230</v>
      </c>
      <c r="C1903" t="s">
        <v>4126</v>
      </c>
      <c r="D1903" t="s">
        <v>795</v>
      </c>
      <c r="F1903">
        <v>475649458</v>
      </c>
      <c r="G1903">
        <v>368354095</v>
      </c>
      <c r="H1903">
        <v>279629866</v>
      </c>
      <c r="I1903">
        <v>293751701</v>
      </c>
      <c r="P1903">
        <v>24</v>
      </c>
      <c r="Q1903" t="s">
        <v>4127</v>
      </c>
    </row>
    <row r="1904" spans="1:17" x14ac:dyDescent="0.3">
      <c r="A1904" t="s">
        <v>17</v>
      </c>
      <c r="B1904" t="str">
        <f>"688232"</f>
        <v>688232</v>
      </c>
      <c r="C1904" t="s">
        <v>4128</v>
      </c>
      <c r="D1904" t="s">
        <v>945</v>
      </c>
      <c r="F1904">
        <v>2794438645</v>
      </c>
      <c r="G1904">
        <v>2124086664</v>
      </c>
      <c r="H1904">
        <v>1526984413</v>
      </c>
      <c r="I1904">
        <v>1188401760</v>
      </c>
      <c r="J1904">
        <v>846528630</v>
      </c>
      <c r="P1904">
        <v>26</v>
      </c>
      <c r="Q1904" t="s">
        <v>4129</v>
      </c>
    </row>
    <row r="1905" spans="1:17" x14ac:dyDescent="0.3">
      <c r="A1905" t="s">
        <v>17</v>
      </c>
      <c r="B1905" t="str">
        <f>"688233"</f>
        <v>688233</v>
      </c>
      <c r="C1905" t="s">
        <v>4130</v>
      </c>
      <c r="D1905" t="s">
        <v>475</v>
      </c>
      <c r="F1905">
        <v>473890119</v>
      </c>
      <c r="G1905">
        <v>192097477</v>
      </c>
      <c r="H1905">
        <v>188586021</v>
      </c>
      <c r="I1905">
        <v>282535676</v>
      </c>
      <c r="J1905">
        <v>126420743</v>
      </c>
      <c r="K1905">
        <v>44198135</v>
      </c>
      <c r="P1905">
        <v>170</v>
      </c>
      <c r="Q1905" t="s">
        <v>4131</v>
      </c>
    </row>
    <row r="1906" spans="1:17" x14ac:dyDescent="0.3">
      <c r="A1906" t="s">
        <v>17</v>
      </c>
      <c r="B1906" t="str">
        <f>"688234"</f>
        <v>688234</v>
      </c>
      <c r="C1906" t="s">
        <v>4132</v>
      </c>
      <c r="D1906" t="s">
        <v>475</v>
      </c>
      <c r="F1906">
        <v>493856844</v>
      </c>
      <c r="G1906">
        <v>424811901</v>
      </c>
      <c r="H1906">
        <v>268558435</v>
      </c>
      <c r="I1906">
        <v>136133957</v>
      </c>
      <c r="P1906">
        <v>32</v>
      </c>
      <c r="Q1906" t="s">
        <v>4133</v>
      </c>
    </row>
    <row r="1907" spans="1:17" x14ac:dyDescent="0.3">
      <c r="A1907" t="s">
        <v>17</v>
      </c>
      <c r="B1907" t="str">
        <f>"688235"</f>
        <v>688235</v>
      </c>
      <c r="C1907" t="s">
        <v>4134</v>
      </c>
      <c r="D1907" t="s">
        <v>1379</v>
      </c>
      <c r="F1907">
        <v>7588957000</v>
      </c>
      <c r="G1907">
        <v>2120196000</v>
      </c>
      <c r="H1907">
        <v>2954002000</v>
      </c>
      <c r="I1907">
        <v>1310033000</v>
      </c>
      <c r="J1907">
        <v>1610753000</v>
      </c>
      <c r="P1907">
        <v>58</v>
      </c>
      <c r="Q1907" t="s">
        <v>4135</v>
      </c>
    </row>
    <row r="1908" spans="1:17" x14ac:dyDescent="0.3">
      <c r="A1908" t="s">
        <v>17</v>
      </c>
      <c r="B1908" t="str">
        <f>"688236"</f>
        <v>688236</v>
      </c>
      <c r="C1908" t="s">
        <v>4136</v>
      </c>
      <c r="D1908" t="s">
        <v>1077</v>
      </c>
      <c r="F1908">
        <v>1108139521</v>
      </c>
      <c r="G1908">
        <v>937686185</v>
      </c>
      <c r="H1908">
        <v>855326546</v>
      </c>
      <c r="I1908">
        <v>497927160</v>
      </c>
      <c r="J1908">
        <v>300317299</v>
      </c>
      <c r="P1908">
        <v>20</v>
      </c>
      <c r="Q1908" t="s">
        <v>4137</v>
      </c>
    </row>
    <row r="1909" spans="1:17" x14ac:dyDescent="0.3">
      <c r="A1909" t="s">
        <v>17</v>
      </c>
      <c r="B1909" t="str">
        <f>"688238"</f>
        <v>688238</v>
      </c>
      <c r="C1909" t="s">
        <v>4138</v>
      </c>
      <c r="F1909">
        <v>254949056</v>
      </c>
      <c r="G1909">
        <v>142769118</v>
      </c>
      <c r="H1909">
        <v>62914468</v>
      </c>
      <c r="I1909">
        <v>44209663</v>
      </c>
      <c r="P1909">
        <v>7</v>
      </c>
      <c r="Q1909" t="s">
        <v>4139</v>
      </c>
    </row>
    <row r="1910" spans="1:17" x14ac:dyDescent="0.3">
      <c r="A1910" t="s">
        <v>17</v>
      </c>
      <c r="B1910" t="str">
        <f>"688239"</f>
        <v>688239</v>
      </c>
      <c r="C1910" t="s">
        <v>4140</v>
      </c>
      <c r="D1910" t="s">
        <v>98</v>
      </c>
      <c r="F1910">
        <v>959781137</v>
      </c>
      <c r="G1910">
        <v>670669649</v>
      </c>
      <c r="H1910">
        <v>588762243</v>
      </c>
      <c r="I1910">
        <v>332575388</v>
      </c>
      <c r="J1910">
        <v>225524106</v>
      </c>
      <c r="P1910">
        <v>57</v>
      </c>
      <c r="Q1910" t="s">
        <v>4141</v>
      </c>
    </row>
    <row r="1911" spans="1:17" x14ac:dyDescent="0.3">
      <c r="A1911" t="s">
        <v>17</v>
      </c>
      <c r="B1911" t="str">
        <f>"688246"</f>
        <v>688246</v>
      </c>
      <c r="C1911" t="s">
        <v>4142</v>
      </c>
      <c r="D1911" t="s">
        <v>945</v>
      </c>
      <c r="F1911">
        <v>651940181</v>
      </c>
      <c r="G1911">
        <v>531837004</v>
      </c>
      <c r="H1911">
        <v>443766959</v>
      </c>
      <c r="I1911">
        <v>256303416</v>
      </c>
      <c r="J1911">
        <v>256123195</v>
      </c>
      <c r="P1911">
        <v>12</v>
      </c>
      <c r="Q1911" t="s">
        <v>4143</v>
      </c>
    </row>
    <row r="1912" spans="1:17" x14ac:dyDescent="0.3">
      <c r="A1912" t="s">
        <v>17</v>
      </c>
      <c r="B1912" t="str">
        <f>"688248"</f>
        <v>688248</v>
      </c>
      <c r="C1912" t="s">
        <v>4144</v>
      </c>
      <c r="D1912" t="s">
        <v>610</v>
      </c>
      <c r="F1912">
        <v>1385195676</v>
      </c>
      <c r="G1912">
        <v>1114535701</v>
      </c>
      <c r="H1912">
        <v>582212977</v>
      </c>
      <c r="I1912">
        <v>304268069</v>
      </c>
      <c r="P1912">
        <v>14</v>
      </c>
      <c r="Q1912" t="s">
        <v>4145</v>
      </c>
    </row>
    <row r="1913" spans="1:17" x14ac:dyDescent="0.3">
      <c r="A1913" t="s">
        <v>17</v>
      </c>
      <c r="B1913" t="str">
        <f>"688255"</f>
        <v>688255</v>
      </c>
      <c r="C1913" t="s">
        <v>4146</v>
      </c>
      <c r="D1913" t="s">
        <v>2938</v>
      </c>
      <c r="F1913">
        <v>542297539</v>
      </c>
      <c r="G1913">
        <v>594250994</v>
      </c>
      <c r="H1913">
        <v>409007776</v>
      </c>
      <c r="I1913">
        <v>397884311</v>
      </c>
      <c r="J1913">
        <v>406837234</v>
      </c>
      <c r="P1913">
        <v>19</v>
      </c>
      <c r="Q1913" t="s">
        <v>4147</v>
      </c>
    </row>
    <row r="1914" spans="1:17" x14ac:dyDescent="0.3">
      <c r="A1914" t="s">
        <v>17</v>
      </c>
      <c r="B1914" t="str">
        <f>"688256"</f>
        <v>688256</v>
      </c>
      <c r="C1914" t="s">
        <v>4148</v>
      </c>
      <c r="D1914" t="s">
        <v>461</v>
      </c>
      <c r="F1914">
        <v>721045279</v>
      </c>
      <c r="G1914">
        <v>458927331</v>
      </c>
      <c r="H1914">
        <v>443938466</v>
      </c>
      <c r="I1914">
        <v>117025239</v>
      </c>
      <c r="J1914">
        <v>7843274</v>
      </c>
      <c r="P1914">
        <v>192</v>
      </c>
      <c r="Q1914" t="s">
        <v>4149</v>
      </c>
    </row>
    <row r="1915" spans="1:17" x14ac:dyDescent="0.3">
      <c r="A1915" t="s">
        <v>17</v>
      </c>
      <c r="B1915" t="str">
        <f>"688257"</f>
        <v>688257</v>
      </c>
      <c r="C1915" t="s">
        <v>4150</v>
      </c>
      <c r="D1915" t="s">
        <v>274</v>
      </c>
      <c r="F1915">
        <v>894409726</v>
      </c>
      <c r="G1915">
        <v>729760353</v>
      </c>
      <c r="H1915">
        <v>694026672</v>
      </c>
      <c r="I1915">
        <v>640174892</v>
      </c>
      <c r="J1915">
        <v>534516383</v>
      </c>
      <c r="P1915">
        <v>17</v>
      </c>
      <c r="Q1915" t="s">
        <v>4151</v>
      </c>
    </row>
    <row r="1916" spans="1:17" x14ac:dyDescent="0.3">
      <c r="A1916" t="s">
        <v>17</v>
      </c>
      <c r="B1916" t="str">
        <f>"688258"</f>
        <v>688258</v>
      </c>
      <c r="C1916" t="s">
        <v>4152</v>
      </c>
      <c r="D1916" t="s">
        <v>316</v>
      </c>
      <c r="F1916">
        <v>236604122</v>
      </c>
      <c r="G1916">
        <v>198416265</v>
      </c>
      <c r="H1916">
        <v>212833556</v>
      </c>
      <c r="I1916">
        <v>175693964</v>
      </c>
      <c r="J1916">
        <v>152356646</v>
      </c>
      <c r="K1916">
        <v>119816460</v>
      </c>
      <c r="P1916">
        <v>2718</v>
      </c>
      <c r="Q1916" t="s">
        <v>4153</v>
      </c>
    </row>
    <row r="1917" spans="1:17" x14ac:dyDescent="0.3">
      <c r="A1917" t="s">
        <v>17</v>
      </c>
      <c r="B1917" t="str">
        <f>"688259"</f>
        <v>688259</v>
      </c>
      <c r="C1917" t="s">
        <v>4154</v>
      </c>
      <c r="D1917" t="s">
        <v>461</v>
      </c>
      <c r="F1917">
        <v>640663122</v>
      </c>
      <c r="G1917">
        <v>209521686</v>
      </c>
      <c r="H1917">
        <v>165325818</v>
      </c>
      <c r="I1917">
        <v>108938121</v>
      </c>
      <c r="J1917">
        <v>70990224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"688260"</f>
        <v>688260</v>
      </c>
      <c r="C1918" t="s">
        <v>4156</v>
      </c>
      <c r="D1918" t="s">
        <v>313</v>
      </c>
      <c r="F1918">
        <v>519704137</v>
      </c>
      <c r="G1918">
        <v>553677200</v>
      </c>
      <c r="H1918">
        <v>520609445</v>
      </c>
      <c r="I1918">
        <v>387945943</v>
      </c>
      <c r="J1918">
        <v>172075161</v>
      </c>
      <c r="P1918">
        <v>24</v>
      </c>
      <c r="Q1918" t="s">
        <v>4157</v>
      </c>
    </row>
    <row r="1919" spans="1:17" x14ac:dyDescent="0.3">
      <c r="A1919" t="s">
        <v>17</v>
      </c>
      <c r="B1919" t="str">
        <f>"688261"</f>
        <v>688261</v>
      </c>
      <c r="C1919" t="s">
        <v>4158</v>
      </c>
      <c r="F1919">
        <v>782091846</v>
      </c>
      <c r="G1919">
        <v>308787414</v>
      </c>
      <c r="H1919">
        <v>196046605</v>
      </c>
      <c r="I1919">
        <v>152899855</v>
      </c>
      <c r="P1919">
        <v>11</v>
      </c>
      <c r="Q1919" t="s">
        <v>4159</v>
      </c>
    </row>
    <row r="1920" spans="1:17" x14ac:dyDescent="0.3">
      <c r="A1920" t="s">
        <v>17</v>
      </c>
      <c r="B1920" t="str">
        <f>"688262"</f>
        <v>688262</v>
      </c>
      <c r="C1920" t="s">
        <v>4160</v>
      </c>
      <c r="D1920" t="s">
        <v>461</v>
      </c>
      <c r="F1920">
        <v>407386798</v>
      </c>
      <c r="G1920">
        <v>259493054</v>
      </c>
      <c r="H1920">
        <v>231570328</v>
      </c>
      <c r="I1920">
        <v>194775230</v>
      </c>
      <c r="J1920">
        <v>130883299</v>
      </c>
      <c r="P1920">
        <v>19</v>
      </c>
      <c r="Q1920" t="s">
        <v>4161</v>
      </c>
    </row>
    <row r="1921" spans="1:17" x14ac:dyDescent="0.3">
      <c r="A1921" t="s">
        <v>17</v>
      </c>
      <c r="B1921" t="str">
        <f>"688265"</f>
        <v>688265</v>
      </c>
      <c r="C1921" t="s">
        <v>4162</v>
      </c>
      <c r="D1921" t="s">
        <v>1461</v>
      </c>
      <c r="F1921">
        <v>275268956</v>
      </c>
      <c r="G1921">
        <v>196190410</v>
      </c>
      <c r="H1921">
        <v>154802856</v>
      </c>
      <c r="I1921">
        <v>121442169</v>
      </c>
      <c r="J1921">
        <v>76291367</v>
      </c>
      <c r="P1921">
        <v>17</v>
      </c>
      <c r="Q1921" t="s">
        <v>4163</v>
      </c>
    </row>
    <row r="1922" spans="1:17" x14ac:dyDescent="0.3">
      <c r="A1922" t="s">
        <v>17</v>
      </c>
      <c r="B1922" t="str">
        <f>"688266"</f>
        <v>688266</v>
      </c>
      <c r="C1922" t="s">
        <v>4164</v>
      </c>
      <c r="D1922" t="s">
        <v>143</v>
      </c>
      <c r="F1922">
        <v>190360566</v>
      </c>
      <c r="G1922">
        <v>27660909</v>
      </c>
      <c r="I1922">
        <v>1311158</v>
      </c>
      <c r="K1922">
        <v>200334</v>
      </c>
      <c r="P1922">
        <v>102</v>
      </c>
      <c r="Q1922" t="s">
        <v>4165</v>
      </c>
    </row>
    <row r="1923" spans="1:17" x14ac:dyDescent="0.3">
      <c r="A1923" t="s">
        <v>17</v>
      </c>
      <c r="B1923" t="str">
        <f>"688267"</f>
        <v>688267</v>
      </c>
      <c r="C1923" t="s">
        <v>4166</v>
      </c>
      <c r="F1923">
        <v>560834783</v>
      </c>
      <c r="G1923">
        <v>405962280</v>
      </c>
      <c r="H1923">
        <v>332991699</v>
      </c>
      <c r="I1923">
        <v>169137713</v>
      </c>
      <c r="P1923">
        <v>7</v>
      </c>
      <c r="Q1923" t="s">
        <v>4167</v>
      </c>
    </row>
    <row r="1924" spans="1:17" x14ac:dyDescent="0.3">
      <c r="A1924" t="s">
        <v>17</v>
      </c>
      <c r="B1924" t="str">
        <f>"688268"</f>
        <v>688268</v>
      </c>
      <c r="C1924" t="s">
        <v>4168</v>
      </c>
      <c r="D1924" t="s">
        <v>2408</v>
      </c>
      <c r="F1924">
        <v>1347263353</v>
      </c>
      <c r="G1924">
        <v>999588425</v>
      </c>
      <c r="H1924">
        <v>843990067</v>
      </c>
      <c r="I1924">
        <v>817543748</v>
      </c>
      <c r="J1924">
        <v>786829599</v>
      </c>
      <c r="K1924">
        <v>657287622</v>
      </c>
      <c r="P1924">
        <v>184</v>
      </c>
      <c r="Q1924" t="s">
        <v>4169</v>
      </c>
    </row>
    <row r="1925" spans="1:17" x14ac:dyDescent="0.3">
      <c r="A1925" t="s">
        <v>17</v>
      </c>
      <c r="B1925" t="str">
        <f>"688269"</f>
        <v>688269</v>
      </c>
      <c r="C1925" t="s">
        <v>4170</v>
      </c>
      <c r="D1925" t="s">
        <v>581</v>
      </c>
      <c r="F1925">
        <v>1589329982</v>
      </c>
      <c r="G1925">
        <v>1052182040</v>
      </c>
      <c r="H1925">
        <v>708435140</v>
      </c>
      <c r="I1925">
        <v>610061215</v>
      </c>
      <c r="J1925">
        <v>464617474</v>
      </c>
      <c r="P1925">
        <v>58</v>
      </c>
      <c r="Q1925" t="s">
        <v>4171</v>
      </c>
    </row>
    <row r="1926" spans="1:17" x14ac:dyDescent="0.3">
      <c r="A1926" t="s">
        <v>17</v>
      </c>
      <c r="B1926" t="str">
        <f>"688270"</f>
        <v>688270</v>
      </c>
      <c r="C1926" t="s">
        <v>4172</v>
      </c>
      <c r="F1926">
        <v>190580502</v>
      </c>
      <c r="G1926">
        <v>152124067</v>
      </c>
      <c r="H1926">
        <v>55449854</v>
      </c>
      <c r="I1926">
        <v>3993475</v>
      </c>
      <c r="P1926">
        <v>12</v>
      </c>
      <c r="Q1926" t="s">
        <v>4173</v>
      </c>
    </row>
    <row r="1927" spans="1:17" x14ac:dyDescent="0.3">
      <c r="A1927" t="s">
        <v>17</v>
      </c>
      <c r="B1927" t="str">
        <f>"688272"</f>
        <v>688272</v>
      </c>
      <c r="C1927" t="s">
        <v>4174</v>
      </c>
      <c r="D1927" t="s">
        <v>1136</v>
      </c>
      <c r="F1927">
        <v>317927243</v>
      </c>
      <c r="G1927">
        <v>327322729</v>
      </c>
      <c r="H1927">
        <v>164901429</v>
      </c>
      <c r="I1927">
        <v>87680992</v>
      </c>
      <c r="J1927">
        <v>76108650</v>
      </c>
      <c r="P1927">
        <v>11</v>
      </c>
      <c r="Q1927" t="s">
        <v>4175</v>
      </c>
    </row>
    <row r="1928" spans="1:17" x14ac:dyDescent="0.3">
      <c r="A1928" t="s">
        <v>17</v>
      </c>
      <c r="B1928" t="str">
        <f>"688276"</f>
        <v>688276</v>
      </c>
      <c r="C1928" t="s">
        <v>4176</v>
      </c>
      <c r="D1928" t="s">
        <v>1499</v>
      </c>
      <c r="F1928">
        <v>1202026555</v>
      </c>
      <c r="G1928">
        <v>1441358099</v>
      </c>
      <c r="H1928">
        <v>975667802</v>
      </c>
      <c r="I1928">
        <v>1018915691</v>
      </c>
      <c r="J1928">
        <v>690617407</v>
      </c>
      <c r="P1928">
        <v>46</v>
      </c>
      <c r="Q1928" t="s">
        <v>4177</v>
      </c>
    </row>
    <row r="1929" spans="1:17" x14ac:dyDescent="0.3">
      <c r="A1929" t="s">
        <v>17</v>
      </c>
      <c r="B1929" t="str">
        <f>"688277"</f>
        <v>688277</v>
      </c>
      <c r="C1929" t="s">
        <v>4178</v>
      </c>
      <c r="D1929" t="s">
        <v>122</v>
      </c>
      <c r="F1929">
        <v>156021921</v>
      </c>
      <c r="G1929">
        <v>135909533</v>
      </c>
      <c r="H1929">
        <v>229564223</v>
      </c>
      <c r="I1929">
        <v>126722010</v>
      </c>
      <c r="J1929">
        <v>73294746</v>
      </c>
      <c r="K1929">
        <v>25576062</v>
      </c>
      <c r="P1929">
        <v>120</v>
      </c>
      <c r="Q1929" t="s">
        <v>4179</v>
      </c>
    </row>
    <row r="1930" spans="1:17" x14ac:dyDescent="0.3">
      <c r="A1930" t="s">
        <v>17</v>
      </c>
      <c r="B1930" t="str">
        <f>"688278"</f>
        <v>688278</v>
      </c>
      <c r="C1930" t="s">
        <v>4180</v>
      </c>
      <c r="D1930" t="s">
        <v>1379</v>
      </c>
      <c r="F1930">
        <v>1132227710</v>
      </c>
      <c r="G1930">
        <v>793934304</v>
      </c>
      <c r="H1930">
        <v>729666393</v>
      </c>
      <c r="I1930">
        <v>448282686</v>
      </c>
      <c r="J1930">
        <v>323081460</v>
      </c>
      <c r="K1930">
        <v>280370521</v>
      </c>
      <c r="P1930">
        <v>154</v>
      </c>
      <c r="Q1930" t="s">
        <v>4181</v>
      </c>
    </row>
    <row r="1931" spans="1:17" x14ac:dyDescent="0.3">
      <c r="A1931" t="s">
        <v>17</v>
      </c>
      <c r="B1931" t="str">
        <f>"688279"</f>
        <v>688279</v>
      </c>
      <c r="C1931" t="s">
        <v>4182</v>
      </c>
      <c r="F1931">
        <v>330396608</v>
      </c>
      <c r="G1931">
        <v>233950939</v>
      </c>
      <c r="H1931">
        <v>142892948</v>
      </c>
      <c r="I1931">
        <v>91428673</v>
      </c>
      <c r="P1931">
        <v>6</v>
      </c>
      <c r="Q1931" t="s">
        <v>4183</v>
      </c>
    </row>
    <row r="1932" spans="1:17" x14ac:dyDescent="0.3">
      <c r="A1932" t="s">
        <v>17</v>
      </c>
      <c r="B1932" t="str">
        <f>"688280"</f>
        <v>688280</v>
      </c>
      <c r="C1932" t="s">
        <v>4184</v>
      </c>
      <c r="D1932" t="s">
        <v>348</v>
      </c>
      <c r="F1932">
        <v>736318212</v>
      </c>
      <c r="G1932">
        <v>578224775</v>
      </c>
      <c r="H1932">
        <v>789702170</v>
      </c>
      <c r="I1932">
        <v>848749288</v>
      </c>
      <c r="J1932">
        <v>778124961</v>
      </c>
      <c r="P1932">
        <v>22</v>
      </c>
      <c r="Q1932" t="s">
        <v>4185</v>
      </c>
    </row>
    <row r="1933" spans="1:17" x14ac:dyDescent="0.3">
      <c r="A1933" t="s">
        <v>17</v>
      </c>
      <c r="B1933" t="str">
        <f>"688281"</f>
        <v>688281</v>
      </c>
      <c r="C1933" t="s">
        <v>4186</v>
      </c>
      <c r="F1933">
        <v>511851977</v>
      </c>
      <c r="G1933">
        <v>413864689</v>
      </c>
      <c r="H1933">
        <v>116766622</v>
      </c>
      <c r="I1933">
        <v>47560899</v>
      </c>
      <c r="P1933">
        <v>13</v>
      </c>
      <c r="Q1933" t="s">
        <v>4187</v>
      </c>
    </row>
    <row r="1934" spans="1:17" x14ac:dyDescent="0.3">
      <c r="A1934" t="s">
        <v>17</v>
      </c>
      <c r="B1934" t="str">
        <f>"688282"</f>
        <v>688282</v>
      </c>
      <c r="C1934" t="s">
        <v>4188</v>
      </c>
      <c r="F1934">
        <v>318224150</v>
      </c>
      <c r="G1934">
        <v>305943218</v>
      </c>
      <c r="H1934">
        <v>225988263</v>
      </c>
      <c r="I1934">
        <v>92678119</v>
      </c>
      <c r="J1934">
        <v>12558630</v>
      </c>
      <c r="P1934">
        <v>3</v>
      </c>
      <c r="Q1934" t="s">
        <v>4189</v>
      </c>
    </row>
    <row r="1935" spans="1:17" x14ac:dyDescent="0.3">
      <c r="A1935" t="s">
        <v>17</v>
      </c>
      <c r="B1935" t="str">
        <f>"688283"</f>
        <v>688283</v>
      </c>
      <c r="C1935" t="s">
        <v>4190</v>
      </c>
      <c r="F1935">
        <v>162893307</v>
      </c>
      <c r="G1935">
        <v>130188704</v>
      </c>
      <c r="H1935">
        <v>105459147</v>
      </c>
      <c r="I1935">
        <v>57731940</v>
      </c>
      <c r="P1935">
        <v>17</v>
      </c>
      <c r="Q1935" t="s">
        <v>4191</v>
      </c>
    </row>
    <row r="1936" spans="1:17" x14ac:dyDescent="0.3">
      <c r="A1936" t="s">
        <v>17</v>
      </c>
      <c r="B1936" t="str">
        <f>"688285"</f>
        <v>688285</v>
      </c>
      <c r="C1936" t="s">
        <v>4192</v>
      </c>
      <c r="D1936" t="s">
        <v>1012</v>
      </c>
      <c r="F1936">
        <v>1415012244</v>
      </c>
      <c r="G1936">
        <v>1354579131</v>
      </c>
      <c r="H1936">
        <v>1286771895</v>
      </c>
      <c r="I1936">
        <v>1039543356</v>
      </c>
      <c r="J1936">
        <v>1013441601</v>
      </c>
      <c r="P1936">
        <v>14</v>
      </c>
      <c r="Q1936" t="s">
        <v>4193</v>
      </c>
    </row>
    <row r="1937" spans="1:17" x14ac:dyDescent="0.3">
      <c r="A1937" t="s">
        <v>17</v>
      </c>
      <c r="B1937" t="str">
        <f>"688286"</f>
        <v>688286</v>
      </c>
      <c r="C1937" t="s">
        <v>4194</v>
      </c>
      <c r="D1937" t="s">
        <v>401</v>
      </c>
      <c r="F1937">
        <v>351758085</v>
      </c>
      <c r="G1937">
        <v>330074706</v>
      </c>
      <c r="H1937">
        <v>284030868</v>
      </c>
      <c r="I1937">
        <v>252713394</v>
      </c>
      <c r="J1937">
        <v>113098447</v>
      </c>
      <c r="K1937">
        <v>72136873</v>
      </c>
      <c r="P1937">
        <v>91</v>
      </c>
      <c r="Q1937" t="s">
        <v>4195</v>
      </c>
    </row>
    <row r="1938" spans="1:17" x14ac:dyDescent="0.3">
      <c r="A1938" t="s">
        <v>17</v>
      </c>
      <c r="B1938" t="str">
        <f>"688288"</f>
        <v>688288</v>
      </c>
      <c r="C1938" t="s">
        <v>4196</v>
      </c>
      <c r="D1938" t="s">
        <v>236</v>
      </c>
      <c r="F1938">
        <v>405595348</v>
      </c>
      <c r="G1938">
        <v>456160984</v>
      </c>
      <c r="H1938">
        <v>313201967</v>
      </c>
      <c r="I1938">
        <v>247902330</v>
      </c>
      <c r="J1938">
        <v>270714484</v>
      </c>
      <c r="K1938">
        <v>152176913</v>
      </c>
      <c r="P1938">
        <v>110</v>
      </c>
      <c r="Q1938" t="s">
        <v>4197</v>
      </c>
    </row>
    <row r="1939" spans="1:17" x14ac:dyDescent="0.3">
      <c r="A1939" t="s">
        <v>17</v>
      </c>
      <c r="B1939" t="str">
        <f>"688289"</f>
        <v>688289</v>
      </c>
      <c r="C1939" t="s">
        <v>4198</v>
      </c>
      <c r="D1939" t="s">
        <v>1305</v>
      </c>
      <c r="F1939">
        <v>4514539266</v>
      </c>
      <c r="G1939">
        <v>4762963903</v>
      </c>
      <c r="H1939">
        <v>365389085</v>
      </c>
      <c r="I1939">
        <v>303446306</v>
      </c>
      <c r="J1939">
        <v>224596509</v>
      </c>
      <c r="P1939">
        <v>209</v>
      </c>
      <c r="Q1939" t="s">
        <v>4199</v>
      </c>
    </row>
    <row r="1940" spans="1:17" x14ac:dyDescent="0.3">
      <c r="A1940" t="s">
        <v>17</v>
      </c>
      <c r="B1940" t="str">
        <f>"688290"</f>
        <v>688290</v>
      </c>
      <c r="C1940" t="s">
        <v>4200</v>
      </c>
      <c r="F1940">
        <v>348712107</v>
      </c>
      <c r="G1940">
        <v>206395232</v>
      </c>
      <c r="H1940">
        <v>100655774</v>
      </c>
      <c r="I1940">
        <v>79835980</v>
      </c>
      <c r="P1940">
        <v>0</v>
      </c>
      <c r="Q1940" t="s">
        <v>4201</v>
      </c>
    </row>
    <row r="1941" spans="1:17" x14ac:dyDescent="0.3">
      <c r="A1941" t="s">
        <v>17</v>
      </c>
      <c r="B1941" t="str">
        <f>"688295"</f>
        <v>688295</v>
      </c>
      <c r="C1941" t="s">
        <v>4202</v>
      </c>
      <c r="F1941">
        <v>1173437395</v>
      </c>
      <c r="G1941">
        <v>532305137</v>
      </c>
      <c r="H1941">
        <v>415097674</v>
      </c>
      <c r="I1941">
        <v>307947441</v>
      </c>
      <c r="P1941">
        <v>15</v>
      </c>
      <c r="Q1941" t="s">
        <v>4203</v>
      </c>
    </row>
    <row r="1942" spans="1:17" x14ac:dyDescent="0.3">
      <c r="A1942" t="s">
        <v>17</v>
      </c>
      <c r="B1942" t="str">
        <f>"688296"</f>
        <v>688296</v>
      </c>
      <c r="C1942" t="s">
        <v>4204</v>
      </c>
      <c r="D1942" t="s">
        <v>945</v>
      </c>
      <c r="F1942">
        <v>507284444</v>
      </c>
      <c r="G1942">
        <v>363362110</v>
      </c>
      <c r="H1942">
        <v>235441115</v>
      </c>
      <c r="I1942">
        <v>162849430</v>
      </c>
      <c r="J1942">
        <v>123010700</v>
      </c>
      <c r="P1942">
        <v>24</v>
      </c>
      <c r="Q1942" t="s">
        <v>4205</v>
      </c>
    </row>
    <row r="1943" spans="1:17" x14ac:dyDescent="0.3">
      <c r="A1943" t="s">
        <v>17</v>
      </c>
      <c r="B1943" t="str">
        <f>"688298"</f>
        <v>688298</v>
      </c>
      <c r="C1943" t="s">
        <v>4206</v>
      </c>
      <c r="D1943" t="s">
        <v>1305</v>
      </c>
      <c r="F1943">
        <v>10169167715</v>
      </c>
      <c r="G1943">
        <v>3265355638</v>
      </c>
      <c r="H1943">
        <v>367376821</v>
      </c>
      <c r="I1943">
        <v>285892848</v>
      </c>
      <c r="J1943">
        <v>224237368</v>
      </c>
      <c r="K1943">
        <v>182255120</v>
      </c>
      <c r="P1943">
        <v>479</v>
      </c>
      <c r="Q1943" t="s">
        <v>4207</v>
      </c>
    </row>
    <row r="1944" spans="1:17" x14ac:dyDescent="0.3">
      <c r="A1944" t="s">
        <v>17</v>
      </c>
      <c r="B1944" t="str">
        <f>"688299"</f>
        <v>688299</v>
      </c>
      <c r="C1944" t="s">
        <v>4208</v>
      </c>
      <c r="D1944" t="s">
        <v>1117</v>
      </c>
      <c r="F1944">
        <v>1296688066</v>
      </c>
      <c r="G1944">
        <v>1045044543</v>
      </c>
      <c r="H1944">
        <v>910261054</v>
      </c>
      <c r="I1944">
        <v>691039937</v>
      </c>
      <c r="J1944">
        <v>467460163</v>
      </c>
      <c r="K1944">
        <v>380377419</v>
      </c>
      <c r="P1944">
        <v>239</v>
      </c>
      <c r="Q1944" t="s">
        <v>4209</v>
      </c>
    </row>
    <row r="1945" spans="1:17" x14ac:dyDescent="0.3">
      <c r="A1945" t="s">
        <v>17</v>
      </c>
      <c r="B1945" t="str">
        <f>"688300"</f>
        <v>688300</v>
      </c>
      <c r="C1945" t="s">
        <v>4210</v>
      </c>
      <c r="D1945" t="s">
        <v>2762</v>
      </c>
      <c r="F1945">
        <v>624709595</v>
      </c>
      <c r="G1945">
        <v>404203406</v>
      </c>
      <c r="H1945">
        <v>315301091</v>
      </c>
      <c r="I1945">
        <v>278106011</v>
      </c>
      <c r="J1945">
        <v>210960246</v>
      </c>
      <c r="K1945">
        <v>153632695</v>
      </c>
      <c r="P1945">
        <v>196</v>
      </c>
      <c r="Q1945" t="s">
        <v>4211</v>
      </c>
    </row>
    <row r="1946" spans="1:17" x14ac:dyDescent="0.3">
      <c r="A1946" t="s">
        <v>17</v>
      </c>
      <c r="B1946" t="str">
        <f>"688301"</f>
        <v>688301</v>
      </c>
      <c r="C1946" t="s">
        <v>4212</v>
      </c>
      <c r="D1946" t="s">
        <v>122</v>
      </c>
      <c r="F1946">
        <v>1187352896</v>
      </c>
      <c r="G1946">
        <v>784080658</v>
      </c>
      <c r="H1946">
        <v>546111158</v>
      </c>
      <c r="I1946">
        <v>439420244</v>
      </c>
      <c r="J1946">
        <v>355739890</v>
      </c>
      <c r="P1946">
        <v>179</v>
      </c>
      <c r="Q1946" t="s">
        <v>4213</v>
      </c>
    </row>
    <row r="1947" spans="1:17" x14ac:dyDescent="0.3">
      <c r="A1947" t="s">
        <v>17</v>
      </c>
      <c r="B1947" t="str">
        <f>"688302"</f>
        <v>688302</v>
      </c>
      <c r="C1947" t="s">
        <v>4214</v>
      </c>
      <c r="H1947">
        <v>4226549</v>
      </c>
      <c r="I1947">
        <v>3561922</v>
      </c>
      <c r="P1947">
        <v>2</v>
      </c>
      <c r="Q1947" t="s">
        <v>4215</v>
      </c>
    </row>
    <row r="1948" spans="1:17" x14ac:dyDescent="0.3">
      <c r="A1948" t="s">
        <v>17</v>
      </c>
      <c r="B1948" t="str">
        <f>"688303"</f>
        <v>688303</v>
      </c>
      <c r="C1948" t="s">
        <v>4216</v>
      </c>
      <c r="D1948" t="s">
        <v>929</v>
      </c>
      <c r="F1948">
        <v>10831866667</v>
      </c>
      <c r="G1948">
        <v>4664256098</v>
      </c>
      <c r="H1948">
        <v>2426085065</v>
      </c>
      <c r="I1948">
        <v>1993708984</v>
      </c>
      <c r="J1948">
        <v>2201388649</v>
      </c>
      <c r="P1948">
        <v>108</v>
      </c>
      <c r="Q1948" t="s">
        <v>4217</v>
      </c>
    </row>
    <row r="1949" spans="1:17" x14ac:dyDescent="0.3">
      <c r="A1949" t="s">
        <v>17</v>
      </c>
      <c r="B1949" t="str">
        <f>"688305"</f>
        <v>688305</v>
      </c>
      <c r="C1949" t="s">
        <v>4218</v>
      </c>
      <c r="D1949" t="s">
        <v>2321</v>
      </c>
      <c r="F1949">
        <v>253588986</v>
      </c>
      <c r="G1949">
        <v>198131421</v>
      </c>
      <c r="H1949">
        <v>141904576</v>
      </c>
      <c r="I1949">
        <v>102825443</v>
      </c>
      <c r="J1949">
        <v>74527765</v>
      </c>
      <c r="P1949">
        <v>79</v>
      </c>
      <c r="Q1949" t="s">
        <v>4219</v>
      </c>
    </row>
    <row r="1950" spans="1:17" x14ac:dyDescent="0.3">
      <c r="A1950" t="s">
        <v>17</v>
      </c>
      <c r="B1950" t="str">
        <f>"688306"</f>
        <v>688306</v>
      </c>
      <c r="C1950" t="s">
        <v>4220</v>
      </c>
      <c r="F1950">
        <v>2139823017</v>
      </c>
      <c r="G1950">
        <v>1686881008</v>
      </c>
      <c r="H1950">
        <v>2193098544</v>
      </c>
      <c r="I1950">
        <v>1657208707</v>
      </c>
      <c r="J1950">
        <v>1078733908</v>
      </c>
      <c r="P1950">
        <v>3</v>
      </c>
      <c r="Q1950" t="s">
        <v>4221</v>
      </c>
    </row>
    <row r="1951" spans="1:17" x14ac:dyDescent="0.3">
      <c r="A1951" t="s">
        <v>17</v>
      </c>
      <c r="B1951" t="str">
        <f>"688308"</f>
        <v>688308</v>
      </c>
      <c r="C1951" t="s">
        <v>4222</v>
      </c>
      <c r="D1951" t="s">
        <v>274</v>
      </c>
      <c r="F1951">
        <v>990388668</v>
      </c>
      <c r="G1951">
        <v>702209077</v>
      </c>
      <c r="H1951">
        <v>602987666</v>
      </c>
      <c r="I1951">
        <v>583924195</v>
      </c>
      <c r="J1951">
        <v>428493676</v>
      </c>
      <c r="P1951">
        <v>91</v>
      </c>
      <c r="Q1951" t="s">
        <v>4223</v>
      </c>
    </row>
    <row r="1952" spans="1:17" x14ac:dyDescent="0.3">
      <c r="A1952" t="s">
        <v>17</v>
      </c>
      <c r="B1952" t="str">
        <f>"688309"</f>
        <v>688309</v>
      </c>
      <c r="C1952" t="s">
        <v>4224</v>
      </c>
      <c r="D1952" t="s">
        <v>1070</v>
      </c>
      <c r="F1952">
        <v>84565948</v>
      </c>
      <c r="G1952">
        <v>174589276</v>
      </c>
      <c r="H1952">
        <v>234823334</v>
      </c>
      <c r="I1952">
        <v>251519875</v>
      </c>
      <c r="J1952">
        <v>52886314</v>
      </c>
      <c r="K1952">
        <v>38127873</v>
      </c>
      <c r="P1952">
        <v>30</v>
      </c>
      <c r="Q1952" t="s">
        <v>4225</v>
      </c>
    </row>
    <row r="1953" spans="1:17" x14ac:dyDescent="0.3">
      <c r="A1953" t="s">
        <v>17</v>
      </c>
      <c r="B1953" t="str">
        <f>"688310"</f>
        <v>688310</v>
      </c>
      <c r="C1953" t="s">
        <v>4226</v>
      </c>
      <c r="D1953" t="s">
        <v>3477</v>
      </c>
      <c r="F1953">
        <v>315525811</v>
      </c>
      <c r="G1953">
        <v>263168424</v>
      </c>
      <c r="H1953">
        <v>209549530</v>
      </c>
      <c r="I1953">
        <v>214895680</v>
      </c>
      <c r="J1953">
        <v>173388959</v>
      </c>
      <c r="K1953">
        <v>139430578</v>
      </c>
      <c r="P1953">
        <v>92</v>
      </c>
      <c r="Q1953" t="s">
        <v>4227</v>
      </c>
    </row>
    <row r="1954" spans="1:17" x14ac:dyDescent="0.3">
      <c r="A1954" t="s">
        <v>17</v>
      </c>
      <c r="B1954" t="str">
        <f>"688311"</f>
        <v>688311</v>
      </c>
      <c r="C1954" t="s">
        <v>4228</v>
      </c>
      <c r="D1954" t="s">
        <v>1136</v>
      </c>
      <c r="F1954">
        <v>475788006</v>
      </c>
      <c r="G1954">
        <v>423231844</v>
      </c>
      <c r="H1954">
        <v>283065007</v>
      </c>
      <c r="I1954">
        <v>202488098</v>
      </c>
      <c r="J1954">
        <v>160568194</v>
      </c>
      <c r="K1954">
        <v>145841582</v>
      </c>
      <c r="P1954">
        <v>74</v>
      </c>
      <c r="Q1954" t="s">
        <v>4229</v>
      </c>
    </row>
    <row r="1955" spans="1:17" x14ac:dyDescent="0.3">
      <c r="A1955" t="s">
        <v>17</v>
      </c>
      <c r="B1955" t="str">
        <f>"688312"</f>
        <v>688312</v>
      </c>
      <c r="C1955" t="s">
        <v>4230</v>
      </c>
      <c r="D1955" t="s">
        <v>741</v>
      </c>
      <c r="F1955">
        <v>427554397</v>
      </c>
      <c r="G1955">
        <v>350363862</v>
      </c>
      <c r="H1955">
        <v>270839560</v>
      </c>
      <c r="I1955">
        <v>243886613</v>
      </c>
      <c r="J1955">
        <v>242227557</v>
      </c>
      <c r="K1955">
        <v>223518325</v>
      </c>
      <c r="P1955">
        <v>64</v>
      </c>
      <c r="Q1955" t="s">
        <v>4231</v>
      </c>
    </row>
    <row r="1956" spans="1:17" x14ac:dyDescent="0.3">
      <c r="A1956" t="s">
        <v>17</v>
      </c>
      <c r="B1956" t="str">
        <f>"688313"</f>
        <v>688313</v>
      </c>
      <c r="C1956" t="s">
        <v>4232</v>
      </c>
      <c r="D1956" t="s">
        <v>1019</v>
      </c>
      <c r="F1956">
        <v>817341487</v>
      </c>
      <c r="G1956">
        <v>671598071</v>
      </c>
      <c r="H1956">
        <v>546320001</v>
      </c>
      <c r="I1956">
        <v>517904538</v>
      </c>
      <c r="J1956">
        <v>478820138</v>
      </c>
      <c r="P1956">
        <v>50</v>
      </c>
      <c r="Q1956" t="s">
        <v>4233</v>
      </c>
    </row>
    <row r="1957" spans="1:17" x14ac:dyDescent="0.3">
      <c r="A1957" t="s">
        <v>17</v>
      </c>
      <c r="B1957" t="str">
        <f>"688314"</f>
        <v>688314</v>
      </c>
      <c r="C1957" t="s">
        <v>4234</v>
      </c>
      <c r="D1957" t="s">
        <v>1077</v>
      </c>
      <c r="F1957">
        <v>212547735</v>
      </c>
      <c r="G1957">
        <v>164075554</v>
      </c>
      <c r="H1957">
        <v>147803875</v>
      </c>
      <c r="I1957">
        <v>109503336</v>
      </c>
      <c r="J1957">
        <v>72487043</v>
      </c>
      <c r="P1957">
        <v>53</v>
      </c>
      <c r="Q1957" t="s">
        <v>4235</v>
      </c>
    </row>
    <row r="1958" spans="1:17" x14ac:dyDescent="0.3">
      <c r="A1958" t="s">
        <v>17</v>
      </c>
      <c r="B1958" t="str">
        <f>"688315"</f>
        <v>688315</v>
      </c>
      <c r="C1958" t="s">
        <v>4236</v>
      </c>
      <c r="D1958" t="s">
        <v>4237</v>
      </c>
      <c r="F1958">
        <v>1866396324</v>
      </c>
      <c r="G1958">
        <v>1490027646</v>
      </c>
      <c r="H1958">
        <v>1534828907</v>
      </c>
      <c r="I1958">
        <v>1053561692</v>
      </c>
      <c r="J1958">
        <v>739349027</v>
      </c>
      <c r="K1958">
        <v>458473020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"688316"</f>
        <v>688316</v>
      </c>
      <c r="C1959" t="s">
        <v>4239</v>
      </c>
      <c r="D1959" t="s">
        <v>316</v>
      </c>
      <c r="F1959">
        <v>423834209</v>
      </c>
      <c r="G1959">
        <v>428610865</v>
      </c>
      <c r="H1959">
        <v>376821958</v>
      </c>
      <c r="I1959">
        <v>281761174</v>
      </c>
      <c r="J1959">
        <v>239238504</v>
      </c>
      <c r="P1959">
        <v>31</v>
      </c>
      <c r="Q1959" t="s">
        <v>4240</v>
      </c>
    </row>
    <row r="1960" spans="1:17" x14ac:dyDescent="0.3">
      <c r="A1960" t="s">
        <v>17</v>
      </c>
      <c r="B1960" t="str">
        <f>"688317"</f>
        <v>688317</v>
      </c>
      <c r="C1960" t="s">
        <v>4241</v>
      </c>
      <c r="D1960" t="s">
        <v>1305</v>
      </c>
      <c r="F1960">
        <v>2018829749</v>
      </c>
      <c r="G1960">
        <v>2052141874</v>
      </c>
      <c r="H1960">
        <v>258872522</v>
      </c>
      <c r="I1960">
        <v>224350624</v>
      </c>
      <c r="J1960">
        <v>192709558</v>
      </c>
      <c r="P1960">
        <v>120</v>
      </c>
      <c r="Q1960" t="s">
        <v>4242</v>
      </c>
    </row>
    <row r="1961" spans="1:17" x14ac:dyDescent="0.3">
      <c r="A1961" t="s">
        <v>17</v>
      </c>
      <c r="B1961" t="str">
        <f>"688318"</f>
        <v>688318</v>
      </c>
      <c r="C1961" t="s">
        <v>4243</v>
      </c>
      <c r="D1961" t="s">
        <v>945</v>
      </c>
      <c r="F1961">
        <v>326317681</v>
      </c>
      <c r="G1961">
        <v>273246060</v>
      </c>
      <c r="H1961">
        <v>225769240</v>
      </c>
      <c r="I1961">
        <v>195182551</v>
      </c>
      <c r="J1961">
        <v>169194994</v>
      </c>
      <c r="K1961">
        <v>179445500</v>
      </c>
      <c r="P1961">
        <v>155</v>
      </c>
      <c r="Q1961" t="s">
        <v>4244</v>
      </c>
    </row>
    <row r="1962" spans="1:17" x14ac:dyDescent="0.3">
      <c r="A1962" t="s">
        <v>17</v>
      </c>
      <c r="B1962" t="str">
        <f>"688319"</f>
        <v>688319</v>
      </c>
      <c r="C1962" t="s">
        <v>4245</v>
      </c>
      <c r="D1962" t="s">
        <v>1499</v>
      </c>
      <c r="F1962">
        <v>487151580</v>
      </c>
      <c r="G1962">
        <v>320109157</v>
      </c>
      <c r="H1962">
        <v>179114067</v>
      </c>
      <c r="I1962">
        <v>76335197</v>
      </c>
      <c r="J1962">
        <v>14592604</v>
      </c>
      <c r="P1962">
        <v>46</v>
      </c>
      <c r="Q1962" t="s">
        <v>4246</v>
      </c>
    </row>
    <row r="1963" spans="1:17" x14ac:dyDescent="0.3">
      <c r="A1963" t="s">
        <v>17</v>
      </c>
      <c r="B1963" t="str">
        <f>"688320"</f>
        <v>688320</v>
      </c>
      <c r="C1963" t="s">
        <v>4247</v>
      </c>
      <c r="F1963">
        <v>751456360</v>
      </c>
      <c r="G1963">
        <v>544039794</v>
      </c>
      <c r="H1963">
        <v>312899601</v>
      </c>
      <c r="I1963">
        <v>283017741</v>
      </c>
      <c r="P1963">
        <v>1</v>
      </c>
      <c r="Q1963" t="s">
        <v>4248</v>
      </c>
    </row>
    <row r="1964" spans="1:17" x14ac:dyDescent="0.3">
      <c r="A1964" t="s">
        <v>17</v>
      </c>
      <c r="B1964" t="str">
        <f>"688321"</f>
        <v>688321</v>
      </c>
      <c r="C1964" t="s">
        <v>4249</v>
      </c>
      <c r="D1964" t="s">
        <v>143</v>
      </c>
      <c r="F1964">
        <v>430449991</v>
      </c>
      <c r="G1964">
        <v>269469785</v>
      </c>
      <c r="H1964">
        <v>173800401</v>
      </c>
      <c r="I1964">
        <v>147688982</v>
      </c>
      <c r="J1964">
        <v>110503440</v>
      </c>
      <c r="K1964">
        <v>85364444</v>
      </c>
      <c r="P1964">
        <v>157</v>
      </c>
      <c r="Q1964" t="s">
        <v>4250</v>
      </c>
    </row>
    <row r="1965" spans="1:17" x14ac:dyDescent="0.3">
      <c r="A1965" t="s">
        <v>17</v>
      </c>
      <c r="B1965" t="str">
        <f>"688323"</f>
        <v>688323</v>
      </c>
      <c r="C1965" t="s">
        <v>4251</v>
      </c>
      <c r="D1965" t="s">
        <v>324</v>
      </c>
      <c r="F1965">
        <v>318815849</v>
      </c>
      <c r="G1965">
        <v>350161598</v>
      </c>
      <c r="H1965">
        <v>232341957</v>
      </c>
      <c r="I1965">
        <v>220126257</v>
      </c>
      <c r="J1965">
        <v>121066513</v>
      </c>
      <c r="P1965">
        <v>26</v>
      </c>
      <c r="Q1965" t="s">
        <v>4252</v>
      </c>
    </row>
    <row r="1966" spans="1:17" x14ac:dyDescent="0.3">
      <c r="A1966" t="s">
        <v>17</v>
      </c>
      <c r="B1966" t="str">
        <f>"688325"</f>
        <v>688325</v>
      </c>
      <c r="C1966" t="s">
        <v>4253</v>
      </c>
      <c r="F1966">
        <v>339183825</v>
      </c>
      <c r="G1966">
        <v>180117356</v>
      </c>
      <c r="H1966">
        <v>88736126</v>
      </c>
      <c r="I1966">
        <v>67262518</v>
      </c>
      <c r="P1966">
        <v>3</v>
      </c>
      <c r="Q1966" t="s">
        <v>4254</v>
      </c>
    </row>
    <row r="1967" spans="1:17" x14ac:dyDescent="0.3">
      <c r="A1967" t="s">
        <v>17</v>
      </c>
      <c r="B1967" t="str">
        <f>"688326"</f>
        <v>688326</v>
      </c>
      <c r="C1967" t="s">
        <v>4255</v>
      </c>
      <c r="F1967">
        <v>3262364006</v>
      </c>
      <c r="G1967">
        <v>2478752067</v>
      </c>
      <c r="H1967">
        <v>1845048802</v>
      </c>
      <c r="I1967">
        <v>1538703798</v>
      </c>
      <c r="P1967">
        <v>3</v>
      </c>
      <c r="Q1967" t="s">
        <v>4256</v>
      </c>
    </row>
    <row r="1968" spans="1:17" x14ac:dyDescent="0.3">
      <c r="A1968" t="s">
        <v>17</v>
      </c>
      <c r="B1968" t="str">
        <f>"688327"</f>
        <v>688327</v>
      </c>
      <c r="C1968" t="s">
        <v>4257</v>
      </c>
      <c r="F1968">
        <v>1075500139</v>
      </c>
      <c r="G1968">
        <v>754770956</v>
      </c>
      <c r="H1968">
        <v>807347205</v>
      </c>
      <c r="I1968">
        <v>484113384</v>
      </c>
      <c r="J1968">
        <v>64533735</v>
      </c>
      <c r="Q1968" t="s">
        <v>4258</v>
      </c>
    </row>
    <row r="1969" spans="1:17" x14ac:dyDescent="0.3">
      <c r="A1969" t="s">
        <v>17</v>
      </c>
      <c r="B1969" t="str">
        <f>"688328"</f>
        <v>688328</v>
      </c>
      <c r="C1969" t="s">
        <v>4259</v>
      </c>
      <c r="D1969" t="s">
        <v>741</v>
      </c>
      <c r="F1969">
        <v>910920747</v>
      </c>
      <c r="G1969">
        <v>648023211</v>
      </c>
      <c r="H1969">
        <v>471936166</v>
      </c>
      <c r="I1969">
        <v>455315628</v>
      </c>
      <c r="J1969">
        <v>308890946</v>
      </c>
      <c r="P1969">
        <v>39</v>
      </c>
      <c r="Q1969" t="s">
        <v>4260</v>
      </c>
    </row>
    <row r="1970" spans="1:17" x14ac:dyDescent="0.3">
      <c r="A1970" t="s">
        <v>17</v>
      </c>
      <c r="B1970" t="str">
        <f>"688329"</f>
        <v>688329</v>
      </c>
      <c r="C1970" t="s">
        <v>4261</v>
      </c>
      <c r="D1970" t="s">
        <v>3477</v>
      </c>
      <c r="F1970">
        <v>389321011</v>
      </c>
      <c r="G1970">
        <v>309979147</v>
      </c>
      <c r="H1970">
        <v>291427935</v>
      </c>
      <c r="I1970">
        <v>239257157</v>
      </c>
      <c r="J1970">
        <v>196050112</v>
      </c>
      <c r="P1970">
        <v>43</v>
      </c>
      <c r="Q1970" t="s">
        <v>4262</v>
      </c>
    </row>
    <row r="1971" spans="1:17" x14ac:dyDescent="0.3">
      <c r="A1971" t="s">
        <v>17</v>
      </c>
      <c r="B1971" t="str">
        <f>"688330"</f>
        <v>688330</v>
      </c>
      <c r="C1971" t="s">
        <v>4263</v>
      </c>
      <c r="D1971" t="s">
        <v>610</v>
      </c>
      <c r="F1971">
        <v>1132060846</v>
      </c>
      <c r="G1971">
        <v>908519852</v>
      </c>
      <c r="H1971">
        <v>705129605</v>
      </c>
      <c r="I1971">
        <v>414776436</v>
      </c>
      <c r="J1971">
        <v>252464244</v>
      </c>
      <c r="K1971">
        <v>316143396</v>
      </c>
      <c r="P1971">
        <v>92</v>
      </c>
      <c r="Q1971" t="s">
        <v>4264</v>
      </c>
    </row>
    <row r="1972" spans="1:17" x14ac:dyDescent="0.3">
      <c r="A1972" t="s">
        <v>17</v>
      </c>
      <c r="B1972" t="str">
        <f>"688331"</f>
        <v>688331</v>
      </c>
      <c r="C1972" t="s">
        <v>4265</v>
      </c>
      <c r="F1972">
        <v>1426360698</v>
      </c>
      <c r="G1972">
        <v>3044312</v>
      </c>
      <c r="H1972">
        <v>4824769</v>
      </c>
      <c r="I1972">
        <v>13275316</v>
      </c>
      <c r="P1972">
        <v>5</v>
      </c>
      <c r="Q1972" t="s">
        <v>4266</v>
      </c>
    </row>
    <row r="1973" spans="1:17" x14ac:dyDescent="0.3">
      <c r="A1973" t="s">
        <v>17</v>
      </c>
      <c r="B1973" t="str">
        <f>"688333"</f>
        <v>688333</v>
      </c>
      <c r="C1973" t="s">
        <v>4267</v>
      </c>
      <c r="D1973" t="s">
        <v>2321</v>
      </c>
      <c r="F1973">
        <v>551993023</v>
      </c>
      <c r="G1973">
        <v>412168054</v>
      </c>
      <c r="H1973">
        <v>321742830</v>
      </c>
      <c r="I1973">
        <v>291479177</v>
      </c>
      <c r="J1973">
        <v>219948364</v>
      </c>
      <c r="K1973">
        <v>166343271</v>
      </c>
      <c r="P1973">
        <v>117</v>
      </c>
      <c r="Q1973" t="s">
        <v>4268</v>
      </c>
    </row>
    <row r="1974" spans="1:17" x14ac:dyDescent="0.3">
      <c r="A1974" t="s">
        <v>17</v>
      </c>
      <c r="B1974" t="str">
        <f>"688335"</f>
        <v>688335</v>
      </c>
      <c r="C1974" t="s">
        <v>4269</v>
      </c>
      <c r="D1974" t="s">
        <v>33</v>
      </c>
      <c r="F1974">
        <v>313027972</v>
      </c>
      <c r="G1974">
        <v>375761413</v>
      </c>
      <c r="H1974">
        <v>343456783</v>
      </c>
      <c r="I1974">
        <v>188700832</v>
      </c>
      <c r="J1974">
        <v>91115455</v>
      </c>
      <c r="K1974">
        <v>103057122</v>
      </c>
      <c r="P1974">
        <v>61</v>
      </c>
      <c r="Q1974" t="s">
        <v>4270</v>
      </c>
    </row>
    <row r="1975" spans="1:17" x14ac:dyDescent="0.3">
      <c r="A1975" t="s">
        <v>17</v>
      </c>
      <c r="B1975" t="str">
        <f>"688336"</f>
        <v>688336</v>
      </c>
      <c r="C1975" t="s">
        <v>4271</v>
      </c>
      <c r="D1975" t="s">
        <v>1379</v>
      </c>
      <c r="F1975">
        <v>928806948</v>
      </c>
      <c r="G1975">
        <v>655005782</v>
      </c>
      <c r="H1975">
        <v>1177391804</v>
      </c>
      <c r="I1975">
        <v>1142245001</v>
      </c>
      <c r="J1975">
        <v>1103422461</v>
      </c>
      <c r="K1975">
        <v>961374558</v>
      </c>
      <c r="P1975">
        <v>52</v>
      </c>
      <c r="Q1975" t="s">
        <v>4272</v>
      </c>
    </row>
    <row r="1976" spans="1:17" x14ac:dyDescent="0.3">
      <c r="A1976" t="s">
        <v>17</v>
      </c>
      <c r="B1976" t="str">
        <f>"688337"</f>
        <v>688337</v>
      </c>
      <c r="C1976" t="s">
        <v>4273</v>
      </c>
      <c r="F1976">
        <v>483941810</v>
      </c>
      <c r="G1976">
        <v>354207185</v>
      </c>
      <c r="H1976">
        <v>303889735</v>
      </c>
      <c r="I1976">
        <v>292138146</v>
      </c>
      <c r="P1976">
        <v>3</v>
      </c>
      <c r="Q1976" t="s">
        <v>4274</v>
      </c>
    </row>
    <row r="1977" spans="1:17" x14ac:dyDescent="0.3">
      <c r="A1977" t="s">
        <v>17</v>
      </c>
      <c r="B1977" t="str">
        <f>"688338"</f>
        <v>688338</v>
      </c>
      <c r="C1977" t="s">
        <v>4275</v>
      </c>
      <c r="D1977" t="s">
        <v>1305</v>
      </c>
      <c r="F1977">
        <v>239915363</v>
      </c>
      <c r="G1977">
        <v>222398393</v>
      </c>
      <c r="H1977">
        <v>229568165</v>
      </c>
      <c r="I1977">
        <v>200090741</v>
      </c>
      <c r="J1977">
        <v>156701854</v>
      </c>
      <c r="K1977">
        <v>125368253</v>
      </c>
      <c r="P1977">
        <v>56</v>
      </c>
      <c r="Q1977" t="s">
        <v>4276</v>
      </c>
    </row>
    <row r="1978" spans="1:17" x14ac:dyDescent="0.3">
      <c r="A1978" t="s">
        <v>17</v>
      </c>
      <c r="B1978" t="str">
        <f>"688339"</f>
        <v>688339</v>
      </c>
      <c r="C1978" t="s">
        <v>4277</v>
      </c>
      <c r="D1978" t="s">
        <v>4278</v>
      </c>
      <c r="F1978">
        <v>629368761</v>
      </c>
      <c r="G1978">
        <v>572292866</v>
      </c>
      <c r="H1978">
        <v>553620001</v>
      </c>
      <c r="I1978">
        <v>368473941</v>
      </c>
      <c r="J1978">
        <v>201224940</v>
      </c>
      <c r="K1978">
        <v>137655965</v>
      </c>
      <c r="P1978">
        <v>153</v>
      </c>
      <c r="Q1978" t="s">
        <v>4279</v>
      </c>
    </row>
    <row r="1979" spans="1:17" x14ac:dyDescent="0.3">
      <c r="A1979" t="s">
        <v>17</v>
      </c>
      <c r="B1979" t="str">
        <f>"688345"</f>
        <v>688345</v>
      </c>
      <c r="C1979" t="s">
        <v>4280</v>
      </c>
      <c r="D1979" t="s">
        <v>359</v>
      </c>
      <c r="F1979">
        <v>2216819093</v>
      </c>
      <c r="G1979">
        <v>1431068156</v>
      </c>
      <c r="H1979">
        <v>1026286558</v>
      </c>
      <c r="I1979">
        <v>952878456</v>
      </c>
      <c r="J1979">
        <v>725397345</v>
      </c>
      <c r="P1979">
        <v>39</v>
      </c>
      <c r="Q1979" t="s">
        <v>4281</v>
      </c>
    </row>
    <row r="1980" spans="1:17" x14ac:dyDescent="0.3">
      <c r="A1980" t="s">
        <v>17</v>
      </c>
      <c r="B1980" t="str">
        <f>"688350"</f>
        <v>688350</v>
      </c>
      <c r="C1980" t="s">
        <v>4282</v>
      </c>
      <c r="D1980" t="s">
        <v>386</v>
      </c>
      <c r="F1980">
        <v>1452319318</v>
      </c>
      <c r="G1980">
        <v>1134782996</v>
      </c>
      <c r="H1980">
        <v>1130330549</v>
      </c>
      <c r="I1980">
        <v>1115517454</v>
      </c>
      <c r="J1980">
        <v>994184675</v>
      </c>
      <c r="P1980">
        <v>34</v>
      </c>
      <c r="Q1980" t="s">
        <v>4283</v>
      </c>
    </row>
    <row r="1981" spans="1:17" x14ac:dyDescent="0.3">
      <c r="A1981" t="s">
        <v>17</v>
      </c>
      <c r="B1981" t="str">
        <f>"688355"</f>
        <v>688355</v>
      </c>
      <c r="C1981" t="s">
        <v>4284</v>
      </c>
      <c r="D1981" t="s">
        <v>274</v>
      </c>
      <c r="F1981">
        <v>713788814</v>
      </c>
      <c r="G1981">
        <v>612474890</v>
      </c>
      <c r="H1981">
        <v>589971600</v>
      </c>
      <c r="I1981">
        <v>470644314</v>
      </c>
      <c r="J1981">
        <v>363217760</v>
      </c>
      <c r="P1981">
        <v>21</v>
      </c>
      <c r="Q1981" t="s">
        <v>4285</v>
      </c>
    </row>
    <row r="1982" spans="1:17" x14ac:dyDescent="0.3">
      <c r="A1982" t="s">
        <v>17</v>
      </c>
      <c r="B1982" t="str">
        <f>"688356"</f>
        <v>688356</v>
      </c>
      <c r="C1982" t="s">
        <v>4286</v>
      </c>
      <c r="D1982" t="s">
        <v>496</v>
      </c>
      <c r="F1982">
        <v>351190577</v>
      </c>
      <c r="G1982">
        <v>186622626</v>
      </c>
      <c r="H1982">
        <v>134319622</v>
      </c>
      <c r="I1982">
        <v>101268932</v>
      </c>
      <c r="J1982">
        <v>77090127</v>
      </c>
      <c r="K1982">
        <v>74281694</v>
      </c>
      <c r="P1982">
        <v>152</v>
      </c>
      <c r="Q1982" t="s">
        <v>4287</v>
      </c>
    </row>
    <row r="1983" spans="1:17" x14ac:dyDescent="0.3">
      <c r="A1983" t="s">
        <v>17</v>
      </c>
      <c r="B1983" t="str">
        <f>"688357"</f>
        <v>688357</v>
      </c>
      <c r="C1983" t="s">
        <v>4288</v>
      </c>
      <c r="D1983" t="s">
        <v>2762</v>
      </c>
      <c r="F1983">
        <v>877645727</v>
      </c>
      <c r="G1983">
        <v>451549982</v>
      </c>
      <c r="H1983">
        <v>405971995</v>
      </c>
      <c r="I1983">
        <v>378213254</v>
      </c>
      <c r="J1983">
        <v>244482266</v>
      </c>
      <c r="K1983">
        <v>130008984</v>
      </c>
      <c r="P1983">
        <v>159</v>
      </c>
      <c r="Q1983" t="s">
        <v>4289</v>
      </c>
    </row>
    <row r="1984" spans="1:17" x14ac:dyDescent="0.3">
      <c r="A1984" t="s">
        <v>17</v>
      </c>
      <c r="B1984" t="str">
        <f>"688358"</f>
        <v>688358</v>
      </c>
      <c r="C1984" t="s">
        <v>4290</v>
      </c>
      <c r="D1984" t="s">
        <v>122</v>
      </c>
      <c r="F1984">
        <v>397811875</v>
      </c>
      <c r="G1984">
        <v>333092750</v>
      </c>
      <c r="H1984">
        <v>369755665</v>
      </c>
      <c r="I1984">
        <v>326965666</v>
      </c>
      <c r="J1984">
        <v>271624446</v>
      </c>
      <c r="K1984">
        <v>166950516</v>
      </c>
      <c r="P1984">
        <v>122</v>
      </c>
      <c r="Q1984" t="s">
        <v>4291</v>
      </c>
    </row>
    <row r="1985" spans="1:17" x14ac:dyDescent="0.3">
      <c r="A1985" t="s">
        <v>17</v>
      </c>
      <c r="B1985" t="str">
        <f>"688359"</f>
        <v>688359</v>
      </c>
      <c r="C1985" t="s">
        <v>4292</v>
      </c>
      <c r="D1985" t="s">
        <v>2408</v>
      </c>
      <c r="F1985">
        <v>375651261</v>
      </c>
      <c r="G1985">
        <v>286763887</v>
      </c>
      <c r="H1985">
        <v>221360904</v>
      </c>
      <c r="I1985">
        <v>188486570</v>
      </c>
      <c r="J1985">
        <v>148915352</v>
      </c>
      <c r="P1985">
        <v>23</v>
      </c>
      <c r="Q1985" t="s">
        <v>4293</v>
      </c>
    </row>
    <row r="1986" spans="1:17" x14ac:dyDescent="0.3">
      <c r="A1986" t="s">
        <v>17</v>
      </c>
      <c r="B1986" t="str">
        <f>"688360"</f>
        <v>688360</v>
      </c>
      <c r="C1986" t="s">
        <v>4294</v>
      </c>
      <c r="D1986" t="s">
        <v>560</v>
      </c>
      <c r="F1986">
        <v>1482689872</v>
      </c>
      <c r="G1986">
        <v>766951847</v>
      </c>
      <c r="H1986">
        <v>789165907</v>
      </c>
      <c r="I1986">
        <v>721662382</v>
      </c>
      <c r="J1986">
        <v>604875428</v>
      </c>
      <c r="K1986">
        <v>401575877</v>
      </c>
      <c r="P1986">
        <v>84</v>
      </c>
      <c r="Q1986" t="s">
        <v>4295</v>
      </c>
    </row>
    <row r="1987" spans="1:17" x14ac:dyDescent="0.3">
      <c r="A1987" t="s">
        <v>17</v>
      </c>
      <c r="B1987" t="str">
        <f>"688363"</f>
        <v>688363</v>
      </c>
      <c r="C1987" t="s">
        <v>4296</v>
      </c>
      <c r="D1987" t="s">
        <v>4297</v>
      </c>
      <c r="F1987">
        <v>4947773756</v>
      </c>
      <c r="G1987">
        <v>2632733956</v>
      </c>
      <c r="H1987">
        <v>1885570722</v>
      </c>
      <c r="I1987">
        <v>1263145729</v>
      </c>
      <c r="J1987">
        <v>818049234</v>
      </c>
      <c r="K1987">
        <v>733122620</v>
      </c>
      <c r="P1987">
        <v>1155</v>
      </c>
      <c r="Q1987" t="s">
        <v>4298</v>
      </c>
    </row>
    <row r="1988" spans="1:17" x14ac:dyDescent="0.3">
      <c r="A1988" t="s">
        <v>17</v>
      </c>
      <c r="B1988" t="str">
        <f>"688365"</f>
        <v>688365</v>
      </c>
      <c r="C1988" t="s">
        <v>4299</v>
      </c>
      <c r="D1988" t="s">
        <v>316</v>
      </c>
      <c r="F1988">
        <v>545339075</v>
      </c>
      <c r="G1988">
        <v>509970348</v>
      </c>
      <c r="H1988">
        <v>465259792</v>
      </c>
      <c r="I1988">
        <v>465493823</v>
      </c>
      <c r="J1988">
        <v>358365763</v>
      </c>
      <c r="K1988">
        <v>262249857</v>
      </c>
      <c r="P1988">
        <v>72</v>
      </c>
      <c r="Q1988" t="s">
        <v>4300</v>
      </c>
    </row>
    <row r="1989" spans="1:17" x14ac:dyDescent="0.3">
      <c r="A1989" t="s">
        <v>17</v>
      </c>
      <c r="B1989" t="str">
        <f>"688366"</f>
        <v>688366</v>
      </c>
      <c r="C1989" t="s">
        <v>4301</v>
      </c>
      <c r="D1989" t="s">
        <v>1077</v>
      </c>
      <c r="F1989">
        <v>1766994314</v>
      </c>
      <c r="G1989">
        <v>1332427031</v>
      </c>
      <c r="H1989">
        <v>1604333867</v>
      </c>
      <c r="I1989">
        <v>1558452694</v>
      </c>
      <c r="J1989">
        <v>1354447480</v>
      </c>
      <c r="K1989">
        <v>861212296</v>
      </c>
      <c r="P1989">
        <v>267</v>
      </c>
      <c r="Q1989" t="s">
        <v>4302</v>
      </c>
    </row>
    <row r="1990" spans="1:17" x14ac:dyDescent="0.3">
      <c r="A1990" t="s">
        <v>17</v>
      </c>
      <c r="B1990" t="str">
        <f>"688367"</f>
        <v>688367</v>
      </c>
      <c r="C1990" t="s">
        <v>4303</v>
      </c>
      <c r="D1990" t="s">
        <v>1012</v>
      </c>
      <c r="F1990">
        <v>250470935</v>
      </c>
      <c r="G1990">
        <v>210933898</v>
      </c>
      <c r="H1990">
        <v>169427788</v>
      </c>
      <c r="I1990">
        <v>126797984</v>
      </c>
      <c r="J1990">
        <v>85997722</v>
      </c>
      <c r="P1990">
        <v>30</v>
      </c>
      <c r="Q1990" t="s">
        <v>4304</v>
      </c>
    </row>
    <row r="1991" spans="1:17" x14ac:dyDescent="0.3">
      <c r="A1991" t="s">
        <v>17</v>
      </c>
      <c r="B1991" t="str">
        <f>"688368"</f>
        <v>688368</v>
      </c>
      <c r="C1991" t="s">
        <v>4305</v>
      </c>
      <c r="D1991" t="s">
        <v>401</v>
      </c>
      <c r="F1991">
        <v>2302348184</v>
      </c>
      <c r="G1991">
        <v>1102942314</v>
      </c>
      <c r="H1991">
        <v>873676945</v>
      </c>
      <c r="I1991">
        <v>766591245</v>
      </c>
      <c r="J1991">
        <v>694378490</v>
      </c>
      <c r="K1991">
        <v>567493282</v>
      </c>
      <c r="P1991">
        <v>215</v>
      </c>
      <c r="Q1991" t="s">
        <v>4306</v>
      </c>
    </row>
    <row r="1992" spans="1:17" x14ac:dyDescent="0.3">
      <c r="A1992" t="s">
        <v>17</v>
      </c>
      <c r="B1992" t="str">
        <f>"688369"</f>
        <v>688369</v>
      </c>
      <c r="C1992" t="s">
        <v>4307</v>
      </c>
      <c r="D1992" t="s">
        <v>1189</v>
      </c>
      <c r="F1992">
        <v>1031229260</v>
      </c>
      <c r="G1992">
        <v>763291342</v>
      </c>
      <c r="H1992">
        <v>699836009</v>
      </c>
      <c r="I1992">
        <v>578092495</v>
      </c>
      <c r="J1992">
        <v>466915161</v>
      </c>
      <c r="K1992">
        <v>376592775</v>
      </c>
      <c r="P1992">
        <v>168</v>
      </c>
      <c r="Q1992" t="s">
        <v>4308</v>
      </c>
    </row>
    <row r="1993" spans="1:17" x14ac:dyDescent="0.3">
      <c r="A1993" t="s">
        <v>17</v>
      </c>
      <c r="B1993" t="str">
        <f>"688377"</f>
        <v>688377</v>
      </c>
      <c r="C1993" t="s">
        <v>4309</v>
      </c>
      <c r="D1993" t="s">
        <v>395</v>
      </c>
      <c r="F1993">
        <v>527937090</v>
      </c>
      <c r="G1993">
        <v>708103710</v>
      </c>
      <c r="H1993">
        <v>693896449</v>
      </c>
      <c r="I1993">
        <v>502533188</v>
      </c>
      <c r="J1993">
        <v>340121664</v>
      </c>
      <c r="K1993">
        <v>200775702</v>
      </c>
      <c r="P1993">
        <v>52</v>
      </c>
      <c r="Q1993" t="s">
        <v>4310</v>
      </c>
    </row>
    <row r="1994" spans="1:17" x14ac:dyDescent="0.3">
      <c r="A1994" t="s">
        <v>17</v>
      </c>
      <c r="B1994" t="str">
        <f>"688378"</f>
        <v>688378</v>
      </c>
      <c r="C1994" t="s">
        <v>4311</v>
      </c>
      <c r="D1994" t="s">
        <v>741</v>
      </c>
      <c r="F1994">
        <v>405946361</v>
      </c>
      <c r="G1994">
        <v>283535702</v>
      </c>
      <c r="H1994">
        <v>300664703</v>
      </c>
      <c r="I1994">
        <v>262438310</v>
      </c>
      <c r="J1994">
        <v>41440404</v>
      </c>
      <c r="P1994">
        <v>50</v>
      </c>
      <c r="Q1994" t="s">
        <v>4312</v>
      </c>
    </row>
    <row r="1995" spans="1:17" x14ac:dyDescent="0.3">
      <c r="A1995" t="s">
        <v>17</v>
      </c>
      <c r="B1995" t="str">
        <f>"688379"</f>
        <v>688379</v>
      </c>
      <c r="C1995" t="s">
        <v>4313</v>
      </c>
      <c r="D1995" t="s">
        <v>274</v>
      </c>
      <c r="F1995">
        <v>1210951593</v>
      </c>
      <c r="G1995">
        <v>860345498</v>
      </c>
      <c r="H1995">
        <v>767413782</v>
      </c>
      <c r="I1995">
        <v>670080621</v>
      </c>
      <c r="J1995">
        <v>622421565</v>
      </c>
      <c r="K1995">
        <v>477105525</v>
      </c>
      <c r="P1995">
        <v>36</v>
      </c>
      <c r="Q1995" t="s">
        <v>4314</v>
      </c>
    </row>
    <row r="1996" spans="1:17" x14ac:dyDescent="0.3">
      <c r="A1996" t="s">
        <v>17</v>
      </c>
      <c r="B1996" t="str">
        <f>"688383"</f>
        <v>688383</v>
      </c>
      <c r="C1996" t="s">
        <v>4315</v>
      </c>
      <c r="D1996" t="s">
        <v>741</v>
      </c>
      <c r="F1996">
        <v>1196636273</v>
      </c>
      <c r="G1996">
        <v>704330072</v>
      </c>
      <c r="H1996">
        <v>655299500</v>
      </c>
      <c r="I1996">
        <v>698930858</v>
      </c>
      <c r="J1996">
        <v>504912354</v>
      </c>
      <c r="P1996">
        <v>49</v>
      </c>
      <c r="Q1996" t="s">
        <v>4316</v>
      </c>
    </row>
    <row r="1997" spans="1:17" x14ac:dyDescent="0.3">
      <c r="A1997" t="s">
        <v>17</v>
      </c>
      <c r="B1997" t="str">
        <f>"688385"</f>
        <v>688385</v>
      </c>
      <c r="C1997" t="s">
        <v>4317</v>
      </c>
      <c r="D1997" t="s">
        <v>461</v>
      </c>
      <c r="F1997">
        <v>2577262347</v>
      </c>
      <c r="G1997">
        <v>1690896813</v>
      </c>
      <c r="H1997">
        <v>1472839382</v>
      </c>
      <c r="I1997">
        <v>1423791004</v>
      </c>
      <c r="J1997">
        <v>1449849639</v>
      </c>
      <c r="P1997">
        <v>47</v>
      </c>
      <c r="Q1997" t="s">
        <v>4318</v>
      </c>
    </row>
    <row r="1998" spans="1:17" x14ac:dyDescent="0.3">
      <c r="A1998" t="s">
        <v>17</v>
      </c>
      <c r="B1998" t="str">
        <f>"688386"</f>
        <v>688386</v>
      </c>
      <c r="C1998" t="s">
        <v>4319</v>
      </c>
      <c r="D1998" t="s">
        <v>324</v>
      </c>
      <c r="F1998">
        <v>316615241</v>
      </c>
      <c r="G1998">
        <v>277734747</v>
      </c>
      <c r="H1998">
        <v>245277978</v>
      </c>
      <c r="I1998">
        <v>208796644</v>
      </c>
      <c r="J1998">
        <v>183577413</v>
      </c>
      <c r="P1998">
        <v>43</v>
      </c>
      <c r="Q1998" t="s">
        <v>4320</v>
      </c>
    </row>
    <row r="1999" spans="1:17" x14ac:dyDescent="0.3">
      <c r="A1999" t="s">
        <v>17</v>
      </c>
      <c r="B1999" t="str">
        <f>"688388"</f>
        <v>688388</v>
      </c>
      <c r="C1999" t="s">
        <v>4321</v>
      </c>
      <c r="D1999" t="s">
        <v>263</v>
      </c>
      <c r="F1999">
        <v>2804179483</v>
      </c>
      <c r="G1999">
        <v>1202178945</v>
      </c>
      <c r="H1999">
        <v>1446049704</v>
      </c>
      <c r="I1999">
        <v>1153305551</v>
      </c>
      <c r="J1999">
        <v>566228609</v>
      </c>
      <c r="K1999">
        <v>418774094</v>
      </c>
      <c r="P1999">
        <v>288</v>
      </c>
      <c r="Q1999" t="s">
        <v>4322</v>
      </c>
    </row>
    <row r="2000" spans="1:17" x14ac:dyDescent="0.3">
      <c r="A2000" t="s">
        <v>17</v>
      </c>
      <c r="B2000" t="str">
        <f>"688389"</f>
        <v>688389</v>
      </c>
      <c r="C2000" t="s">
        <v>4323</v>
      </c>
      <c r="D2000" t="s">
        <v>1305</v>
      </c>
      <c r="F2000">
        <v>778107054</v>
      </c>
      <c r="G2000">
        <v>553823040</v>
      </c>
      <c r="H2000">
        <v>422644271</v>
      </c>
      <c r="I2000">
        <v>323429253</v>
      </c>
      <c r="J2000">
        <v>250829742</v>
      </c>
      <c r="K2000">
        <v>174536239</v>
      </c>
      <c r="P2000">
        <v>161</v>
      </c>
      <c r="Q2000" t="s">
        <v>4324</v>
      </c>
    </row>
    <row r="2001" spans="1:17" x14ac:dyDescent="0.3">
      <c r="A2001" t="s">
        <v>17</v>
      </c>
      <c r="B2001" t="str">
        <f>"688390"</f>
        <v>688390</v>
      </c>
      <c r="C2001" t="s">
        <v>4325</v>
      </c>
      <c r="D2001" t="s">
        <v>3824</v>
      </c>
      <c r="F2001">
        <v>2678113765</v>
      </c>
      <c r="G2001">
        <v>1589084063</v>
      </c>
      <c r="H2001">
        <v>945354025</v>
      </c>
      <c r="I2001">
        <v>835451887</v>
      </c>
      <c r="J2001">
        <v>1050195781</v>
      </c>
      <c r="K2001">
        <v>424676763</v>
      </c>
      <c r="P2001">
        <v>283</v>
      </c>
      <c r="Q2001" t="s">
        <v>4326</v>
      </c>
    </row>
    <row r="2002" spans="1:17" x14ac:dyDescent="0.3">
      <c r="A2002" t="s">
        <v>17</v>
      </c>
      <c r="B2002" t="str">
        <f>"688393"</f>
        <v>688393</v>
      </c>
      <c r="C2002" t="s">
        <v>4327</v>
      </c>
      <c r="D2002" t="s">
        <v>1305</v>
      </c>
      <c r="F2002">
        <v>438988844</v>
      </c>
      <c r="G2002">
        <v>375433112</v>
      </c>
      <c r="H2002">
        <v>355159970</v>
      </c>
      <c r="I2002">
        <v>306296199</v>
      </c>
      <c r="J2002">
        <v>260469662</v>
      </c>
      <c r="K2002">
        <v>241160419</v>
      </c>
      <c r="P2002">
        <v>76</v>
      </c>
      <c r="Q2002" t="s">
        <v>4328</v>
      </c>
    </row>
    <row r="2003" spans="1:17" x14ac:dyDescent="0.3">
      <c r="A2003" t="s">
        <v>17</v>
      </c>
      <c r="B2003" t="str">
        <f>"688395"</f>
        <v>688395</v>
      </c>
      <c r="C2003" t="s">
        <v>4329</v>
      </c>
      <c r="D2003" t="s">
        <v>2432</v>
      </c>
      <c r="F2003">
        <v>445450482</v>
      </c>
      <c r="G2003">
        <v>402925066</v>
      </c>
      <c r="H2003">
        <v>281122606</v>
      </c>
      <c r="I2003">
        <v>222567998</v>
      </c>
      <c r="J2003">
        <v>171013868</v>
      </c>
      <c r="P2003">
        <v>36</v>
      </c>
      <c r="Q2003" t="s">
        <v>4330</v>
      </c>
    </row>
    <row r="2004" spans="1:17" x14ac:dyDescent="0.3">
      <c r="A2004" t="s">
        <v>17</v>
      </c>
      <c r="B2004" t="str">
        <f>"688396"</f>
        <v>688396</v>
      </c>
      <c r="C2004" t="s">
        <v>4331</v>
      </c>
      <c r="D2004" t="s">
        <v>4332</v>
      </c>
      <c r="F2004">
        <v>9249202849</v>
      </c>
      <c r="G2004">
        <v>6977259188</v>
      </c>
      <c r="H2004">
        <v>5742784131</v>
      </c>
      <c r="I2004">
        <v>6270660167</v>
      </c>
      <c r="J2004">
        <v>5875589714</v>
      </c>
      <c r="K2004">
        <v>4396763350</v>
      </c>
      <c r="P2004">
        <v>495</v>
      </c>
      <c r="Q2004" t="s">
        <v>4333</v>
      </c>
    </row>
    <row r="2005" spans="1:17" x14ac:dyDescent="0.3">
      <c r="A2005" t="s">
        <v>17</v>
      </c>
      <c r="B2005" t="str">
        <f>"688398"</f>
        <v>688398</v>
      </c>
      <c r="C2005" t="s">
        <v>4334</v>
      </c>
      <c r="D2005" t="s">
        <v>386</v>
      </c>
      <c r="F2005">
        <v>711291543</v>
      </c>
      <c r="G2005">
        <v>516196825</v>
      </c>
      <c r="H2005">
        <v>400925826</v>
      </c>
      <c r="I2005">
        <v>307882750</v>
      </c>
      <c r="J2005">
        <v>205151314</v>
      </c>
      <c r="K2005">
        <v>112235902</v>
      </c>
      <c r="P2005">
        <v>81</v>
      </c>
      <c r="Q2005" t="s">
        <v>4335</v>
      </c>
    </row>
    <row r="2006" spans="1:17" x14ac:dyDescent="0.3">
      <c r="A2006" t="s">
        <v>17</v>
      </c>
      <c r="B2006" t="str">
        <f>"688399"</f>
        <v>688399</v>
      </c>
      <c r="C2006" t="s">
        <v>4336</v>
      </c>
      <c r="D2006" t="s">
        <v>1305</v>
      </c>
      <c r="F2006">
        <v>2839036343</v>
      </c>
      <c r="G2006">
        <v>1739680702</v>
      </c>
      <c r="H2006">
        <v>288794710</v>
      </c>
      <c r="I2006">
        <v>230700330</v>
      </c>
      <c r="J2006">
        <v>187286185</v>
      </c>
      <c r="K2006">
        <v>129141955</v>
      </c>
      <c r="P2006">
        <v>373</v>
      </c>
      <c r="Q2006" t="s">
        <v>4337</v>
      </c>
    </row>
    <row r="2007" spans="1:17" x14ac:dyDescent="0.3">
      <c r="A2007" t="s">
        <v>17</v>
      </c>
      <c r="B2007" t="str">
        <f>"688408"</f>
        <v>688408</v>
      </c>
      <c r="C2007" t="s">
        <v>4338</v>
      </c>
      <c r="D2007" t="s">
        <v>478</v>
      </c>
      <c r="F2007">
        <v>2415358785</v>
      </c>
      <c r="G2007">
        <v>3128604673</v>
      </c>
      <c r="H2007">
        <v>2281771555</v>
      </c>
      <c r="I2007">
        <v>2073504140</v>
      </c>
      <c r="J2007">
        <v>1580529779</v>
      </c>
      <c r="P2007">
        <v>114</v>
      </c>
      <c r="Q2007" t="s">
        <v>4339</v>
      </c>
    </row>
    <row r="2008" spans="1:17" x14ac:dyDescent="0.3">
      <c r="A2008" t="s">
        <v>17</v>
      </c>
      <c r="B2008" t="str">
        <f>"688418"</f>
        <v>688418</v>
      </c>
      <c r="C2008" t="s">
        <v>4340</v>
      </c>
      <c r="D2008" t="s">
        <v>595</v>
      </c>
      <c r="F2008">
        <v>464294560</v>
      </c>
      <c r="G2008">
        <v>499891187</v>
      </c>
      <c r="H2008">
        <v>424272295</v>
      </c>
      <c r="I2008">
        <v>478775232</v>
      </c>
      <c r="J2008">
        <v>262356285</v>
      </c>
      <c r="K2008">
        <v>183956892</v>
      </c>
      <c r="P2008">
        <v>40</v>
      </c>
      <c r="Q2008" t="s">
        <v>4341</v>
      </c>
    </row>
    <row r="2009" spans="1:17" x14ac:dyDescent="0.3">
      <c r="A2009" t="s">
        <v>17</v>
      </c>
      <c r="B2009" t="str">
        <f>"688425"</f>
        <v>688425</v>
      </c>
      <c r="C2009" t="s">
        <v>4342</v>
      </c>
      <c r="D2009" t="s">
        <v>83</v>
      </c>
      <c r="F2009">
        <v>9517286651</v>
      </c>
      <c r="G2009">
        <v>7610744657</v>
      </c>
      <c r="H2009">
        <v>7281674049</v>
      </c>
      <c r="I2009">
        <v>7931175841</v>
      </c>
      <c r="J2009">
        <v>6651480353</v>
      </c>
      <c r="P2009">
        <v>40</v>
      </c>
      <c r="Q2009" t="s">
        <v>4343</v>
      </c>
    </row>
    <row r="2010" spans="1:17" x14ac:dyDescent="0.3">
      <c r="A2010" t="s">
        <v>17</v>
      </c>
      <c r="B2010" t="str">
        <f>"688456"</f>
        <v>688456</v>
      </c>
      <c r="C2010" t="s">
        <v>4344</v>
      </c>
      <c r="D2010" t="s">
        <v>263</v>
      </c>
      <c r="F2010">
        <v>2780806538</v>
      </c>
      <c r="G2010">
        <v>1736306084</v>
      </c>
      <c r="H2010">
        <v>1711847464</v>
      </c>
      <c r="I2010">
        <v>1797873473</v>
      </c>
      <c r="J2010">
        <v>1640717554</v>
      </c>
      <c r="P2010">
        <v>28</v>
      </c>
      <c r="Q2010" t="s">
        <v>4345</v>
      </c>
    </row>
    <row r="2011" spans="1:17" x14ac:dyDescent="0.3">
      <c r="A2011" t="s">
        <v>17</v>
      </c>
      <c r="B2011" t="str">
        <f>"688466"</f>
        <v>688466</v>
      </c>
      <c r="C2011" t="s">
        <v>4346</v>
      </c>
      <c r="D2011" t="s">
        <v>33</v>
      </c>
      <c r="F2011">
        <v>559511481</v>
      </c>
      <c r="G2011">
        <v>557212041</v>
      </c>
      <c r="H2011">
        <v>504557543</v>
      </c>
      <c r="I2011">
        <v>402146376</v>
      </c>
      <c r="J2011">
        <v>262867116</v>
      </c>
      <c r="K2011">
        <v>166673325</v>
      </c>
      <c r="P2011">
        <v>60</v>
      </c>
      <c r="Q2011" t="s">
        <v>4347</v>
      </c>
    </row>
    <row r="2012" spans="1:17" x14ac:dyDescent="0.3">
      <c r="A2012" t="s">
        <v>17</v>
      </c>
      <c r="B2012" t="str">
        <f>"688468"</f>
        <v>688468</v>
      </c>
      <c r="C2012" t="s">
        <v>4348</v>
      </c>
      <c r="D2012" t="s">
        <v>1305</v>
      </c>
      <c r="F2012">
        <v>470774575</v>
      </c>
      <c r="G2012">
        <v>418200080</v>
      </c>
      <c r="H2012">
        <v>454666503</v>
      </c>
      <c r="I2012">
        <v>366058490</v>
      </c>
      <c r="J2012">
        <v>318603044</v>
      </c>
      <c r="P2012">
        <v>39</v>
      </c>
      <c r="Q2012" t="s">
        <v>4349</v>
      </c>
    </row>
    <row r="2013" spans="1:17" x14ac:dyDescent="0.3">
      <c r="A2013" t="s">
        <v>17</v>
      </c>
      <c r="B2013" t="str">
        <f>"688488"</f>
        <v>688488</v>
      </c>
      <c r="C2013" t="s">
        <v>4350</v>
      </c>
      <c r="D2013" t="s">
        <v>1379</v>
      </c>
      <c r="F2013">
        <v>255709509</v>
      </c>
      <c r="G2013">
        <v>289056181</v>
      </c>
      <c r="H2013">
        <v>345225158</v>
      </c>
      <c r="I2013">
        <v>276905637</v>
      </c>
      <c r="J2013">
        <v>136264416</v>
      </c>
      <c r="K2013">
        <v>257842256</v>
      </c>
      <c r="P2013">
        <v>44</v>
      </c>
      <c r="Q2013" t="s">
        <v>4351</v>
      </c>
    </row>
    <row r="2014" spans="1:17" x14ac:dyDescent="0.3">
      <c r="A2014" t="s">
        <v>17</v>
      </c>
      <c r="B2014" t="str">
        <f>"688499"</f>
        <v>688499</v>
      </c>
      <c r="C2014" t="s">
        <v>4352</v>
      </c>
      <c r="D2014" t="s">
        <v>3776</v>
      </c>
      <c r="F2014">
        <v>2331349002</v>
      </c>
      <c r="G2014">
        <v>1429965193</v>
      </c>
      <c r="H2014">
        <v>888896903</v>
      </c>
      <c r="I2014">
        <v>671602821</v>
      </c>
      <c r="J2014">
        <v>400045030</v>
      </c>
      <c r="K2014">
        <v>228972560</v>
      </c>
      <c r="P2014">
        <v>65</v>
      </c>
      <c r="Q2014" t="s">
        <v>4353</v>
      </c>
    </row>
    <row r="2015" spans="1:17" x14ac:dyDescent="0.3">
      <c r="A2015" t="s">
        <v>17</v>
      </c>
      <c r="B2015" t="str">
        <f>"688500"</f>
        <v>688500</v>
      </c>
      <c r="C2015" t="s">
        <v>4354</v>
      </c>
      <c r="D2015" t="s">
        <v>316</v>
      </c>
      <c r="F2015">
        <v>475981997</v>
      </c>
      <c r="G2015">
        <v>389342429</v>
      </c>
      <c r="H2015">
        <v>383939431</v>
      </c>
      <c r="I2015">
        <v>360227054</v>
      </c>
      <c r="J2015">
        <v>316558313</v>
      </c>
      <c r="K2015">
        <v>304045677</v>
      </c>
      <c r="P2015">
        <v>26</v>
      </c>
      <c r="Q2015" t="s">
        <v>4355</v>
      </c>
    </row>
    <row r="2016" spans="1:17" x14ac:dyDescent="0.3">
      <c r="A2016" t="s">
        <v>17</v>
      </c>
      <c r="B2016" t="str">
        <f>"688501"</f>
        <v>688501</v>
      </c>
      <c r="C2016" t="s">
        <v>4356</v>
      </c>
      <c r="D2016" t="s">
        <v>1070</v>
      </c>
      <c r="F2016">
        <v>627919291</v>
      </c>
      <c r="G2016">
        <v>557564592</v>
      </c>
      <c r="H2016">
        <v>529214728</v>
      </c>
      <c r="I2016">
        <v>586983681</v>
      </c>
      <c r="J2016">
        <v>666248498</v>
      </c>
      <c r="P2016">
        <v>24</v>
      </c>
      <c r="Q2016" t="s">
        <v>4357</v>
      </c>
    </row>
    <row r="2017" spans="1:17" x14ac:dyDescent="0.3">
      <c r="A2017" t="s">
        <v>17</v>
      </c>
      <c r="B2017" t="str">
        <f>"688505"</f>
        <v>688505</v>
      </c>
      <c r="C2017" t="s">
        <v>4358</v>
      </c>
      <c r="D2017" t="s">
        <v>143</v>
      </c>
      <c r="F2017">
        <v>1140313088</v>
      </c>
      <c r="G2017">
        <v>833802693</v>
      </c>
      <c r="H2017">
        <v>1029294769</v>
      </c>
      <c r="I2017">
        <v>741841425</v>
      </c>
      <c r="J2017">
        <v>510591851</v>
      </c>
      <c r="K2017">
        <v>638992006</v>
      </c>
      <c r="P2017">
        <v>69</v>
      </c>
      <c r="Q2017" t="s">
        <v>4359</v>
      </c>
    </row>
    <row r="2018" spans="1:17" x14ac:dyDescent="0.3">
      <c r="A2018" t="s">
        <v>17</v>
      </c>
      <c r="B2018" t="str">
        <f>"688508"</f>
        <v>688508</v>
      </c>
      <c r="C2018" t="s">
        <v>4360</v>
      </c>
      <c r="D2018" t="s">
        <v>401</v>
      </c>
      <c r="F2018">
        <v>753171013</v>
      </c>
      <c r="G2018">
        <v>429298727</v>
      </c>
      <c r="H2018">
        <v>335103535</v>
      </c>
      <c r="I2018">
        <v>312305204</v>
      </c>
      <c r="J2018">
        <v>274490663</v>
      </c>
      <c r="K2018">
        <v>229534202</v>
      </c>
      <c r="P2018">
        <v>167</v>
      </c>
      <c r="Q2018" t="s">
        <v>4361</v>
      </c>
    </row>
    <row r="2019" spans="1:17" x14ac:dyDescent="0.3">
      <c r="A2019" t="s">
        <v>17</v>
      </c>
      <c r="B2019" t="str">
        <f>"688509"</f>
        <v>688509</v>
      </c>
      <c r="C2019" t="s">
        <v>4362</v>
      </c>
      <c r="D2019" t="s">
        <v>316</v>
      </c>
      <c r="F2019">
        <v>1567453717</v>
      </c>
      <c r="G2019">
        <v>1676032959</v>
      </c>
      <c r="H2019">
        <v>1935711481</v>
      </c>
      <c r="I2019">
        <v>1653492263</v>
      </c>
      <c r="J2019">
        <v>1604704000</v>
      </c>
      <c r="P2019">
        <v>17</v>
      </c>
      <c r="Q2019" t="s">
        <v>4363</v>
      </c>
    </row>
    <row r="2020" spans="1:17" x14ac:dyDescent="0.3">
      <c r="A2020" t="s">
        <v>17</v>
      </c>
      <c r="B2020" t="str">
        <f>"688510"</f>
        <v>688510</v>
      </c>
      <c r="C2020" t="s">
        <v>4364</v>
      </c>
      <c r="D2020" t="s">
        <v>98</v>
      </c>
      <c r="F2020">
        <v>312636486</v>
      </c>
      <c r="G2020">
        <v>301120951</v>
      </c>
      <c r="H2020">
        <v>257604362</v>
      </c>
      <c r="I2020">
        <v>161442014</v>
      </c>
      <c r="J2020">
        <v>97553161</v>
      </c>
      <c r="K2020">
        <v>31034184</v>
      </c>
      <c r="P2020">
        <v>66</v>
      </c>
      <c r="Q2020" t="s">
        <v>4365</v>
      </c>
    </row>
    <row r="2021" spans="1:17" x14ac:dyDescent="0.3">
      <c r="A2021" t="s">
        <v>17</v>
      </c>
      <c r="B2021" t="str">
        <f>"688511"</f>
        <v>688511</v>
      </c>
      <c r="C2021" t="s">
        <v>4366</v>
      </c>
      <c r="D2021" t="s">
        <v>1136</v>
      </c>
      <c r="F2021">
        <v>208053762</v>
      </c>
      <c r="G2021">
        <v>234899281</v>
      </c>
      <c r="H2021">
        <v>151663787</v>
      </c>
      <c r="I2021">
        <v>42525343</v>
      </c>
      <c r="J2021">
        <v>24211393</v>
      </c>
      <c r="P2021">
        <v>23</v>
      </c>
      <c r="Q2021" t="s">
        <v>4367</v>
      </c>
    </row>
    <row r="2022" spans="1:17" x14ac:dyDescent="0.3">
      <c r="A2022" t="s">
        <v>17</v>
      </c>
      <c r="B2022" t="str">
        <f>"688513"</f>
        <v>688513</v>
      </c>
      <c r="C2022" t="s">
        <v>4368</v>
      </c>
      <c r="D2022" t="s">
        <v>143</v>
      </c>
      <c r="F2022">
        <v>1022935588</v>
      </c>
      <c r="G2022">
        <v>921918474</v>
      </c>
      <c r="H2022">
        <v>947235160</v>
      </c>
      <c r="I2022">
        <v>768758601</v>
      </c>
      <c r="J2022">
        <v>476337982</v>
      </c>
      <c r="K2022">
        <v>338801754</v>
      </c>
      <c r="P2022">
        <v>58</v>
      </c>
      <c r="Q2022" t="s">
        <v>4369</v>
      </c>
    </row>
    <row r="2023" spans="1:17" x14ac:dyDescent="0.3">
      <c r="A2023" t="s">
        <v>17</v>
      </c>
      <c r="B2023" t="str">
        <f>"688516"</f>
        <v>688516</v>
      </c>
      <c r="C2023" t="s">
        <v>4370</v>
      </c>
      <c r="D2023" t="s">
        <v>2671</v>
      </c>
      <c r="F2023">
        <v>2046727470</v>
      </c>
      <c r="G2023">
        <v>1143873113</v>
      </c>
      <c r="H2023">
        <v>754202135</v>
      </c>
      <c r="I2023">
        <v>586002668</v>
      </c>
      <c r="J2023">
        <v>566026003</v>
      </c>
      <c r="K2023">
        <v>439769893</v>
      </c>
      <c r="P2023">
        <v>152</v>
      </c>
      <c r="Q2023" t="s">
        <v>4371</v>
      </c>
    </row>
    <row r="2024" spans="1:17" x14ac:dyDescent="0.3">
      <c r="A2024" t="s">
        <v>17</v>
      </c>
      <c r="B2024" t="str">
        <f>"688517"</f>
        <v>688517</v>
      </c>
      <c r="C2024" t="s">
        <v>4372</v>
      </c>
      <c r="D2024" t="s">
        <v>657</v>
      </c>
      <c r="F2024">
        <v>531839447</v>
      </c>
      <c r="G2024">
        <v>527959267</v>
      </c>
      <c r="H2024">
        <v>505894499</v>
      </c>
      <c r="I2024">
        <v>510535895</v>
      </c>
      <c r="J2024">
        <v>509718712</v>
      </c>
      <c r="P2024">
        <v>19</v>
      </c>
      <c r="Q2024" t="s">
        <v>4373</v>
      </c>
    </row>
    <row r="2025" spans="1:17" x14ac:dyDescent="0.3">
      <c r="A2025" t="s">
        <v>17</v>
      </c>
      <c r="B2025" t="str">
        <f>"688518"</f>
        <v>688518</v>
      </c>
      <c r="C2025" t="s">
        <v>4374</v>
      </c>
      <c r="D2025" t="s">
        <v>3811</v>
      </c>
      <c r="F2025">
        <v>1399752948</v>
      </c>
      <c r="G2025">
        <v>877925501</v>
      </c>
      <c r="H2025">
        <v>1010933835</v>
      </c>
      <c r="I2025">
        <v>981300085</v>
      </c>
      <c r="J2025">
        <v>727774246</v>
      </c>
      <c r="K2025">
        <v>416203334</v>
      </c>
      <c r="P2025">
        <v>65</v>
      </c>
      <c r="Q2025" t="s">
        <v>4375</v>
      </c>
    </row>
    <row r="2026" spans="1:17" x14ac:dyDescent="0.3">
      <c r="A2026" t="s">
        <v>17</v>
      </c>
      <c r="B2026" t="str">
        <f>"688519"</f>
        <v>688519</v>
      </c>
      <c r="C2026" t="s">
        <v>4376</v>
      </c>
      <c r="D2026" t="s">
        <v>425</v>
      </c>
      <c r="F2026">
        <v>4207119602</v>
      </c>
      <c r="G2026">
        <v>2120681374</v>
      </c>
      <c r="H2026">
        <v>1758170171</v>
      </c>
      <c r="I2026">
        <v>1838013818</v>
      </c>
      <c r="J2026">
        <v>1638519682</v>
      </c>
      <c r="P2026">
        <v>80</v>
      </c>
      <c r="Q2026" t="s">
        <v>4377</v>
      </c>
    </row>
    <row r="2027" spans="1:17" x14ac:dyDescent="0.3">
      <c r="A2027" t="s">
        <v>17</v>
      </c>
      <c r="B2027" t="str">
        <f>"688520"</f>
        <v>688520</v>
      </c>
      <c r="C2027" t="s">
        <v>4378</v>
      </c>
      <c r="D2027" t="s">
        <v>1379</v>
      </c>
      <c r="F2027">
        <v>134392818</v>
      </c>
      <c r="G2027">
        <v>328165</v>
      </c>
      <c r="H2027">
        <v>2638317</v>
      </c>
      <c r="I2027">
        <v>2945672</v>
      </c>
      <c r="J2027">
        <v>5992730</v>
      </c>
      <c r="K2027">
        <v>98125823</v>
      </c>
      <c r="P2027">
        <v>90</v>
      </c>
      <c r="Q2027" t="s">
        <v>4379</v>
      </c>
    </row>
    <row r="2028" spans="1:17" x14ac:dyDescent="0.3">
      <c r="A2028" t="s">
        <v>17</v>
      </c>
      <c r="B2028" t="str">
        <f>"688521"</f>
        <v>688521</v>
      </c>
      <c r="C2028" t="s">
        <v>4380</v>
      </c>
      <c r="D2028" t="s">
        <v>461</v>
      </c>
      <c r="F2028">
        <v>2139314812</v>
      </c>
      <c r="G2028">
        <v>1506129299</v>
      </c>
      <c r="H2028">
        <v>1339914550</v>
      </c>
      <c r="I2028">
        <v>1057497554</v>
      </c>
      <c r="J2028">
        <v>1079916293</v>
      </c>
      <c r="K2028">
        <v>833235312</v>
      </c>
      <c r="P2028">
        <v>140</v>
      </c>
      <c r="Q2028" t="s">
        <v>4381</v>
      </c>
    </row>
    <row r="2029" spans="1:17" x14ac:dyDescent="0.3">
      <c r="A2029" t="s">
        <v>17</v>
      </c>
      <c r="B2029" t="str">
        <f>"688526"</f>
        <v>688526</v>
      </c>
      <c r="C2029" t="s">
        <v>4382</v>
      </c>
      <c r="D2029" t="s">
        <v>453</v>
      </c>
      <c r="F2029">
        <v>1103021005</v>
      </c>
      <c r="G2029">
        <v>843227688</v>
      </c>
      <c r="H2029">
        <v>507511165</v>
      </c>
      <c r="I2029">
        <v>735300094</v>
      </c>
      <c r="J2029">
        <v>632834937</v>
      </c>
      <c r="K2029">
        <v>390397645</v>
      </c>
      <c r="P2029">
        <v>147</v>
      </c>
      <c r="Q2029" t="s">
        <v>4383</v>
      </c>
    </row>
    <row r="2030" spans="1:17" x14ac:dyDescent="0.3">
      <c r="A2030" t="s">
        <v>17</v>
      </c>
      <c r="B2030" t="str">
        <f>"688528"</f>
        <v>688528</v>
      </c>
      <c r="C2030" t="s">
        <v>4384</v>
      </c>
      <c r="D2030" t="s">
        <v>2566</v>
      </c>
      <c r="F2030">
        <v>305677208</v>
      </c>
      <c r="G2030">
        <v>302084839</v>
      </c>
      <c r="H2030">
        <v>244940478</v>
      </c>
      <c r="I2030">
        <v>202691504</v>
      </c>
      <c r="J2030">
        <v>161126241</v>
      </c>
      <c r="K2030">
        <v>120533855</v>
      </c>
      <c r="P2030">
        <v>42</v>
      </c>
      <c r="Q2030" t="s">
        <v>4385</v>
      </c>
    </row>
    <row r="2031" spans="1:17" x14ac:dyDescent="0.3">
      <c r="A2031" t="s">
        <v>17</v>
      </c>
      <c r="B2031" t="str">
        <f>"688529"</f>
        <v>688529</v>
      </c>
      <c r="C2031" t="s">
        <v>4386</v>
      </c>
      <c r="D2031" t="s">
        <v>741</v>
      </c>
      <c r="F2031">
        <v>1193362599</v>
      </c>
      <c r="G2031">
        <v>1036543749</v>
      </c>
      <c r="H2031">
        <v>1050895995</v>
      </c>
      <c r="I2031">
        <v>816946272</v>
      </c>
      <c r="J2031">
        <v>654576619</v>
      </c>
      <c r="P2031">
        <v>33</v>
      </c>
      <c r="Q2031" t="s">
        <v>4387</v>
      </c>
    </row>
    <row r="2032" spans="1:17" x14ac:dyDescent="0.3">
      <c r="A2032" t="s">
        <v>17</v>
      </c>
      <c r="B2032" t="str">
        <f>"688533"</f>
        <v>688533</v>
      </c>
      <c r="C2032" t="s">
        <v>4388</v>
      </c>
      <c r="D2032" t="s">
        <v>1415</v>
      </c>
      <c r="F2032">
        <v>1301980148</v>
      </c>
      <c r="G2032">
        <v>1088039567</v>
      </c>
      <c r="H2032">
        <v>1194653116</v>
      </c>
      <c r="I2032">
        <v>1238485722</v>
      </c>
      <c r="J2032">
        <v>1221334034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"688536"</f>
        <v>688536</v>
      </c>
      <c r="C2033" t="s">
        <v>4390</v>
      </c>
      <c r="D2033" t="s">
        <v>401</v>
      </c>
      <c r="F2033">
        <v>1325948911</v>
      </c>
      <c r="G2033">
        <v>566488518</v>
      </c>
      <c r="H2033">
        <v>303575906</v>
      </c>
      <c r="I2033">
        <v>113926440</v>
      </c>
      <c r="J2033">
        <v>111796170</v>
      </c>
      <c r="P2033">
        <v>199</v>
      </c>
      <c r="Q2033" t="s">
        <v>4391</v>
      </c>
    </row>
    <row r="2034" spans="1:17" x14ac:dyDescent="0.3">
      <c r="A2034" t="s">
        <v>17</v>
      </c>
      <c r="B2034" t="str">
        <f>"688538"</f>
        <v>688538</v>
      </c>
      <c r="C2034" t="s">
        <v>4392</v>
      </c>
      <c r="D2034" t="s">
        <v>1117</v>
      </c>
      <c r="F2034">
        <v>4020546615</v>
      </c>
      <c r="G2034">
        <v>2502054360</v>
      </c>
      <c r="H2034">
        <v>1513085342</v>
      </c>
      <c r="I2034">
        <v>802582086</v>
      </c>
      <c r="J2034">
        <v>616361870</v>
      </c>
      <c r="P2034">
        <v>37</v>
      </c>
      <c r="Q2034" t="s">
        <v>4393</v>
      </c>
    </row>
    <row r="2035" spans="1:17" x14ac:dyDescent="0.3">
      <c r="A2035" t="s">
        <v>17</v>
      </c>
      <c r="B2035" t="str">
        <f>"688550"</f>
        <v>688550</v>
      </c>
      <c r="C2035" t="s">
        <v>4394</v>
      </c>
      <c r="D2035" t="s">
        <v>2408</v>
      </c>
      <c r="F2035">
        <v>1525576435</v>
      </c>
      <c r="G2035">
        <v>1049609791</v>
      </c>
      <c r="H2035">
        <v>990229162</v>
      </c>
      <c r="I2035">
        <v>856567198</v>
      </c>
      <c r="J2035">
        <v>719104094</v>
      </c>
      <c r="P2035">
        <v>54</v>
      </c>
      <c r="Q2035" t="s">
        <v>4395</v>
      </c>
    </row>
    <row r="2036" spans="1:17" x14ac:dyDescent="0.3">
      <c r="A2036" t="s">
        <v>17</v>
      </c>
      <c r="B2036" t="str">
        <f>"688551"</f>
        <v>688551</v>
      </c>
      <c r="C2036" t="s">
        <v>4396</v>
      </c>
      <c r="D2036" t="s">
        <v>880</v>
      </c>
      <c r="F2036">
        <v>247522361</v>
      </c>
      <c r="G2036">
        <v>162480888</v>
      </c>
      <c r="H2036">
        <v>169448908</v>
      </c>
      <c r="I2036">
        <v>139998327</v>
      </c>
      <c r="J2036">
        <v>98788141</v>
      </c>
      <c r="P2036">
        <v>39</v>
      </c>
      <c r="Q2036" t="s">
        <v>4397</v>
      </c>
    </row>
    <row r="2037" spans="1:17" x14ac:dyDescent="0.3">
      <c r="A2037" t="s">
        <v>17</v>
      </c>
      <c r="B2037" t="str">
        <f>"688553"</f>
        <v>688553</v>
      </c>
      <c r="C2037" t="s">
        <v>4398</v>
      </c>
      <c r="D2037" t="s">
        <v>143</v>
      </c>
      <c r="F2037">
        <v>1823733127</v>
      </c>
      <c r="G2037">
        <v>1364197468</v>
      </c>
      <c r="H2037">
        <v>707076221</v>
      </c>
      <c r="I2037">
        <v>54320144</v>
      </c>
      <c r="J2037">
        <v>13983835</v>
      </c>
      <c r="P2037">
        <v>30</v>
      </c>
      <c r="Q2037" t="s">
        <v>4399</v>
      </c>
    </row>
    <row r="2038" spans="1:17" x14ac:dyDescent="0.3">
      <c r="A2038" t="s">
        <v>17</v>
      </c>
      <c r="B2038" t="str">
        <f>"688555"</f>
        <v>688555</v>
      </c>
      <c r="C2038" t="s">
        <v>4400</v>
      </c>
      <c r="D2038" t="s">
        <v>945</v>
      </c>
      <c r="F2038">
        <v>329016778</v>
      </c>
      <c r="G2038">
        <v>255704077</v>
      </c>
      <c r="H2038">
        <v>221300314</v>
      </c>
      <c r="I2038">
        <v>202277329</v>
      </c>
      <c r="J2038">
        <v>123834989</v>
      </c>
      <c r="K2038">
        <v>72191100</v>
      </c>
      <c r="P2038">
        <v>55</v>
      </c>
      <c r="Q2038" t="s">
        <v>4401</v>
      </c>
    </row>
    <row r="2039" spans="1:17" x14ac:dyDescent="0.3">
      <c r="A2039" t="s">
        <v>17</v>
      </c>
      <c r="B2039" t="str">
        <f>"688556"</f>
        <v>688556</v>
      </c>
      <c r="C2039" t="s">
        <v>4402</v>
      </c>
      <c r="D2039" t="s">
        <v>2671</v>
      </c>
      <c r="F2039">
        <v>1566596736</v>
      </c>
      <c r="G2039">
        <v>746097434</v>
      </c>
      <c r="H2039">
        <v>714240610</v>
      </c>
      <c r="I2039">
        <v>606697606</v>
      </c>
      <c r="J2039">
        <v>425306100</v>
      </c>
      <c r="K2039">
        <v>146916734</v>
      </c>
      <c r="P2039">
        <v>69</v>
      </c>
      <c r="Q2039" t="s">
        <v>4403</v>
      </c>
    </row>
    <row r="2040" spans="1:17" x14ac:dyDescent="0.3">
      <c r="A2040" t="s">
        <v>17</v>
      </c>
      <c r="B2040" t="str">
        <f>"688557"</f>
        <v>688557</v>
      </c>
      <c r="C2040" t="s">
        <v>4404</v>
      </c>
      <c r="D2040" t="s">
        <v>560</v>
      </c>
      <c r="F2040">
        <v>603889939</v>
      </c>
      <c r="G2040">
        <v>451802459</v>
      </c>
      <c r="H2040">
        <v>395401511</v>
      </c>
      <c r="I2040">
        <v>348502108</v>
      </c>
      <c r="J2040">
        <v>150864302</v>
      </c>
      <c r="P2040">
        <v>47</v>
      </c>
      <c r="Q2040" t="s">
        <v>4405</v>
      </c>
    </row>
    <row r="2041" spans="1:17" x14ac:dyDescent="0.3">
      <c r="A2041" t="s">
        <v>17</v>
      </c>
      <c r="B2041" t="str">
        <f>"688558"</f>
        <v>688558</v>
      </c>
      <c r="C2041" t="s">
        <v>4406</v>
      </c>
      <c r="D2041" t="s">
        <v>2321</v>
      </c>
      <c r="F2041">
        <v>1136833012</v>
      </c>
      <c r="G2041">
        <v>735609509</v>
      </c>
      <c r="H2041">
        <v>664682197</v>
      </c>
      <c r="I2041">
        <v>744316588</v>
      </c>
      <c r="J2041">
        <v>586469311</v>
      </c>
      <c r="K2041">
        <v>406382152</v>
      </c>
      <c r="P2041">
        <v>97</v>
      </c>
      <c r="Q2041" t="s">
        <v>4407</v>
      </c>
    </row>
    <row r="2042" spans="1:17" x14ac:dyDescent="0.3">
      <c r="A2042" t="s">
        <v>17</v>
      </c>
      <c r="B2042" t="str">
        <f>"688559"</f>
        <v>688559</v>
      </c>
      <c r="C2042" t="s">
        <v>4408</v>
      </c>
      <c r="D2042" t="s">
        <v>3811</v>
      </c>
      <c r="F2042">
        <v>1984330736</v>
      </c>
      <c r="G2042">
        <v>1320590724</v>
      </c>
      <c r="H2042">
        <v>1030923946</v>
      </c>
      <c r="I2042">
        <v>800701948</v>
      </c>
      <c r="J2042">
        <v>637715272</v>
      </c>
      <c r="K2042">
        <v>298011411</v>
      </c>
      <c r="P2042">
        <v>68</v>
      </c>
      <c r="Q2042" t="s">
        <v>4409</v>
      </c>
    </row>
    <row r="2043" spans="1:17" x14ac:dyDescent="0.3">
      <c r="A2043" t="s">
        <v>17</v>
      </c>
      <c r="B2043" t="str">
        <f>"688560"</f>
        <v>688560</v>
      </c>
      <c r="C2043" t="s">
        <v>4410</v>
      </c>
      <c r="D2043" t="s">
        <v>478</v>
      </c>
      <c r="F2043">
        <v>1289068859</v>
      </c>
      <c r="G2043">
        <v>918630000</v>
      </c>
      <c r="H2043">
        <v>945745184</v>
      </c>
      <c r="I2043">
        <v>866789626</v>
      </c>
      <c r="J2043">
        <v>594618847</v>
      </c>
      <c r="K2043">
        <v>401164097</v>
      </c>
      <c r="P2043">
        <v>38</v>
      </c>
      <c r="Q2043" t="s">
        <v>4411</v>
      </c>
    </row>
    <row r="2044" spans="1:17" x14ac:dyDescent="0.3">
      <c r="A2044" t="s">
        <v>17</v>
      </c>
      <c r="B2044" t="str">
        <f>"688561"</f>
        <v>688561</v>
      </c>
      <c r="C2044" t="s">
        <v>4412</v>
      </c>
      <c r="D2044" t="s">
        <v>1189</v>
      </c>
      <c r="F2044">
        <v>5809075573</v>
      </c>
      <c r="G2044">
        <v>4161174136</v>
      </c>
      <c r="H2044">
        <v>3154129243</v>
      </c>
      <c r="I2044">
        <v>1816772815</v>
      </c>
      <c r="J2044">
        <v>821243751</v>
      </c>
      <c r="P2044">
        <v>192</v>
      </c>
      <c r="Q2044" t="s">
        <v>4413</v>
      </c>
    </row>
    <row r="2045" spans="1:17" x14ac:dyDescent="0.3">
      <c r="A2045" t="s">
        <v>17</v>
      </c>
      <c r="B2045" t="str">
        <f>"688565"</f>
        <v>688565</v>
      </c>
      <c r="C2045" t="s">
        <v>4414</v>
      </c>
      <c r="D2045" t="s">
        <v>33</v>
      </c>
      <c r="F2045">
        <v>420239898</v>
      </c>
      <c r="G2045">
        <v>270668357</v>
      </c>
      <c r="H2045">
        <v>333289565</v>
      </c>
      <c r="I2045">
        <v>307797967</v>
      </c>
      <c r="J2045">
        <v>213039601</v>
      </c>
      <c r="P2045">
        <v>38</v>
      </c>
      <c r="Q2045" t="s">
        <v>4415</v>
      </c>
    </row>
    <row r="2046" spans="1:17" x14ac:dyDescent="0.3">
      <c r="A2046" t="s">
        <v>17</v>
      </c>
      <c r="B2046" t="str">
        <f>"688566"</f>
        <v>688566</v>
      </c>
      <c r="C2046" t="s">
        <v>4416</v>
      </c>
      <c r="D2046" t="s">
        <v>143</v>
      </c>
      <c r="F2046">
        <v>509693983</v>
      </c>
      <c r="G2046">
        <v>565973500</v>
      </c>
      <c r="H2046">
        <v>542519478</v>
      </c>
      <c r="I2046">
        <v>484961242</v>
      </c>
      <c r="J2046">
        <v>452325276</v>
      </c>
      <c r="K2046">
        <v>444423461</v>
      </c>
      <c r="P2046">
        <v>69</v>
      </c>
      <c r="Q2046" t="s">
        <v>4417</v>
      </c>
    </row>
    <row r="2047" spans="1:17" x14ac:dyDescent="0.3">
      <c r="A2047" t="s">
        <v>17</v>
      </c>
      <c r="B2047" t="str">
        <f>"688567"</f>
        <v>688567</v>
      </c>
      <c r="C2047" t="s">
        <v>4418</v>
      </c>
      <c r="D2047" t="s">
        <v>359</v>
      </c>
      <c r="F2047">
        <v>3500076222</v>
      </c>
      <c r="G2047">
        <v>1119652307</v>
      </c>
      <c r="H2047">
        <v>2449628726</v>
      </c>
      <c r="I2047">
        <v>2275652403</v>
      </c>
      <c r="J2047">
        <v>1338613765</v>
      </c>
      <c r="K2047">
        <v>468507161</v>
      </c>
      <c r="P2047">
        <v>107</v>
      </c>
      <c r="Q2047" t="s">
        <v>4419</v>
      </c>
    </row>
    <row r="2048" spans="1:17" x14ac:dyDescent="0.3">
      <c r="A2048" t="s">
        <v>17</v>
      </c>
      <c r="B2048" t="str">
        <f>"688568"</f>
        <v>688568</v>
      </c>
      <c r="C2048" t="s">
        <v>4420</v>
      </c>
      <c r="D2048" t="s">
        <v>316</v>
      </c>
      <c r="F2048">
        <v>1039947274</v>
      </c>
      <c r="G2048">
        <v>702541465</v>
      </c>
      <c r="H2048">
        <v>489410961</v>
      </c>
      <c r="I2048">
        <v>364395637</v>
      </c>
      <c r="J2048">
        <v>237305153</v>
      </c>
      <c r="K2048">
        <v>84342742</v>
      </c>
      <c r="P2048">
        <v>98</v>
      </c>
      <c r="Q2048" t="s">
        <v>4421</v>
      </c>
    </row>
    <row r="2049" spans="1:17" x14ac:dyDescent="0.3">
      <c r="A2049" t="s">
        <v>17</v>
      </c>
      <c r="B2049" t="str">
        <f>"688569"</f>
        <v>688569</v>
      </c>
      <c r="C2049" t="s">
        <v>4422</v>
      </c>
      <c r="D2049" t="s">
        <v>1012</v>
      </c>
      <c r="F2049">
        <v>1350723754</v>
      </c>
      <c r="G2049">
        <v>1229446488</v>
      </c>
      <c r="H2049">
        <v>1264677587</v>
      </c>
      <c r="I2049">
        <v>1119242704</v>
      </c>
      <c r="J2049">
        <v>920651482</v>
      </c>
      <c r="K2049">
        <v>702971827</v>
      </c>
      <c r="P2049">
        <v>31</v>
      </c>
      <c r="Q2049" t="s">
        <v>4423</v>
      </c>
    </row>
    <row r="2050" spans="1:17" x14ac:dyDescent="0.3">
      <c r="A2050" t="s">
        <v>17</v>
      </c>
      <c r="B2050" t="str">
        <f>"688571"</f>
        <v>688571</v>
      </c>
      <c r="C2050" t="s">
        <v>4424</v>
      </c>
      <c r="D2050" t="s">
        <v>2585</v>
      </c>
      <c r="F2050">
        <v>1148662209</v>
      </c>
      <c r="G2050">
        <v>987054125</v>
      </c>
      <c r="H2050">
        <v>1007624367</v>
      </c>
      <c r="I2050">
        <v>966128837</v>
      </c>
      <c r="J2050">
        <v>961111431</v>
      </c>
      <c r="P2050">
        <v>29</v>
      </c>
      <c r="Q2050" t="s">
        <v>4425</v>
      </c>
    </row>
    <row r="2051" spans="1:17" x14ac:dyDescent="0.3">
      <c r="A2051" t="s">
        <v>17</v>
      </c>
      <c r="B2051" t="str">
        <f>"688575"</f>
        <v>688575</v>
      </c>
      <c r="C2051" t="s">
        <v>4426</v>
      </c>
      <c r="D2051" t="s">
        <v>1305</v>
      </c>
      <c r="F2051">
        <v>1177896227</v>
      </c>
      <c r="G2051">
        <v>999007003</v>
      </c>
      <c r="H2051">
        <v>877357947</v>
      </c>
      <c r="I2051">
        <v>728644765</v>
      </c>
      <c r="J2051">
        <v>530060629</v>
      </c>
      <c r="P2051">
        <v>46</v>
      </c>
      <c r="Q2051" t="s">
        <v>4427</v>
      </c>
    </row>
    <row r="2052" spans="1:17" x14ac:dyDescent="0.3">
      <c r="A2052" t="s">
        <v>17</v>
      </c>
      <c r="B2052" t="str">
        <f>"688577"</f>
        <v>688577</v>
      </c>
      <c r="C2052" t="s">
        <v>4428</v>
      </c>
      <c r="D2052" t="s">
        <v>2321</v>
      </c>
      <c r="F2052">
        <v>540808212</v>
      </c>
      <c r="G2052">
        <v>410550923</v>
      </c>
      <c r="H2052">
        <v>384736158</v>
      </c>
      <c r="I2052">
        <v>427363442</v>
      </c>
      <c r="J2052">
        <v>333150765</v>
      </c>
      <c r="K2052">
        <v>205189825</v>
      </c>
      <c r="P2052">
        <v>56</v>
      </c>
      <c r="Q2052" t="s">
        <v>4429</v>
      </c>
    </row>
    <row r="2053" spans="1:17" x14ac:dyDescent="0.3">
      <c r="A2053" t="s">
        <v>17</v>
      </c>
      <c r="B2053" t="str">
        <f>"688578"</f>
        <v>688578</v>
      </c>
      <c r="C2053" t="s">
        <v>4430</v>
      </c>
      <c r="D2053" t="s">
        <v>143</v>
      </c>
      <c r="F2053">
        <v>530094158</v>
      </c>
      <c r="G2053">
        <v>560887</v>
      </c>
      <c r="H2053">
        <v>629724</v>
      </c>
      <c r="I2053">
        <v>4619966</v>
      </c>
      <c r="J2053">
        <v>7727001</v>
      </c>
      <c r="P2053">
        <v>47</v>
      </c>
      <c r="Q2053" t="s">
        <v>4431</v>
      </c>
    </row>
    <row r="2054" spans="1:17" x14ac:dyDescent="0.3">
      <c r="A2054" t="s">
        <v>17</v>
      </c>
      <c r="B2054" t="str">
        <f>"688579"</f>
        <v>688579</v>
      </c>
      <c r="C2054" t="s">
        <v>4432</v>
      </c>
      <c r="D2054" t="s">
        <v>945</v>
      </c>
      <c r="F2054">
        <v>637509880</v>
      </c>
      <c r="G2054">
        <v>495442399</v>
      </c>
      <c r="H2054">
        <v>488570549</v>
      </c>
      <c r="I2054">
        <v>406174443</v>
      </c>
      <c r="J2054">
        <v>316905937</v>
      </c>
      <c r="K2054">
        <v>262409575</v>
      </c>
      <c r="P2054">
        <v>34</v>
      </c>
      <c r="Q2054" t="s">
        <v>4433</v>
      </c>
    </row>
    <row r="2055" spans="1:17" x14ac:dyDescent="0.3">
      <c r="A2055" t="s">
        <v>17</v>
      </c>
      <c r="B2055" t="str">
        <f>"688580"</f>
        <v>688580</v>
      </c>
      <c r="C2055" t="s">
        <v>4434</v>
      </c>
      <c r="D2055" t="s">
        <v>122</v>
      </c>
      <c r="F2055">
        <v>430044460</v>
      </c>
      <c r="G2055">
        <v>378367273</v>
      </c>
      <c r="H2055">
        <v>318873166</v>
      </c>
      <c r="I2055">
        <v>207781492</v>
      </c>
      <c r="J2055">
        <v>144495130</v>
      </c>
      <c r="K2055">
        <v>95903789</v>
      </c>
      <c r="P2055">
        <v>246</v>
      </c>
      <c r="Q2055" t="s">
        <v>4435</v>
      </c>
    </row>
    <row r="2056" spans="1:17" x14ac:dyDescent="0.3">
      <c r="A2056" t="s">
        <v>17</v>
      </c>
      <c r="B2056" t="str">
        <f>"688585"</f>
        <v>688585</v>
      </c>
      <c r="C2056" t="s">
        <v>4436</v>
      </c>
      <c r="D2056" t="s">
        <v>3377</v>
      </c>
      <c r="F2056">
        <v>2072589672</v>
      </c>
      <c r="G2056">
        <v>1945961891</v>
      </c>
      <c r="H2056">
        <v>1348722081</v>
      </c>
      <c r="I2056">
        <v>1238075585</v>
      </c>
      <c r="J2056">
        <v>1023630324</v>
      </c>
      <c r="K2056">
        <v>1124903732</v>
      </c>
      <c r="P2056">
        <v>26</v>
      </c>
      <c r="Q2056" t="s">
        <v>4437</v>
      </c>
    </row>
    <row r="2057" spans="1:17" x14ac:dyDescent="0.3">
      <c r="A2057" t="s">
        <v>17</v>
      </c>
      <c r="B2057" t="str">
        <f>"688586"</f>
        <v>688586</v>
      </c>
      <c r="C2057" t="s">
        <v>4438</v>
      </c>
      <c r="D2057" t="s">
        <v>98</v>
      </c>
      <c r="F2057">
        <v>953287337</v>
      </c>
      <c r="G2057">
        <v>830973483</v>
      </c>
      <c r="H2057">
        <v>674497580</v>
      </c>
      <c r="I2057">
        <v>660988365</v>
      </c>
      <c r="J2057">
        <v>679465651</v>
      </c>
      <c r="K2057">
        <v>767091397</v>
      </c>
      <c r="P2057">
        <v>70</v>
      </c>
      <c r="Q2057" t="s">
        <v>4439</v>
      </c>
    </row>
    <row r="2058" spans="1:17" x14ac:dyDescent="0.3">
      <c r="A2058" t="s">
        <v>17</v>
      </c>
      <c r="B2058" t="str">
        <f>"688588"</f>
        <v>688588</v>
      </c>
      <c r="C2058" t="s">
        <v>4440</v>
      </c>
      <c r="D2058" t="s">
        <v>945</v>
      </c>
      <c r="F2058">
        <v>652663287</v>
      </c>
      <c r="G2058">
        <v>630091562</v>
      </c>
      <c r="H2058">
        <v>596622687</v>
      </c>
      <c r="I2058">
        <v>467052880</v>
      </c>
      <c r="J2058">
        <v>382810430</v>
      </c>
      <c r="K2058">
        <v>313649070</v>
      </c>
      <c r="P2058">
        <v>79</v>
      </c>
      <c r="Q2058" t="s">
        <v>4441</v>
      </c>
    </row>
    <row r="2059" spans="1:17" x14ac:dyDescent="0.3">
      <c r="A2059" t="s">
        <v>17</v>
      </c>
      <c r="B2059" t="str">
        <f>"688589"</f>
        <v>688589</v>
      </c>
      <c r="C2059" t="s">
        <v>4442</v>
      </c>
      <c r="D2059" t="s">
        <v>461</v>
      </c>
      <c r="F2059">
        <v>360073663</v>
      </c>
      <c r="G2059">
        <v>215627266</v>
      </c>
      <c r="H2059">
        <v>276760593</v>
      </c>
      <c r="I2059">
        <v>188166488</v>
      </c>
      <c r="J2059">
        <v>134960353</v>
      </c>
      <c r="K2059">
        <v>112643733</v>
      </c>
      <c r="P2059">
        <v>73</v>
      </c>
      <c r="Q2059" t="s">
        <v>4443</v>
      </c>
    </row>
    <row r="2060" spans="1:17" x14ac:dyDescent="0.3">
      <c r="A2060" t="s">
        <v>17</v>
      </c>
      <c r="B2060" t="str">
        <f>"688590"</f>
        <v>688590</v>
      </c>
      <c r="C2060" t="s">
        <v>4444</v>
      </c>
      <c r="D2060" t="s">
        <v>945</v>
      </c>
      <c r="F2060">
        <v>1282480404</v>
      </c>
      <c r="G2060">
        <v>1074280480</v>
      </c>
      <c r="H2060">
        <v>1117698585</v>
      </c>
      <c r="I2060">
        <v>993357905</v>
      </c>
      <c r="J2060">
        <v>880556081</v>
      </c>
      <c r="K2060">
        <v>709341923</v>
      </c>
      <c r="P2060">
        <v>29</v>
      </c>
      <c r="Q2060" t="s">
        <v>4445</v>
      </c>
    </row>
    <row r="2061" spans="1:17" x14ac:dyDescent="0.3">
      <c r="A2061" t="s">
        <v>17</v>
      </c>
      <c r="B2061" t="str">
        <f>"688595"</f>
        <v>688595</v>
      </c>
      <c r="C2061" t="s">
        <v>4446</v>
      </c>
      <c r="D2061" t="s">
        <v>401</v>
      </c>
      <c r="F2061">
        <v>659081216</v>
      </c>
      <c r="G2061">
        <v>362796004</v>
      </c>
      <c r="H2061">
        <v>258406414</v>
      </c>
      <c r="I2061">
        <v>219296286</v>
      </c>
      <c r="J2061">
        <v>163947724</v>
      </c>
      <c r="K2061">
        <v>104144959</v>
      </c>
      <c r="P2061">
        <v>128</v>
      </c>
      <c r="Q2061" t="s">
        <v>4447</v>
      </c>
    </row>
    <row r="2062" spans="1:17" x14ac:dyDescent="0.3">
      <c r="A2062" t="s">
        <v>17</v>
      </c>
      <c r="B2062" t="str">
        <f>"688596"</f>
        <v>688596</v>
      </c>
      <c r="C2062" t="s">
        <v>4448</v>
      </c>
      <c r="D2062" t="s">
        <v>741</v>
      </c>
      <c r="F2062">
        <v>1836764431</v>
      </c>
      <c r="G2062">
        <v>1108985484</v>
      </c>
      <c r="H2062">
        <v>1185704516</v>
      </c>
      <c r="I2062">
        <v>920632420</v>
      </c>
      <c r="J2062">
        <v>707163085</v>
      </c>
      <c r="P2062">
        <v>61</v>
      </c>
      <c r="Q2062" t="s">
        <v>4449</v>
      </c>
    </row>
    <row r="2063" spans="1:17" x14ac:dyDescent="0.3">
      <c r="A2063" t="s">
        <v>17</v>
      </c>
      <c r="B2063" t="str">
        <f>"688597"</f>
        <v>688597</v>
      </c>
      <c r="C2063" t="s">
        <v>4450</v>
      </c>
      <c r="D2063" t="s">
        <v>2180</v>
      </c>
      <c r="F2063">
        <v>391250696</v>
      </c>
      <c r="G2063">
        <v>459122191</v>
      </c>
      <c r="H2063">
        <v>533665673</v>
      </c>
      <c r="I2063">
        <v>427774807</v>
      </c>
      <c r="J2063">
        <v>618593495</v>
      </c>
      <c r="P2063">
        <v>17</v>
      </c>
      <c r="Q2063" t="s">
        <v>4451</v>
      </c>
    </row>
    <row r="2064" spans="1:17" x14ac:dyDescent="0.3">
      <c r="A2064" t="s">
        <v>17</v>
      </c>
      <c r="B2064" t="str">
        <f>"688598"</f>
        <v>688598</v>
      </c>
      <c r="C2064" t="s">
        <v>4452</v>
      </c>
      <c r="D2064" t="s">
        <v>478</v>
      </c>
      <c r="F2064">
        <v>1337896699</v>
      </c>
      <c r="G2064">
        <v>426468825</v>
      </c>
      <c r="H2064">
        <v>239523034</v>
      </c>
      <c r="I2064">
        <v>179545561</v>
      </c>
      <c r="J2064">
        <v>141856227</v>
      </c>
      <c r="K2064">
        <v>84451493</v>
      </c>
      <c r="P2064">
        <v>262</v>
      </c>
      <c r="Q2064" t="s">
        <v>4453</v>
      </c>
    </row>
    <row r="2065" spans="1:17" x14ac:dyDescent="0.3">
      <c r="A2065" t="s">
        <v>17</v>
      </c>
      <c r="B2065" t="str">
        <f>"688599"</f>
        <v>688599</v>
      </c>
      <c r="C2065" t="s">
        <v>4454</v>
      </c>
      <c r="D2065" t="s">
        <v>356</v>
      </c>
      <c r="F2065">
        <v>44480390072</v>
      </c>
      <c r="G2065">
        <v>29417973429</v>
      </c>
      <c r="H2065">
        <v>23321695860</v>
      </c>
      <c r="I2065">
        <v>25054037825</v>
      </c>
      <c r="J2065">
        <v>26158576984</v>
      </c>
      <c r="K2065">
        <v>22593888266</v>
      </c>
      <c r="P2065">
        <v>371</v>
      </c>
      <c r="Q2065" t="s">
        <v>4455</v>
      </c>
    </row>
    <row r="2066" spans="1:17" x14ac:dyDescent="0.3">
      <c r="A2066" t="s">
        <v>17</v>
      </c>
      <c r="B2066" t="str">
        <f>"688600"</f>
        <v>688600</v>
      </c>
      <c r="C2066" t="s">
        <v>4456</v>
      </c>
      <c r="D2066" t="s">
        <v>1070</v>
      </c>
      <c r="F2066">
        <v>562452407</v>
      </c>
      <c r="G2066">
        <v>417273123</v>
      </c>
      <c r="H2066">
        <v>409034032</v>
      </c>
      <c r="I2066">
        <v>326467253</v>
      </c>
      <c r="J2066">
        <v>283754849</v>
      </c>
      <c r="K2066">
        <v>194764912</v>
      </c>
      <c r="P2066">
        <v>62</v>
      </c>
      <c r="Q2066" t="s">
        <v>4457</v>
      </c>
    </row>
    <row r="2067" spans="1:17" x14ac:dyDescent="0.3">
      <c r="A2067" t="s">
        <v>17</v>
      </c>
      <c r="B2067" t="str">
        <f>"688601"</f>
        <v>688601</v>
      </c>
      <c r="C2067" t="s">
        <v>4458</v>
      </c>
      <c r="D2067" t="s">
        <v>401</v>
      </c>
      <c r="F2067">
        <v>773564617</v>
      </c>
      <c r="G2067">
        <v>542836666</v>
      </c>
      <c r="H2067">
        <v>474579214</v>
      </c>
      <c r="I2067">
        <v>344343166</v>
      </c>
      <c r="J2067">
        <v>301625393</v>
      </c>
      <c r="P2067">
        <v>57</v>
      </c>
      <c r="Q2067" t="s">
        <v>4459</v>
      </c>
    </row>
    <row r="2068" spans="1:17" x14ac:dyDescent="0.3">
      <c r="A2068" t="s">
        <v>17</v>
      </c>
      <c r="B2068" t="str">
        <f>"688606"</f>
        <v>688606</v>
      </c>
      <c r="C2068" t="s">
        <v>4460</v>
      </c>
      <c r="D2068" t="s">
        <v>1305</v>
      </c>
      <c r="F2068">
        <v>1873427740</v>
      </c>
      <c r="G2068">
        <v>1135553933</v>
      </c>
      <c r="H2068">
        <v>241335532</v>
      </c>
      <c r="I2068">
        <v>184189598</v>
      </c>
      <c r="J2068">
        <v>129720268</v>
      </c>
      <c r="P2068">
        <v>104</v>
      </c>
      <c r="Q2068" t="s">
        <v>4461</v>
      </c>
    </row>
    <row r="2069" spans="1:17" x14ac:dyDescent="0.3">
      <c r="A2069" t="s">
        <v>17</v>
      </c>
      <c r="B2069" t="str">
        <f>"688607"</f>
        <v>688607</v>
      </c>
      <c r="C2069" t="s">
        <v>4462</v>
      </c>
      <c r="D2069" t="s">
        <v>122</v>
      </c>
      <c r="F2069">
        <v>341984505</v>
      </c>
      <c r="G2069">
        <v>339220790</v>
      </c>
      <c r="H2069">
        <v>234546236</v>
      </c>
      <c r="I2069">
        <v>212747574</v>
      </c>
      <c r="J2069">
        <v>198022618</v>
      </c>
      <c r="P2069">
        <v>55</v>
      </c>
      <c r="Q2069" t="s">
        <v>4463</v>
      </c>
    </row>
    <row r="2070" spans="1:17" x14ac:dyDescent="0.3">
      <c r="A2070" t="s">
        <v>17</v>
      </c>
      <c r="B2070" t="str">
        <f>"688608"</f>
        <v>688608</v>
      </c>
      <c r="C2070" t="s">
        <v>4464</v>
      </c>
      <c r="D2070" t="s">
        <v>461</v>
      </c>
      <c r="F2070">
        <v>1765338242</v>
      </c>
      <c r="G2070">
        <v>1061171128</v>
      </c>
      <c r="H2070">
        <v>648841600</v>
      </c>
      <c r="I2070">
        <v>329955559</v>
      </c>
      <c r="J2070">
        <v>84565696</v>
      </c>
      <c r="P2070">
        <v>125</v>
      </c>
      <c r="Q2070" t="s">
        <v>4465</v>
      </c>
    </row>
    <row r="2071" spans="1:17" x14ac:dyDescent="0.3">
      <c r="A2071" t="s">
        <v>17</v>
      </c>
      <c r="B2071" t="str">
        <f>"688609"</f>
        <v>688609</v>
      </c>
      <c r="C2071" t="s">
        <v>4466</v>
      </c>
      <c r="D2071" t="s">
        <v>4467</v>
      </c>
      <c r="F2071">
        <v>2795929715</v>
      </c>
      <c r="G2071">
        <v>2027841565</v>
      </c>
      <c r="H2071">
        <v>2436528867</v>
      </c>
      <c r="I2071">
        <v>3061664101</v>
      </c>
      <c r="J2071">
        <v>2413540739</v>
      </c>
      <c r="P2071">
        <v>31</v>
      </c>
      <c r="Q2071" t="s">
        <v>4468</v>
      </c>
    </row>
    <row r="2072" spans="1:17" x14ac:dyDescent="0.3">
      <c r="A2072" t="s">
        <v>17</v>
      </c>
      <c r="B2072" t="str">
        <f>"688611"</f>
        <v>688611</v>
      </c>
      <c r="C2072" t="s">
        <v>4469</v>
      </c>
      <c r="D2072" t="s">
        <v>610</v>
      </c>
      <c r="F2072">
        <v>243058476</v>
      </c>
      <c r="G2072">
        <v>237117305</v>
      </c>
      <c r="H2072">
        <v>200615379</v>
      </c>
      <c r="I2072">
        <v>162329942</v>
      </c>
      <c r="J2072">
        <v>113542017</v>
      </c>
      <c r="P2072">
        <v>38</v>
      </c>
      <c r="Q2072" t="s">
        <v>4470</v>
      </c>
    </row>
    <row r="2073" spans="1:17" x14ac:dyDescent="0.3">
      <c r="A2073" t="s">
        <v>17</v>
      </c>
      <c r="B2073" t="str">
        <f>"688613"</f>
        <v>688613</v>
      </c>
      <c r="C2073" t="s">
        <v>4471</v>
      </c>
      <c r="D2073" t="s">
        <v>1077</v>
      </c>
      <c r="F2073">
        <v>236063154</v>
      </c>
      <c r="G2073">
        <v>183760228</v>
      </c>
      <c r="H2073">
        <v>168590954</v>
      </c>
      <c r="I2073">
        <v>123688093</v>
      </c>
      <c r="J2073">
        <v>91376376</v>
      </c>
      <c r="P2073">
        <v>51</v>
      </c>
      <c r="Q2073" t="s">
        <v>4472</v>
      </c>
    </row>
    <row r="2074" spans="1:17" x14ac:dyDescent="0.3">
      <c r="A2074" t="s">
        <v>17</v>
      </c>
      <c r="B2074" t="str">
        <f>"688616"</f>
        <v>688616</v>
      </c>
      <c r="C2074" t="s">
        <v>4473</v>
      </c>
      <c r="D2074" t="s">
        <v>2180</v>
      </c>
      <c r="F2074">
        <v>410776161</v>
      </c>
      <c r="G2074">
        <v>452934276</v>
      </c>
      <c r="H2074">
        <v>425134550</v>
      </c>
      <c r="I2074">
        <v>358621732</v>
      </c>
      <c r="J2074">
        <v>317197730</v>
      </c>
      <c r="P2074">
        <v>23</v>
      </c>
      <c r="Q2074" t="s">
        <v>4474</v>
      </c>
    </row>
    <row r="2075" spans="1:17" x14ac:dyDescent="0.3">
      <c r="A2075" t="s">
        <v>17</v>
      </c>
      <c r="B2075" t="str">
        <f>"688617"</f>
        <v>688617</v>
      </c>
      <c r="C2075" t="s">
        <v>4475</v>
      </c>
      <c r="D2075" t="s">
        <v>1077</v>
      </c>
      <c r="F2075">
        <v>828687881</v>
      </c>
      <c r="G2075">
        <v>479436312</v>
      </c>
      <c r="H2075">
        <v>403963580</v>
      </c>
      <c r="I2075">
        <v>241772810</v>
      </c>
      <c r="J2075">
        <v>153173916</v>
      </c>
      <c r="P2075">
        <v>136</v>
      </c>
      <c r="Q2075" t="s">
        <v>4476</v>
      </c>
    </row>
    <row r="2076" spans="1:17" x14ac:dyDescent="0.3">
      <c r="A2076" t="s">
        <v>17</v>
      </c>
      <c r="B2076" t="str">
        <f>"688618"</f>
        <v>688618</v>
      </c>
      <c r="C2076" t="s">
        <v>4477</v>
      </c>
      <c r="D2076" t="s">
        <v>1019</v>
      </c>
      <c r="F2076">
        <v>253851727</v>
      </c>
      <c r="G2076">
        <v>209193068</v>
      </c>
      <c r="H2076">
        <v>172467828</v>
      </c>
      <c r="I2076">
        <v>147001118</v>
      </c>
      <c r="J2076">
        <v>112503728</v>
      </c>
      <c r="P2076">
        <v>41</v>
      </c>
      <c r="Q2076" t="s">
        <v>4478</v>
      </c>
    </row>
    <row r="2077" spans="1:17" x14ac:dyDescent="0.3">
      <c r="A2077" t="s">
        <v>17</v>
      </c>
      <c r="B2077" t="str">
        <f>"688619"</f>
        <v>688619</v>
      </c>
      <c r="C2077" t="s">
        <v>4479</v>
      </c>
      <c r="D2077" t="s">
        <v>2980</v>
      </c>
      <c r="F2077">
        <v>724356985</v>
      </c>
      <c r="G2077">
        <v>617373439</v>
      </c>
      <c r="H2077">
        <v>507338760</v>
      </c>
      <c r="I2077">
        <v>364452546</v>
      </c>
      <c r="J2077">
        <v>195666204</v>
      </c>
      <c r="P2077">
        <v>31</v>
      </c>
      <c r="Q2077" t="s">
        <v>4480</v>
      </c>
    </row>
    <row r="2078" spans="1:17" x14ac:dyDescent="0.3">
      <c r="A2078" t="s">
        <v>17</v>
      </c>
      <c r="B2078" t="str">
        <f>"688621"</f>
        <v>688621</v>
      </c>
      <c r="C2078" t="s">
        <v>4481</v>
      </c>
      <c r="D2078" t="s">
        <v>1461</v>
      </c>
      <c r="F2078">
        <v>493646453</v>
      </c>
      <c r="G2078">
        <v>347356374</v>
      </c>
      <c r="H2078">
        <v>233525569</v>
      </c>
      <c r="I2078">
        <v>134795901</v>
      </c>
      <c r="J2078">
        <v>36049906</v>
      </c>
      <c r="P2078">
        <v>62</v>
      </c>
      <c r="Q2078" t="s">
        <v>4482</v>
      </c>
    </row>
    <row r="2079" spans="1:17" x14ac:dyDescent="0.3">
      <c r="A2079" t="s">
        <v>17</v>
      </c>
      <c r="B2079" t="str">
        <f>"688622"</f>
        <v>688622</v>
      </c>
      <c r="C2079" t="s">
        <v>4483</v>
      </c>
      <c r="D2079" t="s">
        <v>2566</v>
      </c>
      <c r="F2079">
        <v>464237257</v>
      </c>
      <c r="G2079">
        <v>312272106</v>
      </c>
      <c r="H2079">
        <v>219837151</v>
      </c>
      <c r="I2079">
        <v>124725651</v>
      </c>
      <c r="J2079">
        <v>92515462</v>
      </c>
      <c r="K2079">
        <v>91707122</v>
      </c>
      <c r="P2079">
        <v>29</v>
      </c>
      <c r="Q2079" t="s">
        <v>4484</v>
      </c>
    </row>
    <row r="2080" spans="1:17" x14ac:dyDescent="0.3">
      <c r="A2080" t="s">
        <v>17</v>
      </c>
      <c r="B2080" t="str">
        <f>"688625"</f>
        <v>688625</v>
      </c>
      <c r="C2080" t="s">
        <v>4485</v>
      </c>
      <c r="D2080" t="s">
        <v>386</v>
      </c>
      <c r="F2080">
        <v>576216799</v>
      </c>
      <c r="G2080">
        <v>460262671</v>
      </c>
      <c r="H2080">
        <v>392132617</v>
      </c>
      <c r="I2080">
        <v>304360063</v>
      </c>
      <c r="J2080">
        <v>203884297</v>
      </c>
      <c r="P2080">
        <v>63</v>
      </c>
      <c r="Q2080" t="s">
        <v>4486</v>
      </c>
    </row>
    <row r="2081" spans="1:17" x14ac:dyDescent="0.3">
      <c r="A2081" t="s">
        <v>17</v>
      </c>
      <c r="B2081" t="str">
        <f>"688626"</f>
        <v>688626</v>
      </c>
      <c r="C2081" t="s">
        <v>4487</v>
      </c>
      <c r="D2081" t="s">
        <v>122</v>
      </c>
      <c r="F2081">
        <v>523496224</v>
      </c>
      <c r="G2081">
        <v>495513745</v>
      </c>
      <c r="H2081">
        <v>427414971</v>
      </c>
      <c r="I2081">
        <v>358857507</v>
      </c>
      <c r="J2081">
        <v>289135948</v>
      </c>
      <c r="P2081">
        <v>82</v>
      </c>
      <c r="Q2081" t="s">
        <v>4488</v>
      </c>
    </row>
    <row r="2082" spans="1:17" x14ac:dyDescent="0.3">
      <c r="A2082" t="s">
        <v>17</v>
      </c>
      <c r="B2082" t="str">
        <f>"688628"</f>
        <v>688628</v>
      </c>
      <c r="C2082" t="s">
        <v>4489</v>
      </c>
      <c r="D2082" t="s">
        <v>2566</v>
      </c>
      <c r="F2082">
        <v>842147050</v>
      </c>
      <c r="G2082">
        <v>885563546</v>
      </c>
      <c r="H2082">
        <v>540037028</v>
      </c>
      <c r="I2082">
        <v>464239662</v>
      </c>
      <c r="J2082">
        <v>400810060</v>
      </c>
      <c r="P2082">
        <v>35</v>
      </c>
      <c r="Q2082" t="s">
        <v>4490</v>
      </c>
    </row>
    <row r="2083" spans="1:17" x14ac:dyDescent="0.3">
      <c r="A2083" t="s">
        <v>17</v>
      </c>
      <c r="B2083" t="str">
        <f>"688630"</f>
        <v>688630</v>
      </c>
      <c r="C2083" t="s">
        <v>4491</v>
      </c>
      <c r="D2083" t="s">
        <v>741</v>
      </c>
      <c r="F2083">
        <v>492245130</v>
      </c>
      <c r="G2083">
        <v>310087590</v>
      </c>
      <c r="H2083">
        <v>202261172</v>
      </c>
      <c r="I2083">
        <v>87295291</v>
      </c>
      <c r="J2083">
        <v>22180446</v>
      </c>
      <c r="P2083">
        <v>63</v>
      </c>
      <c r="Q2083" t="s">
        <v>4492</v>
      </c>
    </row>
    <row r="2084" spans="1:17" x14ac:dyDescent="0.3">
      <c r="A2084" t="s">
        <v>17</v>
      </c>
      <c r="B2084" t="str">
        <f>"688633"</f>
        <v>688633</v>
      </c>
      <c r="C2084" t="s">
        <v>4493</v>
      </c>
      <c r="D2084" t="s">
        <v>395</v>
      </c>
      <c r="F2084">
        <v>514516750</v>
      </c>
      <c r="G2084">
        <v>559568407</v>
      </c>
      <c r="H2084">
        <v>480965204</v>
      </c>
      <c r="I2084">
        <v>419860156</v>
      </c>
      <c r="J2084">
        <v>297012909</v>
      </c>
      <c r="P2084">
        <v>38</v>
      </c>
      <c r="Q2084" t="s">
        <v>4494</v>
      </c>
    </row>
    <row r="2085" spans="1:17" x14ac:dyDescent="0.3">
      <c r="A2085" t="s">
        <v>17</v>
      </c>
      <c r="B2085" t="str">
        <f>"688636"</f>
        <v>688636</v>
      </c>
      <c r="C2085" t="s">
        <v>4495</v>
      </c>
      <c r="D2085" t="s">
        <v>1136</v>
      </c>
      <c r="F2085">
        <v>449424750</v>
      </c>
      <c r="G2085">
        <v>324665672</v>
      </c>
      <c r="H2085">
        <v>260659530</v>
      </c>
      <c r="I2085">
        <v>234732252</v>
      </c>
      <c r="J2085">
        <v>170811221</v>
      </c>
      <c r="P2085">
        <v>32</v>
      </c>
      <c r="Q2085" t="s">
        <v>4496</v>
      </c>
    </row>
    <row r="2086" spans="1:17" x14ac:dyDescent="0.3">
      <c r="A2086" t="s">
        <v>17</v>
      </c>
      <c r="B2086" t="str">
        <f>"688639"</f>
        <v>688639</v>
      </c>
      <c r="C2086" t="s">
        <v>4497</v>
      </c>
      <c r="D2086" t="s">
        <v>677</v>
      </c>
      <c r="F2086">
        <v>954096079</v>
      </c>
      <c r="G2086">
        <v>487244633</v>
      </c>
      <c r="H2086">
        <v>491310785</v>
      </c>
      <c r="I2086">
        <v>420846694</v>
      </c>
      <c r="J2086">
        <v>382545426</v>
      </c>
      <c r="P2086">
        <v>58</v>
      </c>
      <c r="Q2086" t="s">
        <v>4498</v>
      </c>
    </row>
    <row r="2087" spans="1:17" x14ac:dyDescent="0.3">
      <c r="A2087" t="s">
        <v>17</v>
      </c>
      <c r="B2087" t="str">
        <f>"688655"</f>
        <v>688655</v>
      </c>
      <c r="C2087" t="s">
        <v>4499</v>
      </c>
      <c r="D2087" t="s">
        <v>425</v>
      </c>
      <c r="F2087">
        <v>564067211</v>
      </c>
      <c r="G2087">
        <v>447543183</v>
      </c>
      <c r="H2087">
        <v>388082844</v>
      </c>
      <c r="I2087">
        <v>376282608</v>
      </c>
      <c r="J2087">
        <v>271780499</v>
      </c>
      <c r="P2087">
        <v>21</v>
      </c>
      <c r="Q2087" t="s">
        <v>4500</v>
      </c>
    </row>
    <row r="2088" spans="1:17" x14ac:dyDescent="0.3">
      <c r="A2088" t="s">
        <v>17</v>
      </c>
      <c r="B2088" t="str">
        <f>"688656"</f>
        <v>688656</v>
      </c>
      <c r="C2088" t="s">
        <v>4501</v>
      </c>
      <c r="D2088" t="s">
        <v>1305</v>
      </c>
      <c r="F2088">
        <v>317707532</v>
      </c>
      <c r="G2088">
        <v>221856889</v>
      </c>
      <c r="H2088">
        <v>259127388</v>
      </c>
      <c r="I2088">
        <v>201446248</v>
      </c>
      <c r="J2088">
        <v>146319709</v>
      </c>
      <c r="K2088">
        <v>111600293</v>
      </c>
      <c r="P2088">
        <v>59</v>
      </c>
      <c r="Q2088" t="s">
        <v>4502</v>
      </c>
    </row>
    <row r="2089" spans="1:17" x14ac:dyDescent="0.3">
      <c r="A2089" t="s">
        <v>17</v>
      </c>
      <c r="B2089" t="str">
        <f>"688658"</f>
        <v>688658</v>
      </c>
      <c r="C2089" t="s">
        <v>4503</v>
      </c>
      <c r="D2089" t="s">
        <v>143</v>
      </c>
      <c r="F2089">
        <v>4965725985</v>
      </c>
      <c r="G2089">
        <v>4338949010</v>
      </c>
      <c r="H2089">
        <v>4287579922</v>
      </c>
      <c r="I2089">
        <v>3982702544</v>
      </c>
      <c r="J2089">
        <v>2700086379</v>
      </c>
      <c r="P2089">
        <v>75</v>
      </c>
      <c r="Q2089" t="s">
        <v>4504</v>
      </c>
    </row>
    <row r="2090" spans="1:17" x14ac:dyDescent="0.3">
      <c r="A2090" t="s">
        <v>17</v>
      </c>
      <c r="B2090" t="str">
        <f>"688659"</f>
        <v>688659</v>
      </c>
      <c r="C2090" t="s">
        <v>4505</v>
      </c>
      <c r="D2090" t="s">
        <v>386</v>
      </c>
      <c r="F2090">
        <v>501997044</v>
      </c>
      <c r="G2090">
        <v>458392572</v>
      </c>
      <c r="H2090">
        <v>363187854</v>
      </c>
      <c r="I2090">
        <v>324190604</v>
      </c>
      <c r="J2090">
        <v>266914777</v>
      </c>
      <c r="P2090">
        <v>40</v>
      </c>
      <c r="Q2090" t="s">
        <v>4506</v>
      </c>
    </row>
    <row r="2091" spans="1:17" x14ac:dyDescent="0.3">
      <c r="A2091" t="s">
        <v>17</v>
      </c>
      <c r="B2091" t="str">
        <f>"688660"</f>
        <v>688660</v>
      </c>
      <c r="C2091" t="s">
        <v>4507</v>
      </c>
      <c r="D2091" t="s">
        <v>895</v>
      </c>
      <c r="F2091">
        <v>23972182746</v>
      </c>
      <c r="G2091">
        <v>20685414571</v>
      </c>
      <c r="H2091">
        <v>10134556426</v>
      </c>
      <c r="I2091">
        <v>6171099437</v>
      </c>
      <c r="J2091">
        <v>6557359117</v>
      </c>
      <c r="P2091">
        <v>54</v>
      </c>
      <c r="Q2091" t="s">
        <v>4508</v>
      </c>
    </row>
    <row r="2092" spans="1:17" x14ac:dyDescent="0.3">
      <c r="A2092" t="s">
        <v>17</v>
      </c>
      <c r="B2092" t="str">
        <f>"688661"</f>
        <v>688661</v>
      </c>
      <c r="C2092" t="s">
        <v>4509</v>
      </c>
      <c r="D2092" t="s">
        <v>313</v>
      </c>
      <c r="F2092">
        <v>370099657</v>
      </c>
      <c r="G2092">
        <v>229381745</v>
      </c>
      <c r="H2092">
        <v>189464717</v>
      </c>
      <c r="I2092">
        <v>114609351</v>
      </c>
      <c r="J2092">
        <v>93145461</v>
      </c>
      <c r="P2092">
        <v>64</v>
      </c>
      <c r="Q2092" t="s">
        <v>4510</v>
      </c>
    </row>
    <row r="2093" spans="1:17" x14ac:dyDescent="0.3">
      <c r="A2093" t="s">
        <v>17</v>
      </c>
      <c r="B2093" t="str">
        <f>"688662"</f>
        <v>688662</v>
      </c>
      <c r="C2093" t="s">
        <v>4511</v>
      </c>
      <c r="D2093" t="s">
        <v>651</v>
      </c>
      <c r="F2093">
        <v>696661016</v>
      </c>
      <c r="G2093">
        <v>624442585</v>
      </c>
      <c r="H2093">
        <v>626165445</v>
      </c>
      <c r="I2093">
        <v>602764278</v>
      </c>
      <c r="J2093">
        <v>511560378</v>
      </c>
      <c r="P2093">
        <v>23</v>
      </c>
      <c r="Q2093" t="s">
        <v>4512</v>
      </c>
    </row>
    <row r="2094" spans="1:17" x14ac:dyDescent="0.3">
      <c r="A2094" t="s">
        <v>17</v>
      </c>
      <c r="B2094" t="str">
        <f>"688663"</f>
        <v>688663</v>
      </c>
      <c r="C2094" t="s">
        <v>4513</v>
      </c>
      <c r="D2094" t="s">
        <v>657</v>
      </c>
      <c r="F2094">
        <v>942808171</v>
      </c>
      <c r="G2094">
        <v>843936802</v>
      </c>
      <c r="H2094">
        <v>631225763</v>
      </c>
      <c r="I2094">
        <v>532487369</v>
      </c>
      <c r="J2094">
        <v>431488099</v>
      </c>
      <c r="P2094">
        <v>32</v>
      </c>
      <c r="Q2094" t="s">
        <v>4514</v>
      </c>
    </row>
    <row r="2095" spans="1:17" x14ac:dyDescent="0.3">
      <c r="A2095" t="s">
        <v>17</v>
      </c>
      <c r="B2095" t="str">
        <f>"688665"</f>
        <v>688665</v>
      </c>
      <c r="C2095" t="s">
        <v>4515</v>
      </c>
      <c r="D2095" t="s">
        <v>2566</v>
      </c>
      <c r="F2095">
        <v>547467126</v>
      </c>
      <c r="G2095">
        <v>307906375</v>
      </c>
      <c r="H2095">
        <v>233254827</v>
      </c>
      <c r="I2095">
        <v>117540703</v>
      </c>
      <c r="J2095">
        <v>105057049</v>
      </c>
      <c r="P2095">
        <v>63</v>
      </c>
      <c r="Q2095" t="s">
        <v>4516</v>
      </c>
    </row>
    <row r="2096" spans="1:17" x14ac:dyDescent="0.3">
      <c r="A2096" t="s">
        <v>17</v>
      </c>
      <c r="B2096" t="str">
        <f>"688667"</f>
        <v>688667</v>
      </c>
      <c r="C2096" t="s">
        <v>4517</v>
      </c>
      <c r="D2096" t="s">
        <v>1415</v>
      </c>
      <c r="F2096">
        <v>834680353</v>
      </c>
      <c r="G2096">
        <v>762412861</v>
      </c>
      <c r="H2096">
        <v>535694815</v>
      </c>
      <c r="I2096">
        <v>249403519</v>
      </c>
      <c r="J2096">
        <v>243356743</v>
      </c>
      <c r="P2096">
        <v>66</v>
      </c>
      <c r="Q2096" t="s">
        <v>4518</v>
      </c>
    </row>
    <row r="2097" spans="1:17" x14ac:dyDescent="0.3">
      <c r="A2097" t="s">
        <v>17</v>
      </c>
      <c r="B2097" t="str">
        <f>"688668"</f>
        <v>688668</v>
      </c>
      <c r="C2097" t="s">
        <v>4519</v>
      </c>
      <c r="D2097" t="s">
        <v>1019</v>
      </c>
      <c r="F2097">
        <v>567986518</v>
      </c>
      <c r="G2097">
        <v>357759133</v>
      </c>
      <c r="H2097">
        <v>231353364</v>
      </c>
      <c r="I2097">
        <v>204779403</v>
      </c>
      <c r="J2097">
        <v>136972337</v>
      </c>
      <c r="P2097">
        <v>44</v>
      </c>
      <c r="Q2097" t="s">
        <v>4520</v>
      </c>
    </row>
    <row r="2098" spans="1:17" x14ac:dyDescent="0.3">
      <c r="A2098" t="s">
        <v>17</v>
      </c>
      <c r="B2098" t="str">
        <f>"688669"</f>
        <v>688669</v>
      </c>
      <c r="C2098" t="s">
        <v>4521</v>
      </c>
      <c r="D2098" t="s">
        <v>341</v>
      </c>
      <c r="F2098">
        <v>2541722650</v>
      </c>
      <c r="G2098">
        <v>1924446041</v>
      </c>
      <c r="H2098">
        <v>1474325874</v>
      </c>
      <c r="I2098">
        <v>1068913263</v>
      </c>
      <c r="J2098">
        <v>880427970</v>
      </c>
      <c r="P2098">
        <v>36</v>
      </c>
      <c r="Q2098" t="s">
        <v>4522</v>
      </c>
    </row>
    <row r="2099" spans="1:17" x14ac:dyDescent="0.3">
      <c r="A2099" t="s">
        <v>17</v>
      </c>
      <c r="B2099" t="str">
        <f>"688670"</f>
        <v>688670</v>
      </c>
      <c r="C2099" t="s">
        <v>4523</v>
      </c>
      <c r="D2099" t="s">
        <v>1499</v>
      </c>
      <c r="F2099">
        <v>392272488</v>
      </c>
      <c r="G2099">
        <v>589098682</v>
      </c>
      <c r="H2099">
        <v>67151264</v>
      </c>
      <c r="P2099">
        <v>19</v>
      </c>
      <c r="Q2099" t="s">
        <v>4524</v>
      </c>
    </row>
    <row r="2100" spans="1:17" x14ac:dyDescent="0.3">
      <c r="A2100" t="s">
        <v>17</v>
      </c>
      <c r="B2100" t="str">
        <f>"688676"</f>
        <v>688676</v>
      </c>
      <c r="C2100" t="s">
        <v>4525</v>
      </c>
      <c r="D2100" t="s">
        <v>210</v>
      </c>
      <c r="F2100">
        <v>3302576597</v>
      </c>
      <c r="G2100">
        <v>2422650580</v>
      </c>
      <c r="H2100">
        <v>2244260786</v>
      </c>
      <c r="I2100">
        <v>2185464101</v>
      </c>
      <c r="J2100">
        <v>2011116719</v>
      </c>
      <c r="P2100">
        <v>42</v>
      </c>
      <c r="Q2100" t="s">
        <v>4526</v>
      </c>
    </row>
    <row r="2101" spans="1:17" x14ac:dyDescent="0.3">
      <c r="A2101" t="s">
        <v>17</v>
      </c>
      <c r="B2101" t="str">
        <f>"688677"</f>
        <v>688677</v>
      </c>
      <c r="C2101" t="s">
        <v>4527</v>
      </c>
      <c r="D2101" t="s">
        <v>122</v>
      </c>
      <c r="F2101">
        <v>309674985</v>
      </c>
      <c r="G2101">
        <v>275197325</v>
      </c>
      <c r="H2101">
        <v>252866320</v>
      </c>
      <c r="I2101">
        <v>200680727</v>
      </c>
      <c r="J2101">
        <v>181035018</v>
      </c>
      <c r="P2101">
        <v>93</v>
      </c>
      <c r="Q2101" t="s">
        <v>4528</v>
      </c>
    </row>
    <row r="2102" spans="1:17" x14ac:dyDescent="0.3">
      <c r="A2102" t="s">
        <v>17</v>
      </c>
      <c r="B2102" t="str">
        <f>"688678"</f>
        <v>688678</v>
      </c>
      <c r="C2102" t="s">
        <v>4529</v>
      </c>
      <c r="D2102" t="s">
        <v>313</v>
      </c>
      <c r="F2102">
        <v>726487784</v>
      </c>
      <c r="G2102">
        <v>516950211</v>
      </c>
      <c r="H2102">
        <v>443222366</v>
      </c>
      <c r="I2102">
        <v>291227627</v>
      </c>
      <c r="J2102">
        <v>270187080</v>
      </c>
      <c r="K2102">
        <v>198741790</v>
      </c>
      <c r="P2102">
        <v>29</v>
      </c>
      <c r="Q2102" t="s">
        <v>4530</v>
      </c>
    </row>
    <row r="2103" spans="1:17" x14ac:dyDescent="0.3">
      <c r="A2103" t="s">
        <v>17</v>
      </c>
      <c r="B2103" t="str">
        <f>"688679"</f>
        <v>688679</v>
      </c>
      <c r="C2103" t="s">
        <v>4531</v>
      </c>
      <c r="D2103" t="s">
        <v>499</v>
      </c>
      <c r="F2103">
        <v>962288251</v>
      </c>
      <c r="G2103">
        <v>853496821</v>
      </c>
      <c r="H2103">
        <v>773816127</v>
      </c>
      <c r="I2103">
        <v>596764942</v>
      </c>
      <c r="J2103">
        <v>422647489</v>
      </c>
      <c r="K2103">
        <v>314390297</v>
      </c>
      <c r="P2103">
        <v>31</v>
      </c>
      <c r="Q2103" t="s">
        <v>4532</v>
      </c>
    </row>
    <row r="2104" spans="1:17" x14ac:dyDescent="0.3">
      <c r="A2104" t="s">
        <v>17</v>
      </c>
      <c r="B2104" t="str">
        <f>"688680"</f>
        <v>688680</v>
      </c>
      <c r="C2104" t="s">
        <v>4533</v>
      </c>
      <c r="D2104" t="s">
        <v>478</v>
      </c>
      <c r="F2104">
        <v>3105284072</v>
      </c>
      <c r="G2104">
        <v>1481092401</v>
      </c>
      <c r="H2104">
        <v>1063220037</v>
      </c>
      <c r="I2104">
        <v>715432875</v>
      </c>
      <c r="J2104">
        <v>643756499</v>
      </c>
      <c r="P2104">
        <v>79</v>
      </c>
      <c r="Q2104" t="s">
        <v>4534</v>
      </c>
    </row>
    <row r="2105" spans="1:17" x14ac:dyDescent="0.3">
      <c r="A2105" t="s">
        <v>17</v>
      </c>
      <c r="B2105" t="str">
        <f>"688681"</f>
        <v>688681</v>
      </c>
      <c r="C2105" t="s">
        <v>4535</v>
      </c>
      <c r="D2105" t="s">
        <v>610</v>
      </c>
      <c r="F2105">
        <v>369319785</v>
      </c>
      <c r="G2105">
        <v>332828176</v>
      </c>
      <c r="H2105">
        <v>298405947</v>
      </c>
      <c r="I2105">
        <v>245593221</v>
      </c>
      <c r="J2105">
        <v>234747744</v>
      </c>
      <c r="P2105">
        <v>31</v>
      </c>
      <c r="Q2105" t="s">
        <v>4536</v>
      </c>
    </row>
    <row r="2106" spans="1:17" x14ac:dyDescent="0.3">
      <c r="A2106" t="s">
        <v>17</v>
      </c>
      <c r="B2106" t="str">
        <f>"688682"</f>
        <v>688682</v>
      </c>
      <c r="C2106" t="s">
        <v>4537</v>
      </c>
      <c r="D2106" t="s">
        <v>1136</v>
      </c>
      <c r="F2106">
        <v>329538253</v>
      </c>
      <c r="G2106">
        <v>229198670</v>
      </c>
      <c r="H2106">
        <v>168735822</v>
      </c>
      <c r="I2106">
        <v>155442314</v>
      </c>
      <c r="J2106">
        <v>97879239</v>
      </c>
      <c r="P2106">
        <v>33</v>
      </c>
      <c r="Q2106" t="s">
        <v>4538</v>
      </c>
    </row>
    <row r="2107" spans="1:17" x14ac:dyDescent="0.3">
      <c r="A2107" t="s">
        <v>17</v>
      </c>
      <c r="B2107" t="str">
        <f>"688683"</f>
        <v>688683</v>
      </c>
      <c r="C2107" t="s">
        <v>4539</v>
      </c>
      <c r="D2107" t="s">
        <v>313</v>
      </c>
      <c r="F2107">
        <v>455042332</v>
      </c>
      <c r="G2107">
        <v>400831591</v>
      </c>
      <c r="H2107">
        <v>380993097</v>
      </c>
      <c r="I2107">
        <v>385701487</v>
      </c>
      <c r="J2107">
        <v>366458885</v>
      </c>
      <c r="P2107">
        <v>18</v>
      </c>
      <c r="Q2107" t="s">
        <v>4540</v>
      </c>
    </row>
    <row r="2108" spans="1:17" x14ac:dyDescent="0.3">
      <c r="A2108" t="s">
        <v>17</v>
      </c>
      <c r="B2108" t="str">
        <f>"688685"</f>
        <v>688685</v>
      </c>
      <c r="C2108" t="s">
        <v>4541</v>
      </c>
      <c r="D2108" t="s">
        <v>98</v>
      </c>
      <c r="F2108">
        <v>320719682</v>
      </c>
      <c r="G2108">
        <v>288633639</v>
      </c>
      <c r="H2108">
        <v>249165589</v>
      </c>
      <c r="I2108">
        <v>183437344</v>
      </c>
      <c r="J2108">
        <v>106418611</v>
      </c>
      <c r="P2108">
        <v>21</v>
      </c>
      <c r="Q2108" t="s">
        <v>4542</v>
      </c>
    </row>
    <row r="2109" spans="1:17" x14ac:dyDescent="0.3">
      <c r="A2109" t="s">
        <v>17</v>
      </c>
      <c r="B2109" t="str">
        <f>"688686"</f>
        <v>688686</v>
      </c>
      <c r="C2109" t="s">
        <v>4543</v>
      </c>
      <c r="D2109" t="s">
        <v>3477</v>
      </c>
      <c r="F2109">
        <v>875052965</v>
      </c>
      <c r="G2109">
        <v>642427322</v>
      </c>
      <c r="H2109">
        <v>524618603</v>
      </c>
      <c r="I2109">
        <v>422130979</v>
      </c>
      <c r="J2109">
        <v>302611885</v>
      </c>
      <c r="P2109">
        <v>119</v>
      </c>
      <c r="Q2109" t="s">
        <v>4544</v>
      </c>
    </row>
    <row r="2110" spans="1:17" x14ac:dyDescent="0.3">
      <c r="A2110" t="s">
        <v>17</v>
      </c>
      <c r="B2110" t="str">
        <f>"688687"</f>
        <v>688687</v>
      </c>
      <c r="C2110" t="s">
        <v>4545</v>
      </c>
      <c r="D2110" t="s">
        <v>1379</v>
      </c>
      <c r="F2110">
        <v>1144356834</v>
      </c>
      <c r="G2110">
        <v>862053007</v>
      </c>
      <c r="H2110">
        <v>824924798</v>
      </c>
      <c r="I2110">
        <v>705856643</v>
      </c>
      <c r="J2110">
        <v>490551784</v>
      </c>
      <c r="P2110">
        <v>41</v>
      </c>
      <c r="Q2110" t="s">
        <v>4546</v>
      </c>
    </row>
    <row r="2111" spans="1:17" x14ac:dyDescent="0.3">
      <c r="A2111" t="s">
        <v>17</v>
      </c>
      <c r="B2111" t="str">
        <f>"688688"</f>
        <v>688688</v>
      </c>
      <c r="C2111" t="s">
        <v>4547</v>
      </c>
      <c r="H2111">
        <v>120618372000</v>
      </c>
      <c r="I2111">
        <v>85722344000</v>
      </c>
      <c r="J2111">
        <v>65395920000</v>
      </c>
      <c r="P2111">
        <v>42</v>
      </c>
      <c r="Q2111" t="s">
        <v>4548</v>
      </c>
    </row>
    <row r="2112" spans="1:17" x14ac:dyDescent="0.3">
      <c r="A2112" t="s">
        <v>17</v>
      </c>
      <c r="B2112" t="str">
        <f>"688689"</f>
        <v>688689</v>
      </c>
      <c r="C2112" t="s">
        <v>4549</v>
      </c>
      <c r="D2112" t="s">
        <v>795</v>
      </c>
      <c r="F2112">
        <v>832354020</v>
      </c>
      <c r="G2112">
        <v>610235005</v>
      </c>
      <c r="H2112">
        <v>527893779</v>
      </c>
      <c r="I2112">
        <v>585382675</v>
      </c>
      <c r="J2112">
        <v>611704572</v>
      </c>
      <c r="P2112">
        <v>46</v>
      </c>
      <c r="Q2112" t="s">
        <v>4550</v>
      </c>
    </row>
    <row r="2113" spans="1:17" x14ac:dyDescent="0.3">
      <c r="A2113" t="s">
        <v>17</v>
      </c>
      <c r="B2113" t="str">
        <f>"688690"</f>
        <v>688690</v>
      </c>
      <c r="C2113" t="s">
        <v>4551</v>
      </c>
      <c r="D2113" t="s">
        <v>496</v>
      </c>
      <c r="F2113">
        <v>446346784</v>
      </c>
      <c r="G2113">
        <v>204992941</v>
      </c>
      <c r="H2113">
        <v>129700911</v>
      </c>
      <c r="I2113">
        <v>82395774</v>
      </c>
      <c r="J2113">
        <v>57135361</v>
      </c>
      <c r="P2113">
        <v>116</v>
      </c>
      <c r="Q2113" t="s">
        <v>4552</v>
      </c>
    </row>
    <row r="2114" spans="1:17" x14ac:dyDescent="0.3">
      <c r="A2114" t="s">
        <v>17</v>
      </c>
      <c r="B2114" t="str">
        <f>"688696"</f>
        <v>688696</v>
      </c>
      <c r="C2114" t="s">
        <v>4553</v>
      </c>
      <c r="D2114" t="s">
        <v>137</v>
      </c>
      <c r="F2114">
        <v>4037684436</v>
      </c>
      <c r="G2114">
        <v>2827922350</v>
      </c>
      <c r="H2114">
        <v>2116401961</v>
      </c>
      <c r="I2114">
        <v>1658569319</v>
      </c>
      <c r="J2114">
        <v>998642074</v>
      </c>
      <c r="P2114">
        <v>152</v>
      </c>
      <c r="Q2114" t="s">
        <v>4554</v>
      </c>
    </row>
    <row r="2115" spans="1:17" x14ac:dyDescent="0.3">
      <c r="A2115" t="s">
        <v>17</v>
      </c>
      <c r="B2115" t="str">
        <f>"688697"</f>
        <v>688697</v>
      </c>
      <c r="C2115" t="s">
        <v>4555</v>
      </c>
      <c r="D2115" t="s">
        <v>2321</v>
      </c>
      <c r="F2115">
        <v>1712609867</v>
      </c>
      <c r="G2115">
        <v>1164557491</v>
      </c>
      <c r="H2115">
        <v>970281363</v>
      </c>
      <c r="I2115">
        <v>967568108</v>
      </c>
      <c r="J2115">
        <v>635899595</v>
      </c>
      <c r="P2115">
        <v>16</v>
      </c>
      <c r="Q2115" t="s">
        <v>4556</v>
      </c>
    </row>
    <row r="2116" spans="1:17" x14ac:dyDescent="0.3">
      <c r="A2116" t="s">
        <v>17</v>
      </c>
      <c r="B2116" t="str">
        <f>"688698"</f>
        <v>688698</v>
      </c>
      <c r="C2116" t="s">
        <v>4557</v>
      </c>
      <c r="D2116" t="s">
        <v>2432</v>
      </c>
      <c r="F2116">
        <v>818874971</v>
      </c>
      <c r="G2116">
        <v>572230258</v>
      </c>
      <c r="H2116">
        <v>446235472</v>
      </c>
      <c r="I2116">
        <v>356957903</v>
      </c>
      <c r="J2116">
        <v>322855145</v>
      </c>
      <c r="P2116">
        <v>74</v>
      </c>
      <c r="Q2116" t="s">
        <v>4558</v>
      </c>
    </row>
    <row r="2117" spans="1:17" x14ac:dyDescent="0.3">
      <c r="A2117" t="s">
        <v>17</v>
      </c>
      <c r="B2117" t="str">
        <f>"688699"</f>
        <v>688699</v>
      </c>
      <c r="C2117" t="s">
        <v>4559</v>
      </c>
      <c r="D2117" t="s">
        <v>401</v>
      </c>
      <c r="F2117">
        <v>1251202035</v>
      </c>
      <c r="G2117">
        <v>525261201</v>
      </c>
      <c r="H2117">
        <v>462902112</v>
      </c>
      <c r="I2117">
        <v>391068900</v>
      </c>
      <c r="J2117">
        <v>406244331</v>
      </c>
      <c r="K2117">
        <v>312495614</v>
      </c>
      <c r="P2117">
        <v>140</v>
      </c>
      <c r="Q2117" t="s">
        <v>4560</v>
      </c>
    </row>
    <row r="2118" spans="1:17" x14ac:dyDescent="0.3">
      <c r="A2118" t="s">
        <v>17</v>
      </c>
      <c r="B2118" t="str">
        <f>"688700"</f>
        <v>688700</v>
      </c>
      <c r="C2118" t="s">
        <v>4561</v>
      </c>
      <c r="D2118" t="s">
        <v>741</v>
      </c>
      <c r="F2118">
        <v>804628679</v>
      </c>
      <c r="G2118">
        <v>554485762</v>
      </c>
      <c r="H2118">
        <v>441595349</v>
      </c>
      <c r="I2118">
        <v>407394870</v>
      </c>
      <c r="J2118">
        <v>376400709</v>
      </c>
      <c r="P2118">
        <v>34</v>
      </c>
      <c r="Q2118" t="s">
        <v>4562</v>
      </c>
    </row>
    <row r="2119" spans="1:17" x14ac:dyDescent="0.3">
      <c r="A2119" t="s">
        <v>17</v>
      </c>
      <c r="B2119" t="str">
        <f>"688701"</f>
        <v>688701</v>
      </c>
      <c r="C2119" t="s">
        <v>4563</v>
      </c>
      <c r="D2119" t="s">
        <v>3575</v>
      </c>
      <c r="F2119">
        <v>413185650</v>
      </c>
      <c r="G2119">
        <v>340598376</v>
      </c>
      <c r="H2119">
        <v>291040258</v>
      </c>
      <c r="I2119">
        <v>210682533</v>
      </c>
      <c r="J2119">
        <v>156643448</v>
      </c>
      <c r="P2119">
        <v>19</v>
      </c>
      <c r="Q2119" t="s">
        <v>4564</v>
      </c>
    </row>
    <row r="2120" spans="1:17" x14ac:dyDescent="0.3">
      <c r="A2120" t="s">
        <v>17</v>
      </c>
      <c r="B2120" t="str">
        <f>"688707"</f>
        <v>688707</v>
      </c>
      <c r="C2120" t="s">
        <v>4565</v>
      </c>
      <c r="D2120" t="s">
        <v>1790</v>
      </c>
      <c r="F2120">
        <v>5514900409</v>
      </c>
      <c r="G2120">
        <v>1036502871</v>
      </c>
      <c r="H2120">
        <v>2428463390</v>
      </c>
      <c r="I2120">
        <v>2654849311</v>
      </c>
      <c r="J2120">
        <v>1346822423</v>
      </c>
      <c r="P2120">
        <v>31</v>
      </c>
      <c r="Q2120" t="s">
        <v>4566</v>
      </c>
    </row>
    <row r="2121" spans="1:17" x14ac:dyDescent="0.3">
      <c r="A2121" t="s">
        <v>17</v>
      </c>
      <c r="B2121" t="str">
        <f>"688711"</f>
        <v>688711</v>
      </c>
      <c r="C2121" t="s">
        <v>4567</v>
      </c>
      <c r="D2121" t="s">
        <v>795</v>
      </c>
      <c r="F2121">
        <v>550636072</v>
      </c>
      <c r="G2121">
        <v>331629294</v>
      </c>
      <c r="H2121">
        <v>259720896</v>
      </c>
      <c r="I2121">
        <v>262492734</v>
      </c>
      <c r="J2121">
        <v>209175164</v>
      </c>
      <c r="P2121">
        <v>38</v>
      </c>
      <c r="Q2121" t="s">
        <v>4568</v>
      </c>
    </row>
    <row r="2122" spans="1:17" x14ac:dyDescent="0.3">
      <c r="A2122" t="s">
        <v>17</v>
      </c>
      <c r="B2122" t="str">
        <f>"688718"</f>
        <v>688718</v>
      </c>
      <c r="C2122" t="s">
        <v>4569</v>
      </c>
      <c r="D2122" t="s">
        <v>324</v>
      </c>
      <c r="F2122">
        <v>379186008</v>
      </c>
      <c r="G2122">
        <v>313595097</v>
      </c>
      <c r="H2122">
        <v>360583584</v>
      </c>
      <c r="I2122">
        <v>327947789</v>
      </c>
      <c r="J2122">
        <v>299735349</v>
      </c>
      <c r="P2122">
        <v>20</v>
      </c>
      <c r="Q2122" t="s">
        <v>4570</v>
      </c>
    </row>
    <row r="2123" spans="1:17" x14ac:dyDescent="0.3">
      <c r="A2123" t="s">
        <v>17</v>
      </c>
      <c r="B2123" t="str">
        <f>"688722"</f>
        <v>688722</v>
      </c>
      <c r="C2123" t="s">
        <v>4571</v>
      </c>
      <c r="D2123" t="s">
        <v>146</v>
      </c>
      <c r="F2123">
        <v>330902402</v>
      </c>
      <c r="G2123">
        <v>282937002</v>
      </c>
      <c r="H2123">
        <v>301343224</v>
      </c>
      <c r="I2123">
        <v>292117233</v>
      </c>
      <c r="J2123">
        <v>278388369</v>
      </c>
      <c r="P2123">
        <v>13</v>
      </c>
      <c r="Q2123" t="s">
        <v>4572</v>
      </c>
    </row>
    <row r="2124" spans="1:17" x14ac:dyDescent="0.3">
      <c r="A2124" t="s">
        <v>17</v>
      </c>
      <c r="B2124" t="str">
        <f>"688728"</f>
        <v>688728</v>
      </c>
      <c r="C2124" t="s">
        <v>4573</v>
      </c>
      <c r="D2124" t="s">
        <v>461</v>
      </c>
      <c r="F2124">
        <v>7000561264</v>
      </c>
      <c r="G2124">
        <v>6455932154</v>
      </c>
      <c r="H2124">
        <v>3690183620</v>
      </c>
      <c r="I2124">
        <v>2193479663</v>
      </c>
      <c r="J2124">
        <v>1966950498</v>
      </c>
      <c r="P2124">
        <v>58</v>
      </c>
      <c r="Q2124" t="s">
        <v>4574</v>
      </c>
    </row>
    <row r="2125" spans="1:17" x14ac:dyDescent="0.3">
      <c r="A2125" t="s">
        <v>17</v>
      </c>
      <c r="B2125" t="str">
        <f>"688733"</f>
        <v>688733</v>
      </c>
      <c r="C2125" t="s">
        <v>4575</v>
      </c>
      <c r="D2125" t="s">
        <v>1790</v>
      </c>
      <c r="F2125">
        <v>422702488</v>
      </c>
      <c r="G2125">
        <v>192266374</v>
      </c>
      <c r="H2125">
        <v>165117628</v>
      </c>
      <c r="I2125">
        <v>115585724</v>
      </c>
      <c r="J2125">
        <v>75382121</v>
      </c>
      <c r="P2125">
        <v>47</v>
      </c>
      <c r="Q2125" t="s">
        <v>4576</v>
      </c>
    </row>
    <row r="2126" spans="1:17" x14ac:dyDescent="0.3">
      <c r="A2126" t="s">
        <v>17</v>
      </c>
      <c r="B2126" t="str">
        <f>"688737"</f>
        <v>688737</v>
      </c>
      <c r="C2126" t="s">
        <v>4577</v>
      </c>
      <c r="D2126" t="s">
        <v>985</v>
      </c>
      <c r="F2126">
        <v>962240014</v>
      </c>
      <c r="G2126">
        <v>2577294091</v>
      </c>
      <c r="H2126">
        <v>1001319621</v>
      </c>
      <c r="I2126">
        <v>336530152</v>
      </c>
      <c r="J2126">
        <v>320401469</v>
      </c>
      <c r="P2126">
        <v>15</v>
      </c>
      <c r="Q2126" t="s">
        <v>4578</v>
      </c>
    </row>
    <row r="2127" spans="1:17" x14ac:dyDescent="0.3">
      <c r="A2127" t="s">
        <v>17</v>
      </c>
      <c r="B2127" t="str">
        <f>"688739"</f>
        <v>688739</v>
      </c>
      <c r="C2127" t="s">
        <v>4579</v>
      </c>
      <c r="D2127" t="s">
        <v>1499</v>
      </c>
      <c r="F2127">
        <v>2088043470</v>
      </c>
      <c r="G2127">
        <v>1995575514</v>
      </c>
      <c r="H2127">
        <v>1676924490</v>
      </c>
      <c r="I2127">
        <v>1390571894</v>
      </c>
      <c r="J2127">
        <v>1276039799</v>
      </c>
      <c r="P2127">
        <v>36</v>
      </c>
      <c r="Q2127" t="s">
        <v>4580</v>
      </c>
    </row>
    <row r="2128" spans="1:17" x14ac:dyDescent="0.3">
      <c r="A2128" t="s">
        <v>17</v>
      </c>
      <c r="B2128" t="str">
        <f>"688766"</f>
        <v>688766</v>
      </c>
      <c r="C2128" t="s">
        <v>4581</v>
      </c>
      <c r="D2128" t="s">
        <v>461</v>
      </c>
      <c r="F2128">
        <v>1102924006</v>
      </c>
      <c r="G2128">
        <v>717332011</v>
      </c>
      <c r="H2128">
        <v>362989595</v>
      </c>
      <c r="I2128">
        <v>178252690</v>
      </c>
      <c r="J2128">
        <v>77801092</v>
      </c>
      <c r="P2128">
        <v>42</v>
      </c>
      <c r="Q2128" t="s">
        <v>4582</v>
      </c>
    </row>
    <row r="2129" spans="1:17" x14ac:dyDescent="0.3">
      <c r="A2129" t="s">
        <v>17</v>
      </c>
      <c r="B2129" t="str">
        <f>"688767"</f>
        <v>688767</v>
      </c>
      <c r="C2129" t="s">
        <v>4583</v>
      </c>
      <c r="D2129" t="s">
        <v>1305</v>
      </c>
      <c r="F2129">
        <v>1818075903</v>
      </c>
      <c r="G2129">
        <v>865371454</v>
      </c>
      <c r="H2129">
        <v>208842041</v>
      </c>
      <c r="I2129">
        <v>180301425</v>
      </c>
      <c r="J2129">
        <v>121770765</v>
      </c>
      <c r="P2129">
        <v>43</v>
      </c>
      <c r="Q2129" t="s">
        <v>4584</v>
      </c>
    </row>
    <row r="2130" spans="1:17" x14ac:dyDescent="0.3">
      <c r="A2130" t="s">
        <v>17</v>
      </c>
      <c r="B2130" t="str">
        <f>"688768"</f>
        <v>688768</v>
      </c>
      <c r="C2130" t="s">
        <v>4585</v>
      </c>
      <c r="D2130" t="s">
        <v>2566</v>
      </c>
      <c r="F2130">
        <v>397096404</v>
      </c>
      <c r="G2130">
        <v>263778545</v>
      </c>
      <c r="H2130">
        <v>180123743</v>
      </c>
      <c r="I2130">
        <v>113121557</v>
      </c>
      <c r="J2130">
        <v>100436940</v>
      </c>
      <c r="P2130">
        <v>30</v>
      </c>
      <c r="Q2130" t="s">
        <v>4586</v>
      </c>
    </row>
    <row r="2131" spans="1:17" x14ac:dyDescent="0.3">
      <c r="A2131" t="s">
        <v>17</v>
      </c>
      <c r="B2131" t="str">
        <f>"688772"</f>
        <v>688772</v>
      </c>
      <c r="C2131" t="s">
        <v>4587</v>
      </c>
      <c r="D2131" t="s">
        <v>359</v>
      </c>
      <c r="F2131">
        <v>10339957318</v>
      </c>
      <c r="G2131">
        <v>6964153341</v>
      </c>
      <c r="H2131">
        <v>5331050766</v>
      </c>
      <c r="I2131">
        <v>4746950927</v>
      </c>
      <c r="J2131">
        <v>2935056732</v>
      </c>
      <c r="P2131">
        <v>33</v>
      </c>
      <c r="Q2131" t="s">
        <v>4588</v>
      </c>
    </row>
    <row r="2132" spans="1:17" x14ac:dyDescent="0.3">
      <c r="A2132" t="s">
        <v>17</v>
      </c>
      <c r="B2132" t="str">
        <f>"688776"</f>
        <v>688776</v>
      </c>
      <c r="C2132" t="s">
        <v>4589</v>
      </c>
      <c r="D2132" t="s">
        <v>1136</v>
      </c>
      <c r="F2132">
        <v>590354264</v>
      </c>
      <c r="G2132">
        <v>445854361</v>
      </c>
      <c r="H2132">
        <v>354939717</v>
      </c>
      <c r="I2132">
        <v>368437793</v>
      </c>
      <c r="J2132">
        <v>261674679</v>
      </c>
      <c r="P2132">
        <v>23</v>
      </c>
      <c r="Q2132" t="s">
        <v>4590</v>
      </c>
    </row>
    <row r="2133" spans="1:17" x14ac:dyDescent="0.3">
      <c r="A2133" t="s">
        <v>17</v>
      </c>
      <c r="B2133" t="str">
        <f>"688777"</f>
        <v>688777</v>
      </c>
      <c r="C2133" t="s">
        <v>4591</v>
      </c>
      <c r="D2133" t="s">
        <v>2432</v>
      </c>
      <c r="F2133">
        <v>4519412479</v>
      </c>
      <c r="G2133">
        <v>3158743442</v>
      </c>
      <c r="H2133">
        <v>2536929737</v>
      </c>
      <c r="I2133">
        <v>2133431633</v>
      </c>
      <c r="J2133">
        <v>1714860009</v>
      </c>
      <c r="K2133">
        <v>1483911994</v>
      </c>
      <c r="P2133">
        <v>180</v>
      </c>
      <c r="Q2133" t="s">
        <v>4592</v>
      </c>
    </row>
    <row r="2134" spans="1:17" x14ac:dyDescent="0.3">
      <c r="A2134" t="s">
        <v>17</v>
      </c>
      <c r="B2134" t="str">
        <f>"688778"</f>
        <v>688778</v>
      </c>
      <c r="C2134" t="s">
        <v>4593</v>
      </c>
      <c r="D2134" t="s">
        <v>1790</v>
      </c>
      <c r="F2134">
        <v>15565760243</v>
      </c>
      <c r="G2134">
        <v>7989637657</v>
      </c>
      <c r="H2134">
        <v>6977723911</v>
      </c>
      <c r="I2134">
        <v>7026350479</v>
      </c>
      <c r="J2134">
        <v>4211441780</v>
      </c>
      <c r="P2134">
        <v>44</v>
      </c>
      <c r="Q2134" t="s">
        <v>4594</v>
      </c>
    </row>
    <row r="2135" spans="1:17" x14ac:dyDescent="0.3">
      <c r="A2135" t="s">
        <v>17</v>
      </c>
      <c r="B2135" t="str">
        <f>"688779"</f>
        <v>688779</v>
      </c>
      <c r="C2135" t="s">
        <v>4595</v>
      </c>
      <c r="D2135" t="s">
        <v>1790</v>
      </c>
      <c r="F2135">
        <v>6841167257</v>
      </c>
      <c r="G2135">
        <v>2010634906</v>
      </c>
      <c r="H2135">
        <v>2765861248</v>
      </c>
      <c r="I2135">
        <v>2638905231</v>
      </c>
      <c r="J2135">
        <v>1685668884</v>
      </c>
      <c r="P2135">
        <v>53</v>
      </c>
      <c r="Q2135" t="s">
        <v>4596</v>
      </c>
    </row>
    <row r="2136" spans="1:17" x14ac:dyDescent="0.3">
      <c r="A2136" t="s">
        <v>17</v>
      </c>
      <c r="B2136" t="str">
        <f>"688786"</f>
        <v>688786</v>
      </c>
      <c r="C2136" t="s">
        <v>4597</v>
      </c>
      <c r="D2136" t="s">
        <v>581</v>
      </c>
      <c r="F2136">
        <v>401414514</v>
      </c>
      <c r="G2136">
        <v>256404777</v>
      </c>
      <c r="H2136">
        <v>213140060</v>
      </c>
      <c r="I2136">
        <v>208467063</v>
      </c>
      <c r="J2136">
        <v>116491516</v>
      </c>
      <c r="P2136">
        <v>31</v>
      </c>
      <c r="Q2136" t="s">
        <v>4598</v>
      </c>
    </row>
    <row r="2137" spans="1:17" x14ac:dyDescent="0.3">
      <c r="A2137" t="s">
        <v>17</v>
      </c>
      <c r="B2137" t="str">
        <f>"688787"</f>
        <v>688787</v>
      </c>
      <c r="C2137" t="s">
        <v>4599</v>
      </c>
      <c r="D2137" t="s">
        <v>316</v>
      </c>
      <c r="F2137">
        <v>206476533</v>
      </c>
      <c r="G2137">
        <v>233373953</v>
      </c>
      <c r="H2137">
        <v>237558118</v>
      </c>
      <c r="I2137">
        <v>192657698</v>
      </c>
      <c r="J2137">
        <v>119070944</v>
      </c>
      <c r="K2137">
        <v>84228553</v>
      </c>
      <c r="P2137">
        <v>32</v>
      </c>
      <c r="Q2137" t="s">
        <v>4600</v>
      </c>
    </row>
    <row r="2138" spans="1:17" x14ac:dyDescent="0.3">
      <c r="A2138" t="s">
        <v>17</v>
      </c>
      <c r="B2138" t="str">
        <f>"688788"</f>
        <v>688788</v>
      </c>
      <c r="C2138" t="s">
        <v>4601</v>
      </c>
      <c r="D2138" t="s">
        <v>1136</v>
      </c>
      <c r="F2138">
        <v>610298098</v>
      </c>
      <c r="G2138">
        <v>654927637</v>
      </c>
      <c r="H2138">
        <v>674378349</v>
      </c>
      <c r="I2138">
        <v>551380971</v>
      </c>
      <c r="J2138">
        <v>33660411</v>
      </c>
      <c r="P2138">
        <v>59</v>
      </c>
      <c r="Q2138" t="s">
        <v>4602</v>
      </c>
    </row>
    <row r="2139" spans="1:17" x14ac:dyDescent="0.3">
      <c r="A2139" t="s">
        <v>17</v>
      </c>
      <c r="B2139" t="str">
        <f>"688789"</f>
        <v>688789</v>
      </c>
      <c r="C2139" t="s">
        <v>4603</v>
      </c>
      <c r="D2139" t="s">
        <v>534</v>
      </c>
      <c r="F2139">
        <v>943105975</v>
      </c>
      <c r="G2139">
        <v>715870685</v>
      </c>
      <c r="H2139">
        <v>591233783</v>
      </c>
      <c r="I2139">
        <v>472759655</v>
      </c>
      <c r="J2139">
        <v>282877999</v>
      </c>
      <c r="P2139">
        <v>43</v>
      </c>
      <c r="Q2139" t="s">
        <v>4604</v>
      </c>
    </row>
    <row r="2140" spans="1:17" x14ac:dyDescent="0.3">
      <c r="A2140" t="s">
        <v>17</v>
      </c>
      <c r="B2140" t="str">
        <f>"688793"</f>
        <v>688793</v>
      </c>
      <c r="C2140" t="s">
        <v>4605</v>
      </c>
      <c r="D2140" t="s">
        <v>3364</v>
      </c>
      <c r="F2140">
        <v>1189539639</v>
      </c>
      <c r="G2140">
        <v>826484571</v>
      </c>
      <c r="H2140">
        <v>694115697</v>
      </c>
      <c r="I2140">
        <v>507993695</v>
      </c>
      <c r="J2140">
        <v>357466427</v>
      </c>
      <c r="P2140">
        <v>48</v>
      </c>
      <c r="Q2140" t="s">
        <v>4606</v>
      </c>
    </row>
    <row r="2141" spans="1:17" x14ac:dyDescent="0.3">
      <c r="A2141" t="s">
        <v>17</v>
      </c>
      <c r="B2141" t="str">
        <f>"688798"</f>
        <v>688798</v>
      </c>
      <c r="C2141" t="s">
        <v>4607</v>
      </c>
      <c r="D2141" t="s">
        <v>401</v>
      </c>
      <c r="F2141">
        <v>2327001357</v>
      </c>
      <c r="G2141">
        <v>1437663669</v>
      </c>
      <c r="H2141">
        <v>1017649864</v>
      </c>
      <c r="I2141">
        <v>693804378</v>
      </c>
      <c r="J2141">
        <v>523619557</v>
      </c>
      <c r="P2141">
        <v>67</v>
      </c>
      <c r="Q2141" t="s">
        <v>4608</v>
      </c>
    </row>
    <row r="2142" spans="1:17" x14ac:dyDescent="0.3">
      <c r="A2142" t="s">
        <v>17</v>
      </c>
      <c r="B2142" t="str">
        <f>"688799"</f>
        <v>688799</v>
      </c>
      <c r="C2142" t="s">
        <v>4609</v>
      </c>
      <c r="D2142" t="s">
        <v>143</v>
      </c>
      <c r="F2142">
        <v>1146598969</v>
      </c>
      <c r="G2142">
        <v>950628390</v>
      </c>
      <c r="H2142">
        <v>824648894</v>
      </c>
      <c r="I2142">
        <v>613248114</v>
      </c>
      <c r="J2142">
        <v>374874205</v>
      </c>
      <c r="P2142">
        <v>35</v>
      </c>
      <c r="Q2142" t="s">
        <v>4610</v>
      </c>
    </row>
    <row r="2143" spans="1:17" x14ac:dyDescent="0.3">
      <c r="A2143" t="s">
        <v>17</v>
      </c>
      <c r="B2143" t="str">
        <f>"688800"</f>
        <v>688800</v>
      </c>
      <c r="C2143" t="s">
        <v>4611</v>
      </c>
      <c r="D2143" t="s">
        <v>651</v>
      </c>
      <c r="F2143">
        <v>901723546</v>
      </c>
      <c r="G2143">
        <v>610387550</v>
      </c>
      <c r="H2143">
        <v>508376497</v>
      </c>
      <c r="I2143">
        <v>449972670</v>
      </c>
      <c r="J2143">
        <v>420364011</v>
      </c>
      <c r="P2143">
        <v>51</v>
      </c>
      <c r="Q2143" t="s">
        <v>4612</v>
      </c>
    </row>
    <row r="2144" spans="1:17" x14ac:dyDescent="0.3">
      <c r="A2144" t="s">
        <v>17</v>
      </c>
      <c r="B2144" t="str">
        <f>"688819"</f>
        <v>688819</v>
      </c>
      <c r="C2144" t="s">
        <v>4613</v>
      </c>
      <c r="D2144" t="s">
        <v>555</v>
      </c>
      <c r="F2144">
        <v>38716168680</v>
      </c>
      <c r="G2144">
        <v>35099877944</v>
      </c>
      <c r="H2144">
        <v>42744368176</v>
      </c>
      <c r="I2144">
        <v>35862842260</v>
      </c>
      <c r="J2144">
        <v>28052245379</v>
      </c>
      <c r="K2144">
        <v>22384857550</v>
      </c>
      <c r="P2144">
        <v>159</v>
      </c>
      <c r="Q2144" t="s">
        <v>4614</v>
      </c>
    </row>
    <row r="2145" spans="1:17" x14ac:dyDescent="0.3">
      <c r="A2145" t="s">
        <v>17</v>
      </c>
      <c r="B2145" t="str">
        <f>"688981"</f>
        <v>688981</v>
      </c>
      <c r="C2145" t="s">
        <v>4615</v>
      </c>
      <c r="D2145" t="s">
        <v>4332</v>
      </c>
      <c r="F2145">
        <v>35630634000</v>
      </c>
      <c r="G2145">
        <v>27470709000</v>
      </c>
      <c r="H2145">
        <v>22017882940</v>
      </c>
      <c r="I2145">
        <v>23016706842</v>
      </c>
      <c r="J2145">
        <v>21389822412</v>
      </c>
      <c r="P2145">
        <v>1041</v>
      </c>
      <c r="Q2145" t="s">
        <v>4616</v>
      </c>
    </row>
    <row r="2146" spans="1:17" x14ac:dyDescent="0.3">
      <c r="A2146" t="s">
        <v>17</v>
      </c>
      <c r="B2146" t="str">
        <f>"689009"</f>
        <v>689009</v>
      </c>
      <c r="C2146" t="s">
        <v>4617</v>
      </c>
      <c r="D2146" t="s">
        <v>233</v>
      </c>
      <c r="F2146">
        <v>9146053585</v>
      </c>
      <c r="G2146">
        <v>6002741375</v>
      </c>
      <c r="H2146">
        <v>4585894576</v>
      </c>
      <c r="I2146">
        <v>4247648668</v>
      </c>
      <c r="J2146">
        <v>1381301442</v>
      </c>
      <c r="K2146">
        <v>1152877651</v>
      </c>
      <c r="P2146">
        <v>114</v>
      </c>
      <c r="Q2146" t="s">
        <v>4618</v>
      </c>
    </row>
    <row r="2147" spans="1:17" x14ac:dyDescent="0.3">
      <c r="A2147" t="s">
        <v>17</v>
      </c>
      <c r="B2147" t="str">
        <f>"900901"</f>
        <v>900901</v>
      </c>
      <c r="C2147" t="s">
        <v>4619</v>
      </c>
      <c r="G2147">
        <v>701737428.66460001</v>
      </c>
      <c r="H2147">
        <v>702078222.19599998</v>
      </c>
      <c r="I2147">
        <v>649292420.36500001</v>
      </c>
      <c r="J2147">
        <v>646643465.77919996</v>
      </c>
      <c r="K2147">
        <v>589512560.25600004</v>
      </c>
      <c r="L2147">
        <v>461597446.31</v>
      </c>
      <c r="M2147">
        <v>202518007.016</v>
      </c>
      <c r="N2147">
        <v>188060715.32080001</v>
      </c>
      <c r="O2147">
        <v>193519255.72499999</v>
      </c>
      <c r="P2147">
        <v>7</v>
      </c>
      <c r="Q2147" t="s">
        <v>4620</v>
      </c>
    </row>
    <row r="2148" spans="1:17" x14ac:dyDescent="0.3">
      <c r="A2148" t="s">
        <v>17</v>
      </c>
      <c r="B2148" t="str">
        <f>"900902"</f>
        <v>900902</v>
      </c>
      <c r="C2148" t="s">
        <v>4621</v>
      </c>
      <c r="G2148">
        <v>183850672.57690001</v>
      </c>
      <c r="H2148">
        <v>156578914.07600001</v>
      </c>
      <c r="I2148">
        <v>73842293.951800004</v>
      </c>
      <c r="J2148">
        <v>336598321.15200001</v>
      </c>
      <c r="K2148">
        <v>169939956.24000001</v>
      </c>
      <c r="L2148">
        <v>152644182.61399999</v>
      </c>
      <c r="M2148">
        <v>19866625.5528</v>
      </c>
      <c r="N2148">
        <v>70411243.1708</v>
      </c>
      <c r="O2148">
        <v>49144273.585500002</v>
      </c>
      <c r="P2148">
        <v>10</v>
      </c>
      <c r="Q2148" t="s">
        <v>4622</v>
      </c>
    </row>
    <row r="2149" spans="1:17" x14ac:dyDescent="0.3">
      <c r="A2149" t="s">
        <v>17</v>
      </c>
      <c r="B2149" t="str">
        <f>"900903"</f>
        <v>900903</v>
      </c>
      <c r="C2149" t="s">
        <v>4623</v>
      </c>
      <c r="G2149">
        <v>377995520.82730001</v>
      </c>
      <c r="H2149">
        <v>522203963.40359998</v>
      </c>
      <c r="I2149">
        <v>495081339.7234</v>
      </c>
      <c r="J2149">
        <v>367763933.33759999</v>
      </c>
      <c r="K2149">
        <v>440650188.57599998</v>
      </c>
      <c r="L2149">
        <v>341922682.33200002</v>
      </c>
      <c r="M2149">
        <v>438307709.02359998</v>
      </c>
      <c r="N2149">
        <v>495336889.92479998</v>
      </c>
      <c r="O2149">
        <v>467532479.47500002</v>
      </c>
      <c r="P2149">
        <v>32</v>
      </c>
      <c r="Q2149" t="s">
        <v>4624</v>
      </c>
    </row>
    <row r="2150" spans="1:17" x14ac:dyDescent="0.3">
      <c r="A2150" t="s">
        <v>17</v>
      </c>
      <c r="B2150" t="str">
        <f>"900904"</f>
        <v>900904</v>
      </c>
      <c r="C2150" t="s">
        <v>4625</v>
      </c>
      <c r="G2150">
        <v>278144313.12080002</v>
      </c>
      <c r="H2150">
        <v>276802385.53039998</v>
      </c>
      <c r="I2150">
        <v>269412525.42079997</v>
      </c>
      <c r="J2150">
        <v>266605970.68799999</v>
      </c>
      <c r="K2150">
        <v>230092980.76800001</v>
      </c>
      <c r="L2150">
        <v>245308523.30599999</v>
      </c>
      <c r="M2150">
        <v>208546588.95719999</v>
      </c>
      <c r="N2150">
        <v>153501221.58000001</v>
      </c>
      <c r="O2150">
        <v>24716881.390500002</v>
      </c>
      <c r="P2150">
        <v>8</v>
      </c>
      <c r="Q2150" t="s">
        <v>4626</v>
      </c>
    </row>
    <row r="2151" spans="1:17" x14ac:dyDescent="0.3">
      <c r="A2151" t="s">
        <v>17</v>
      </c>
      <c r="B2151" t="str">
        <f>"900905"</f>
        <v>900905</v>
      </c>
      <c r="C2151" t="s">
        <v>4627</v>
      </c>
      <c r="G2151">
        <v>7908735200.9526997</v>
      </c>
      <c r="H2151">
        <v>7126675290.6667995</v>
      </c>
      <c r="I2151">
        <v>6366262440.5024004</v>
      </c>
      <c r="J2151">
        <v>6114870441.9840002</v>
      </c>
      <c r="K2151">
        <v>5034783612.2399998</v>
      </c>
      <c r="L2151">
        <v>5499705423.8280001</v>
      </c>
      <c r="M2151">
        <v>5293004911.1107998</v>
      </c>
      <c r="N2151">
        <v>5449065117.3448</v>
      </c>
      <c r="O2151">
        <v>4101320543.3520002</v>
      </c>
      <c r="P2151">
        <v>473</v>
      </c>
      <c r="Q2151" t="s">
        <v>4628</v>
      </c>
    </row>
    <row r="2152" spans="1:17" x14ac:dyDescent="0.3">
      <c r="A2152" t="s">
        <v>17</v>
      </c>
      <c r="B2152" t="str">
        <f>"900906"</f>
        <v>900906</v>
      </c>
      <c r="C2152" t="s">
        <v>4629</v>
      </c>
      <c r="G2152">
        <v>164980830.08250001</v>
      </c>
      <c r="H2152">
        <v>28632404.717999998</v>
      </c>
      <c r="J2152">
        <v>4688089.3439999996</v>
      </c>
      <c r="K2152">
        <v>87616119.599999994</v>
      </c>
      <c r="L2152">
        <v>10343777.597999999</v>
      </c>
      <c r="M2152">
        <v>11238211.462400001</v>
      </c>
      <c r="N2152">
        <v>14018938.245200001</v>
      </c>
      <c r="O2152">
        <v>13426973.6985</v>
      </c>
      <c r="P2152">
        <v>4</v>
      </c>
      <c r="Q2152" t="s">
        <v>4630</v>
      </c>
    </row>
    <row r="2153" spans="1:17" x14ac:dyDescent="0.3">
      <c r="A2153" t="s">
        <v>17</v>
      </c>
      <c r="B2153" t="str">
        <f>"900907"</f>
        <v>900907</v>
      </c>
      <c r="C2153" t="s">
        <v>4631</v>
      </c>
      <c r="G2153">
        <v>12332597.1702</v>
      </c>
      <c r="H2153">
        <v>235920135.71160001</v>
      </c>
      <c r="I2153">
        <v>312213262.86860001</v>
      </c>
      <c r="J2153">
        <v>307763983.25760001</v>
      </c>
      <c r="K2153">
        <v>335059149.02399999</v>
      </c>
      <c r="L2153">
        <v>264351326.00799999</v>
      </c>
      <c r="M2153">
        <v>204724607.72400001</v>
      </c>
      <c r="N2153">
        <v>212353086.88159999</v>
      </c>
      <c r="O2153">
        <v>170600043.18900001</v>
      </c>
      <c r="P2153">
        <v>4</v>
      </c>
      <c r="Q2153" t="s">
        <v>4632</v>
      </c>
    </row>
    <row r="2154" spans="1:17" x14ac:dyDescent="0.3">
      <c r="A2154" t="s">
        <v>17</v>
      </c>
      <c r="B2154" t="str">
        <f>"900908"</f>
        <v>900908</v>
      </c>
      <c r="C2154" t="s">
        <v>4633</v>
      </c>
      <c r="G2154">
        <v>747525383.9454</v>
      </c>
      <c r="H2154">
        <v>928197865.55320001</v>
      </c>
      <c r="I2154">
        <v>1042610771.3068</v>
      </c>
      <c r="J2154">
        <v>1110028197.1199999</v>
      </c>
      <c r="K2154">
        <v>972633176.92799997</v>
      </c>
      <c r="L2154">
        <v>950314630.49600005</v>
      </c>
      <c r="M2154">
        <v>1130883974.0016</v>
      </c>
      <c r="N2154">
        <v>1152139765.4059999</v>
      </c>
      <c r="O2154">
        <v>1017711825.825</v>
      </c>
      <c r="P2154">
        <v>50</v>
      </c>
      <c r="Q2154" t="s">
        <v>4634</v>
      </c>
    </row>
    <row r="2155" spans="1:17" x14ac:dyDescent="0.3">
      <c r="A2155" t="s">
        <v>17</v>
      </c>
      <c r="B2155" t="str">
        <f>"900909"</f>
        <v>900909</v>
      </c>
      <c r="C2155" t="s">
        <v>4635</v>
      </c>
      <c r="G2155">
        <v>4300863574.2215004</v>
      </c>
      <c r="H2155">
        <v>5388740250.9776001</v>
      </c>
      <c r="I2155">
        <v>6432451090.0112</v>
      </c>
      <c r="J2155">
        <v>6689785783.7567997</v>
      </c>
      <c r="K2155">
        <v>5891810236.9919996</v>
      </c>
      <c r="L2155">
        <v>6254911940.9700003</v>
      </c>
      <c r="M2155">
        <v>2374567063.8144002</v>
      </c>
      <c r="N2155">
        <v>2367676511.8299999</v>
      </c>
      <c r="O2155">
        <v>1942303523.3924999</v>
      </c>
      <c r="P2155">
        <v>24</v>
      </c>
      <c r="Q2155" t="s">
        <v>4636</v>
      </c>
    </row>
    <row r="2156" spans="1:17" x14ac:dyDescent="0.3">
      <c r="A2156" t="s">
        <v>17</v>
      </c>
      <c r="B2156" t="str">
        <f>"900910"</f>
        <v>900910</v>
      </c>
      <c r="C2156" t="s">
        <v>4637</v>
      </c>
      <c r="G2156">
        <v>1693099565.7855</v>
      </c>
      <c r="H2156">
        <v>1743334761.1303999</v>
      </c>
      <c r="I2156">
        <v>1702388468.6905999</v>
      </c>
      <c r="J2156">
        <v>1604624707.8912001</v>
      </c>
      <c r="K2156">
        <v>1063257200.064</v>
      </c>
      <c r="L2156">
        <v>908023390.12</v>
      </c>
      <c r="M2156">
        <v>1097521683.9651999</v>
      </c>
      <c r="N2156">
        <v>1093891550.3208001</v>
      </c>
      <c r="O2156">
        <v>1087061022.135</v>
      </c>
      <c r="P2156">
        <v>13</v>
      </c>
      <c r="Q2156" t="s">
        <v>4638</v>
      </c>
    </row>
    <row r="2157" spans="1:17" x14ac:dyDescent="0.3">
      <c r="A2157" t="s">
        <v>17</v>
      </c>
      <c r="B2157" t="str">
        <f>"900911"</f>
        <v>900911</v>
      </c>
      <c r="C2157" t="s">
        <v>4639</v>
      </c>
      <c r="G2157">
        <v>549440013.80130005</v>
      </c>
      <c r="H2157">
        <v>481402165.9156</v>
      </c>
      <c r="I2157">
        <v>401516052.81400001</v>
      </c>
      <c r="J2157">
        <v>257099641.6512</v>
      </c>
      <c r="K2157">
        <v>211581693.648</v>
      </c>
      <c r="L2157">
        <v>230945184.62400001</v>
      </c>
      <c r="M2157">
        <v>308577256.04159999</v>
      </c>
      <c r="N2157">
        <v>236014060.90360001</v>
      </c>
      <c r="O2157">
        <v>180118245.63</v>
      </c>
      <c r="P2157">
        <v>73</v>
      </c>
      <c r="Q2157" t="s">
        <v>4640</v>
      </c>
    </row>
    <row r="2158" spans="1:17" x14ac:dyDescent="0.3">
      <c r="A2158" t="s">
        <v>17</v>
      </c>
      <c r="B2158" t="str">
        <f>"900912"</f>
        <v>900912</v>
      </c>
      <c r="C2158" t="s">
        <v>4641</v>
      </c>
      <c r="G2158">
        <v>1552145399.9024999</v>
      </c>
      <c r="H2158">
        <v>1283906162.2432001</v>
      </c>
      <c r="I2158">
        <v>1121154750.7742</v>
      </c>
      <c r="J2158">
        <v>1375267955.8656001</v>
      </c>
      <c r="K2158">
        <v>1246624411.9679999</v>
      </c>
      <c r="L2158">
        <v>1215806288.4660001</v>
      </c>
      <c r="M2158">
        <v>1251094841.0999999</v>
      </c>
      <c r="N2158">
        <v>1166414970.4816</v>
      </c>
      <c r="O2158">
        <v>1172346161.2065001</v>
      </c>
      <c r="P2158">
        <v>18</v>
      </c>
      <c r="Q2158" t="s">
        <v>4642</v>
      </c>
    </row>
    <row r="2159" spans="1:17" x14ac:dyDescent="0.3">
      <c r="A2159" t="s">
        <v>17</v>
      </c>
      <c r="B2159" t="str">
        <f>"900913"</f>
        <v>900913</v>
      </c>
      <c r="C2159" t="s">
        <v>4643</v>
      </c>
      <c r="G2159">
        <v>1583205634.9491999</v>
      </c>
      <c r="H2159">
        <v>1565421334.2028</v>
      </c>
      <c r="I2159">
        <v>1619620725.9468</v>
      </c>
      <c r="J2159">
        <v>1482418492.4159999</v>
      </c>
      <c r="K2159">
        <v>1005146526.96</v>
      </c>
      <c r="L2159">
        <v>1041719393.484</v>
      </c>
      <c r="M2159">
        <v>887061167.24679995</v>
      </c>
      <c r="N2159">
        <v>725791203.30920005</v>
      </c>
      <c r="P2159">
        <v>7</v>
      </c>
      <c r="Q2159" t="s">
        <v>4644</v>
      </c>
    </row>
    <row r="2160" spans="1:17" x14ac:dyDescent="0.3">
      <c r="A2160" t="s">
        <v>17</v>
      </c>
      <c r="B2160" t="str">
        <f>"900914"</f>
        <v>900914</v>
      </c>
      <c r="C2160" t="s">
        <v>4645</v>
      </c>
      <c r="G2160">
        <v>407043696.3671</v>
      </c>
      <c r="H2160">
        <v>365003293.0632</v>
      </c>
      <c r="I2160">
        <v>354108503.64139998</v>
      </c>
      <c r="J2160">
        <v>363839364.09600002</v>
      </c>
      <c r="K2160">
        <v>339303635.71200001</v>
      </c>
      <c r="L2160">
        <v>337585164.53200001</v>
      </c>
      <c r="M2160">
        <v>351764180.2324</v>
      </c>
      <c r="N2160">
        <v>345035365.8556</v>
      </c>
      <c r="O2160">
        <v>325095185.42699999</v>
      </c>
      <c r="P2160">
        <v>20</v>
      </c>
      <c r="Q2160" t="s">
        <v>4646</v>
      </c>
    </row>
    <row r="2161" spans="1:17" x14ac:dyDescent="0.3">
      <c r="A2161" t="s">
        <v>17</v>
      </c>
      <c r="B2161" t="str">
        <f>"900915"</f>
        <v>900915</v>
      </c>
      <c r="C2161" t="s">
        <v>4647</v>
      </c>
      <c r="G2161">
        <v>112296711.93880001</v>
      </c>
      <c r="H2161">
        <v>83966344.572799996</v>
      </c>
      <c r="I2161">
        <v>76887108.518000007</v>
      </c>
      <c r="J2161">
        <v>92842292.736000001</v>
      </c>
      <c r="K2161">
        <v>98080467.552000001</v>
      </c>
      <c r="L2161">
        <v>101080402.346</v>
      </c>
      <c r="M2161">
        <v>106829198.9024</v>
      </c>
      <c r="N2161">
        <v>109057021.8528</v>
      </c>
      <c r="O2161">
        <v>85967250.910500005</v>
      </c>
      <c r="P2161">
        <v>6</v>
      </c>
      <c r="Q2161" t="s">
        <v>4648</v>
      </c>
    </row>
    <row r="2162" spans="1:17" x14ac:dyDescent="0.3">
      <c r="A2162" t="s">
        <v>17</v>
      </c>
      <c r="B2162" t="str">
        <f>"900916"</f>
        <v>900916</v>
      </c>
      <c r="C2162" t="s">
        <v>4649</v>
      </c>
      <c r="G2162">
        <v>210361398.4127</v>
      </c>
      <c r="H2162">
        <v>139994368.9964</v>
      </c>
      <c r="I2162">
        <v>110725213.8864</v>
      </c>
      <c r="J2162">
        <v>219353296.74239999</v>
      </c>
      <c r="K2162">
        <v>90739328.112000003</v>
      </c>
      <c r="L2162">
        <v>70955410.988000005</v>
      </c>
      <c r="M2162">
        <v>98237274.688800007</v>
      </c>
      <c r="N2162">
        <v>117056080.02760001</v>
      </c>
      <c r="O2162">
        <v>128312963.8995</v>
      </c>
      <c r="P2162">
        <v>7</v>
      </c>
      <c r="Q2162" t="s">
        <v>4650</v>
      </c>
    </row>
    <row r="2163" spans="1:17" x14ac:dyDescent="0.3">
      <c r="A2163" t="s">
        <v>17</v>
      </c>
      <c r="B2163" t="str">
        <f>"900917"</f>
        <v>900917</v>
      </c>
      <c r="C2163" t="s">
        <v>4651</v>
      </c>
      <c r="G2163">
        <v>142623436.1864</v>
      </c>
      <c r="H2163">
        <v>159646209.7888</v>
      </c>
      <c r="I2163">
        <v>159747456.958</v>
      </c>
      <c r="J2163">
        <v>153667092.47999999</v>
      </c>
      <c r="K2163">
        <v>145700583.984</v>
      </c>
      <c r="L2163">
        <v>161980307.56600001</v>
      </c>
      <c r="M2163">
        <v>178963220.24880001</v>
      </c>
      <c r="N2163">
        <v>208423570.2976</v>
      </c>
      <c r="O2163">
        <v>210472512.00749999</v>
      </c>
      <c r="P2163">
        <v>12</v>
      </c>
      <c r="Q2163" t="s">
        <v>4652</v>
      </c>
    </row>
    <row r="2164" spans="1:17" x14ac:dyDescent="0.3">
      <c r="A2164" t="s">
        <v>17</v>
      </c>
      <c r="B2164" t="str">
        <f>"900918"</f>
        <v>900918</v>
      </c>
      <c r="C2164" t="s">
        <v>4653</v>
      </c>
      <c r="G2164">
        <v>624590368.55540001</v>
      </c>
      <c r="H2164">
        <v>647781932.49479997</v>
      </c>
      <c r="I2164">
        <v>560867394.2256</v>
      </c>
      <c r="J2164">
        <v>502798417.45920002</v>
      </c>
      <c r="K2164">
        <v>423793587.45599997</v>
      </c>
      <c r="L2164">
        <v>423152463.88800001</v>
      </c>
      <c r="M2164">
        <v>461823967.8624</v>
      </c>
      <c r="N2164">
        <v>411530322.31919998</v>
      </c>
      <c r="O2164">
        <v>370374918.50550002</v>
      </c>
      <c r="P2164">
        <v>10</v>
      </c>
      <c r="Q2164" t="s">
        <v>4654</v>
      </c>
    </row>
    <row r="2165" spans="1:17" x14ac:dyDescent="0.3">
      <c r="A2165" t="s">
        <v>17</v>
      </c>
      <c r="B2165" t="str">
        <f>"900919"</f>
        <v>900919</v>
      </c>
      <c r="C2165" t="s">
        <v>4655</v>
      </c>
      <c r="G2165">
        <v>3919256.8528999998</v>
      </c>
      <c r="H2165">
        <v>5949731.5555999996</v>
      </c>
      <c r="I2165">
        <v>6977503.3273999998</v>
      </c>
      <c r="J2165">
        <v>7690453.7088000001</v>
      </c>
      <c r="K2165">
        <v>7232183.2800000003</v>
      </c>
      <c r="L2165">
        <v>37294050.023999996</v>
      </c>
      <c r="M2165">
        <v>43613625.910400003</v>
      </c>
      <c r="N2165">
        <v>48233172.906800002</v>
      </c>
      <c r="O2165">
        <v>53463751.021499999</v>
      </c>
      <c r="P2165">
        <v>5</v>
      </c>
      <c r="Q2165" t="s">
        <v>4656</v>
      </c>
    </row>
    <row r="2166" spans="1:17" x14ac:dyDescent="0.3">
      <c r="A2166" t="s">
        <v>17</v>
      </c>
      <c r="B2166" t="str">
        <f>"900920"</f>
        <v>900920</v>
      </c>
      <c r="C2166" t="s">
        <v>4657</v>
      </c>
      <c r="G2166">
        <v>937563305.38300002</v>
      </c>
      <c r="H2166">
        <v>579177599.57120001</v>
      </c>
      <c r="I2166">
        <v>599150195.69860005</v>
      </c>
      <c r="J2166">
        <v>563294624.71679997</v>
      </c>
      <c r="K2166">
        <v>366497501.04000002</v>
      </c>
      <c r="L2166">
        <v>333130434.25199997</v>
      </c>
      <c r="M2166">
        <v>447634348.34039998</v>
      </c>
      <c r="N2166">
        <v>492437888.13239998</v>
      </c>
      <c r="O2166">
        <v>486309029.56050003</v>
      </c>
      <c r="P2166">
        <v>12</v>
      </c>
      <c r="Q2166" t="s">
        <v>4658</v>
      </c>
    </row>
    <row r="2167" spans="1:17" x14ac:dyDescent="0.3">
      <c r="A2167" t="s">
        <v>17</v>
      </c>
      <c r="B2167" t="str">
        <f>"900921"</f>
        <v>900921</v>
      </c>
      <c r="C2167" t="s">
        <v>4659</v>
      </c>
      <c r="G2167">
        <v>164448003.7193</v>
      </c>
      <c r="H2167">
        <v>176570870.89399999</v>
      </c>
      <c r="I2167">
        <v>208392343.55500001</v>
      </c>
      <c r="J2167">
        <v>204490273.68959999</v>
      </c>
      <c r="K2167">
        <v>102529173.888</v>
      </c>
      <c r="L2167">
        <v>160963648.07600001</v>
      </c>
      <c r="M2167">
        <v>165552772.21079999</v>
      </c>
      <c r="N2167">
        <v>122869900.1908</v>
      </c>
      <c r="O2167">
        <v>176896759.12650001</v>
      </c>
      <c r="P2167">
        <v>6</v>
      </c>
      <c r="Q2167" t="s">
        <v>4660</v>
      </c>
    </row>
    <row r="2168" spans="1:17" x14ac:dyDescent="0.3">
      <c r="A2168" t="s">
        <v>17</v>
      </c>
      <c r="B2168" t="str">
        <f>"900922"</f>
        <v>900922</v>
      </c>
      <c r="C2168" t="s">
        <v>4661</v>
      </c>
      <c r="G2168">
        <v>144563796.34720001</v>
      </c>
      <c r="H2168">
        <v>196666421.90079999</v>
      </c>
      <c r="I2168">
        <v>200375665.26440001</v>
      </c>
      <c r="J2168">
        <v>196218039.39840001</v>
      </c>
      <c r="K2168">
        <v>165775907.088</v>
      </c>
      <c r="L2168">
        <v>173785454.15000001</v>
      </c>
      <c r="M2168">
        <v>207131802.9716</v>
      </c>
      <c r="N2168">
        <v>273771130.65679997</v>
      </c>
      <c r="O2168">
        <v>421066230.40499997</v>
      </c>
      <c r="P2168">
        <v>9</v>
      </c>
      <c r="Q2168" t="s">
        <v>4662</v>
      </c>
    </row>
    <row r="2169" spans="1:17" x14ac:dyDescent="0.3">
      <c r="A2169" t="s">
        <v>17</v>
      </c>
      <c r="B2169" t="str">
        <f>"900923"</f>
        <v>900923</v>
      </c>
      <c r="C2169" t="s">
        <v>4663</v>
      </c>
      <c r="G2169">
        <v>5383870297.9133997</v>
      </c>
      <c r="H2169">
        <v>7245879834.1048002</v>
      </c>
      <c r="I2169">
        <v>7041244071.3632002</v>
      </c>
      <c r="J2169">
        <v>7247020243.3535995</v>
      </c>
      <c r="K2169">
        <v>6779122074.5760002</v>
      </c>
      <c r="L2169">
        <v>7579596996.2019997</v>
      </c>
      <c r="M2169">
        <v>8247669034.8416004</v>
      </c>
      <c r="N2169">
        <v>8578171327.8772001</v>
      </c>
      <c r="O2169">
        <v>7906689939.5535002</v>
      </c>
      <c r="P2169">
        <v>26</v>
      </c>
      <c r="Q2169" t="s">
        <v>4664</v>
      </c>
    </row>
    <row r="2170" spans="1:17" x14ac:dyDescent="0.3">
      <c r="A2170" t="s">
        <v>17</v>
      </c>
      <c r="B2170" t="str">
        <f>"900924"</f>
        <v>900924</v>
      </c>
      <c r="C2170" t="s">
        <v>4665</v>
      </c>
      <c r="G2170">
        <v>468609909.14910001</v>
      </c>
      <c r="H2170">
        <v>461021852.23159999</v>
      </c>
      <c r="I2170">
        <v>465356733.54140002</v>
      </c>
      <c r="J2170">
        <v>470779622.55360001</v>
      </c>
      <c r="K2170">
        <v>397419139.72799999</v>
      </c>
      <c r="L2170">
        <v>356362099.94</v>
      </c>
      <c r="M2170">
        <v>317764667.24080002</v>
      </c>
      <c r="N2170">
        <v>299662010.4576</v>
      </c>
      <c r="O2170">
        <v>241733231.1855</v>
      </c>
      <c r="P2170">
        <v>11</v>
      </c>
      <c r="Q2170" t="s">
        <v>4666</v>
      </c>
    </row>
    <row r="2171" spans="1:17" x14ac:dyDescent="0.3">
      <c r="A2171" t="s">
        <v>17</v>
      </c>
      <c r="B2171" t="str">
        <f>"900925"</f>
        <v>900925</v>
      </c>
      <c r="C2171" t="s">
        <v>4667</v>
      </c>
      <c r="G2171">
        <v>3577192718.6426001</v>
      </c>
      <c r="H2171">
        <v>3175893250.8540001</v>
      </c>
      <c r="I2171">
        <v>3087386154.1202002</v>
      </c>
      <c r="J2171">
        <v>2990768088.7296</v>
      </c>
      <c r="K2171">
        <v>2727151472.7360001</v>
      </c>
      <c r="L2171">
        <v>2971512338.7179999</v>
      </c>
      <c r="M2171">
        <v>3349564035.2252002</v>
      </c>
      <c r="N2171">
        <v>3288649132.79</v>
      </c>
      <c r="O2171">
        <v>2847791766.2399998</v>
      </c>
      <c r="P2171">
        <v>83</v>
      </c>
      <c r="Q2171" t="s">
        <v>4668</v>
      </c>
    </row>
    <row r="2172" spans="1:17" x14ac:dyDescent="0.3">
      <c r="A2172" t="s">
        <v>17</v>
      </c>
      <c r="B2172" t="str">
        <f>"900926"</f>
        <v>900926</v>
      </c>
      <c r="C2172" t="s">
        <v>4669</v>
      </c>
      <c r="G2172">
        <v>1455361137.8834</v>
      </c>
      <c r="H2172">
        <v>983522628.93719995</v>
      </c>
      <c r="I2172">
        <v>795498363.40480006</v>
      </c>
      <c r="J2172">
        <v>733559729.20319998</v>
      </c>
      <c r="K2172">
        <v>570279354.91199994</v>
      </c>
      <c r="L2172">
        <v>606403458.12199998</v>
      </c>
      <c r="M2172">
        <v>656389997.73880005</v>
      </c>
      <c r="N2172">
        <v>591628540.53799999</v>
      </c>
      <c r="O2172">
        <v>583975317.42900002</v>
      </c>
      <c r="P2172">
        <v>63</v>
      </c>
      <c r="Q2172" t="s">
        <v>4670</v>
      </c>
    </row>
    <row r="2173" spans="1:17" x14ac:dyDescent="0.3">
      <c r="A2173" t="s">
        <v>17</v>
      </c>
      <c r="B2173" t="str">
        <f>"900927"</f>
        <v>900927</v>
      </c>
      <c r="C2173" t="s">
        <v>4671</v>
      </c>
      <c r="G2173">
        <v>1201219811.1545</v>
      </c>
      <c r="H2173">
        <v>1047876510.4224</v>
      </c>
      <c r="I2173">
        <v>899279221.38339996</v>
      </c>
      <c r="J2173">
        <v>937490049.63839996</v>
      </c>
      <c r="K2173">
        <v>2364831371.3759999</v>
      </c>
      <c r="L2173">
        <v>8781995681.9979992</v>
      </c>
      <c r="M2173">
        <v>11223716518.3104</v>
      </c>
      <c r="N2173">
        <v>16107273229.566401</v>
      </c>
      <c r="O2173">
        <v>15290869412.3235</v>
      </c>
      <c r="P2173">
        <v>5</v>
      </c>
      <c r="Q2173" t="s">
        <v>4672</v>
      </c>
    </row>
    <row r="2174" spans="1:17" x14ac:dyDescent="0.3">
      <c r="A2174" t="s">
        <v>17</v>
      </c>
      <c r="B2174" t="str">
        <f>"900928"</f>
        <v>900928</v>
      </c>
      <c r="C2174" t="s">
        <v>4673</v>
      </c>
      <c r="G2174">
        <v>600868450.46899998</v>
      </c>
      <c r="H2174">
        <v>567187404.09239995</v>
      </c>
      <c r="I2174">
        <v>280537901.65780002</v>
      </c>
      <c r="J2174">
        <v>318307607.1936</v>
      </c>
      <c r="K2174">
        <v>259063296.912</v>
      </c>
      <c r="L2174">
        <v>138766057.89199999</v>
      </c>
      <c r="M2174">
        <v>166727592.4912</v>
      </c>
      <c r="N2174">
        <v>178319285.14680001</v>
      </c>
      <c r="O2174">
        <v>167587466.85600001</v>
      </c>
      <c r="P2174">
        <v>14</v>
      </c>
      <c r="Q2174" t="s">
        <v>4674</v>
      </c>
    </row>
    <row r="2175" spans="1:17" x14ac:dyDescent="0.3">
      <c r="A2175" t="s">
        <v>17</v>
      </c>
      <c r="B2175" t="str">
        <f>"900929"</f>
        <v>900929</v>
      </c>
      <c r="C2175" t="s">
        <v>4675</v>
      </c>
      <c r="F2175">
        <v>46285573.266099997</v>
      </c>
      <c r="G2175">
        <v>46347572.546400003</v>
      </c>
      <c r="H2175">
        <v>200474681.12040001</v>
      </c>
      <c r="I2175">
        <v>220953837.773</v>
      </c>
      <c r="J2175">
        <v>262684482.5088</v>
      </c>
      <c r="K2175">
        <v>274684484.44800001</v>
      </c>
      <c r="L2175">
        <v>351148847.74199998</v>
      </c>
      <c r="M2175">
        <v>348871967.39200002</v>
      </c>
      <c r="N2175">
        <v>349618073.3276</v>
      </c>
      <c r="O2175">
        <v>334872055.44599998</v>
      </c>
      <c r="P2175">
        <v>11</v>
      </c>
      <c r="Q2175" t="s">
        <v>4676</v>
      </c>
    </row>
    <row r="2176" spans="1:17" x14ac:dyDescent="0.3">
      <c r="A2176" t="s">
        <v>17</v>
      </c>
      <c r="B2176" t="str">
        <f>"900930"</f>
        <v>900930</v>
      </c>
      <c r="C2176" t="s">
        <v>4677</v>
      </c>
      <c r="H2176">
        <v>29785800.492400002</v>
      </c>
      <c r="I2176">
        <v>37559230.877400003</v>
      </c>
      <c r="J2176">
        <v>98351522.764799997</v>
      </c>
      <c r="K2176">
        <v>100697288.256</v>
      </c>
      <c r="L2176">
        <v>193341299.20179999</v>
      </c>
      <c r="M2176">
        <v>288051628.58660001</v>
      </c>
      <c r="N2176">
        <v>285053392.23809999</v>
      </c>
      <c r="O2176">
        <v>203179679.81290001</v>
      </c>
      <c r="P2176">
        <v>1</v>
      </c>
      <c r="Q2176" t="s">
        <v>4678</v>
      </c>
    </row>
    <row r="2177" spans="1:17" x14ac:dyDescent="0.3">
      <c r="A2177" t="s">
        <v>17</v>
      </c>
      <c r="B2177" t="str">
        <f>"900931"</f>
        <v>900931</v>
      </c>
      <c r="C2177" t="s">
        <v>4679</v>
      </c>
      <c r="K2177">
        <v>12062064.577</v>
      </c>
      <c r="L2177">
        <v>7564590.5257999999</v>
      </c>
      <c r="M2177">
        <v>6366124.4034000002</v>
      </c>
      <c r="N2177">
        <v>2693696.7319</v>
      </c>
      <c r="O2177">
        <v>2278929.0353999999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"900932"</f>
        <v>900932</v>
      </c>
      <c r="C2178" t="s">
        <v>4681</v>
      </c>
      <c r="G2178">
        <v>2213330537.6810999</v>
      </c>
      <c r="H2178">
        <v>2121394008.2335999</v>
      </c>
      <c r="I2178">
        <v>1837677094.3148</v>
      </c>
      <c r="J2178">
        <v>1432257608.9087999</v>
      </c>
      <c r="K2178">
        <v>1844229322.944</v>
      </c>
      <c r="L2178">
        <v>867229117.06200004</v>
      </c>
      <c r="M2178">
        <v>824844079.30599999</v>
      </c>
      <c r="N2178">
        <v>745002301.72759998</v>
      </c>
      <c r="O2178">
        <v>560479898.01600003</v>
      </c>
      <c r="P2178">
        <v>138</v>
      </c>
      <c r="Q2178" t="s">
        <v>4682</v>
      </c>
    </row>
    <row r="2179" spans="1:17" x14ac:dyDescent="0.3">
      <c r="A2179" t="s">
        <v>17</v>
      </c>
      <c r="B2179" t="str">
        <f>"900933"</f>
        <v>900933</v>
      </c>
      <c r="C2179" t="s">
        <v>4683</v>
      </c>
      <c r="G2179">
        <v>4488904814.3107996</v>
      </c>
      <c r="H2179">
        <v>4514671216.5600004</v>
      </c>
      <c r="I2179">
        <v>3993562867.5373998</v>
      </c>
      <c r="J2179">
        <v>3208595249.664</v>
      </c>
      <c r="K2179">
        <v>1947709366.5599999</v>
      </c>
      <c r="L2179">
        <v>2043783159.7260001</v>
      </c>
      <c r="M2179">
        <v>2578579258.6163998</v>
      </c>
      <c r="N2179">
        <v>2640615488.2912002</v>
      </c>
      <c r="O2179">
        <v>2009544623.1435001</v>
      </c>
      <c r="P2179">
        <v>142</v>
      </c>
      <c r="Q2179" t="s">
        <v>4684</v>
      </c>
    </row>
    <row r="2180" spans="1:17" x14ac:dyDescent="0.3">
      <c r="A2180" t="s">
        <v>17</v>
      </c>
      <c r="B2180" t="str">
        <f>"900934"</f>
        <v>900934</v>
      </c>
      <c r="C2180" t="s">
        <v>4685</v>
      </c>
      <c r="G2180">
        <v>1513435328.3282001</v>
      </c>
      <c r="H2180">
        <v>2168219912.4559999</v>
      </c>
      <c r="I2180">
        <v>2137004872.9435999</v>
      </c>
      <c r="J2180">
        <v>2086284841.4208</v>
      </c>
      <c r="K2180">
        <v>1531518377.3280001</v>
      </c>
      <c r="L2180">
        <v>856656272.93400002</v>
      </c>
      <c r="M2180">
        <v>469592500.04680002</v>
      </c>
      <c r="N2180">
        <v>443464683.65359998</v>
      </c>
      <c r="O2180">
        <v>374926747.77899998</v>
      </c>
      <c r="P2180">
        <v>47</v>
      </c>
      <c r="Q2180" t="s">
        <v>4686</v>
      </c>
    </row>
    <row r="2181" spans="1:17" x14ac:dyDescent="0.3">
      <c r="A2181" t="s">
        <v>17</v>
      </c>
      <c r="B2181" t="str">
        <f>"900935"</f>
        <v>900935</v>
      </c>
      <c r="C2181" t="s">
        <v>4687</v>
      </c>
      <c r="L2181">
        <v>65800808.807599999</v>
      </c>
      <c r="M2181">
        <v>74810077.487900004</v>
      </c>
      <c r="N2181">
        <v>74510300.753199995</v>
      </c>
      <c r="O2181">
        <v>72604414.445299998</v>
      </c>
      <c r="P2181">
        <v>1</v>
      </c>
      <c r="Q2181" t="s">
        <v>4688</v>
      </c>
    </row>
    <row r="2182" spans="1:17" x14ac:dyDescent="0.3">
      <c r="A2182" t="s">
        <v>17</v>
      </c>
      <c r="B2182" t="str">
        <f>"900936"</f>
        <v>900936</v>
      </c>
      <c r="C2182" t="s">
        <v>4689</v>
      </c>
      <c r="G2182">
        <v>3538520568.1366</v>
      </c>
      <c r="H2182">
        <v>3272632883.7803998</v>
      </c>
      <c r="I2182">
        <v>3468977283.4744</v>
      </c>
      <c r="J2182">
        <v>3398695710.4127998</v>
      </c>
      <c r="K2182">
        <v>2389133756.1599998</v>
      </c>
      <c r="L2182">
        <v>2346973859.5380001</v>
      </c>
      <c r="M2182">
        <v>2509626114.8192</v>
      </c>
      <c r="N2182">
        <v>2297965648.7620001</v>
      </c>
      <c r="O2182">
        <v>2168102385.198</v>
      </c>
      <c r="P2182">
        <v>53</v>
      </c>
      <c r="Q2182" t="s">
        <v>4690</v>
      </c>
    </row>
    <row r="2183" spans="1:17" x14ac:dyDescent="0.3">
      <c r="A2183" t="s">
        <v>17</v>
      </c>
      <c r="B2183" t="str">
        <f>"900937"</f>
        <v>900937</v>
      </c>
      <c r="C2183" t="s">
        <v>4691</v>
      </c>
      <c r="G2183">
        <v>1631664904.2289</v>
      </c>
      <c r="H2183">
        <v>1554902233.5588</v>
      </c>
      <c r="I2183">
        <v>1425869391.3355999</v>
      </c>
      <c r="J2183">
        <v>1394981512.704</v>
      </c>
      <c r="K2183">
        <v>1243154457.9360001</v>
      </c>
      <c r="L2183">
        <v>1416912372.414</v>
      </c>
      <c r="M2183">
        <v>1584496626.9704001</v>
      </c>
      <c r="N2183">
        <v>1691304712.9131999</v>
      </c>
      <c r="O2183">
        <v>1723422560.835</v>
      </c>
      <c r="P2183">
        <v>10</v>
      </c>
      <c r="Q2183" t="s">
        <v>4692</v>
      </c>
    </row>
    <row r="2184" spans="1:17" x14ac:dyDescent="0.3">
      <c r="A2184" t="s">
        <v>17</v>
      </c>
      <c r="B2184" t="str">
        <f>"900938"</f>
        <v>900938</v>
      </c>
      <c r="C2184" t="s">
        <v>4693</v>
      </c>
      <c r="G2184">
        <v>51483870059.580002</v>
      </c>
      <c r="H2184">
        <v>46979199807.199997</v>
      </c>
      <c r="I2184">
        <v>48923029381.599998</v>
      </c>
      <c r="J2184">
        <v>48454656921.599998</v>
      </c>
      <c r="K2184">
        <v>5408813952</v>
      </c>
      <c r="L2184">
        <v>110908905.646</v>
      </c>
      <c r="M2184">
        <v>68288020.668400005</v>
      </c>
      <c r="N2184">
        <v>55404590.810800001</v>
      </c>
      <c r="O2184">
        <v>20346616.297499999</v>
      </c>
      <c r="P2184">
        <v>12</v>
      </c>
      <c r="Q2184" t="s">
        <v>4694</v>
      </c>
    </row>
    <row r="2185" spans="1:17" x14ac:dyDescent="0.3">
      <c r="A2185" t="s">
        <v>17</v>
      </c>
      <c r="B2185" t="str">
        <f>"900939"</f>
        <v>900939</v>
      </c>
      <c r="C2185" t="s">
        <v>4695</v>
      </c>
      <c r="F2185">
        <v>2892228.0462000002</v>
      </c>
      <c r="G2185">
        <v>2894796.2453999999</v>
      </c>
      <c r="H2185">
        <v>1739743.1507999999</v>
      </c>
      <c r="I2185">
        <v>1914358.6462000001</v>
      </c>
      <c r="J2185">
        <v>1881148.8768</v>
      </c>
      <c r="K2185">
        <v>1593449.4240000001</v>
      </c>
      <c r="L2185">
        <v>1631429.6459999999</v>
      </c>
      <c r="M2185">
        <v>1784302.65</v>
      </c>
      <c r="N2185">
        <v>1779438.2535999999</v>
      </c>
      <c r="O2185">
        <v>2497369.7280000001</v>
      </c>
      <c r="P2185">
        <v>7</v>
      </c>
      <c r="Q2185" t="s">
        <v>4696</v>
      </c>
    </row>
    <row r="2186" spans="1:17" x14ac:dyDescent="0.3">
      <c r="A2186" t="s">
        <v>17</v>
      </c>
      <c r="B2186" t="str">
        <f>"900940"</f>
        <v>900940</v>
      </c>
      <c r="C2186" t="s">
        <v>4697</v>
      </c>
      <c r="G2186">
        <v>2268716919.2665</v>
      </c>
      <c r="H2186">
        <v>1872998713.2772</v>
      </c>
      <c r="I2186">
        <v>1945891309.9605999</v>
      </c>
      <c r="J2186">
        <v>1573550675.7119999</v>
      </c>
      <c r="K2186">
        <v>1262146027.536</v>
      </c>
      <c r="L2186">
        <v>795806070.13600004</v>
      </c>
      <c r="M2186">
        <v>867240407.92999995</v>
      </c>
      <c r="N2186">
        <v>485670351.51880002</v>
      </c>
      <c r="O2186">
        <v>269070247.30949998</v>
      </c>
      <c r="P2186">
        <v>15</v>
      </c>
      <c r="Q2186" t="s">
        <v>4698</v>
      </c>
    </row>
    <row r="2187" spans="1:17" x14ac:dyDescent="0.3">
      <c r="A2187" t="s">
        <v>17</v>
      </c>
      <c r="B2187" t="str">
        <f>"900941"</f>
        <v>900941</v>
      </c>
      <c r="C2187" t="s">
        <v>4699</v>
      </c>
      <c r="G2187">
        <v>453651211.02029997</v>
      </c>
      <c r="H2187">
        <v>385307906.28399998</v>
      </c>
      <c r="I2187">
        <v>349661191.93620002</v>
      </c>
      <c r="J2187">
        <v>374367070.46399999</v>
      </c>
      <c r="K2187">
        <v>285161614.12800002</v>
      </c>
      <c r="L2187">
        <v>549152522.07200003</v>
      </c>
      <c r="M2187">
        <v>598310749.5352</v>
      </c>
      <c r="N2187">
        <v>567828787.94319999</v>
      </c>
      <c r="O2187">
        <v>529375808.38050002</v>
      </c>
      <c r="P2187">
        <v>8</v>
      </c>
      <c r="Q2187" t="s">
        <v>4700</v>
      </c>
    </row>
    <row r="2188" spans="1:17" x14ac:dyDescent="0.3">
      <c r="A2188" t="s">
        <v>17</v>
      </c>
      <c r="B2188" t="str">
        <f>"900942"</f>
        <v>900942</v>
      </c>
      <c r="C2188" t="s">
        <v>4701</v>
      </c>
      <c r="G2188">
        <v>113282332.4887</v>
      </c>
      <c r="H2188">
        <v>230727917.84999999</v>
      </c>
      <c r="I2188">
        <v>235686645.87920001</v>
      </c>
      <c r="J2188">
        <v>274008080.48640001</v>
      </c>
      <c r="K2188">
        <v>240384326.68799999</v>
      </c>
      <c r="L2188">
        <v>256351829.88800001</v>
      </c>
      <c r="M2188">
        <v>240173491.51640001</v>
      </c>
      <c r="N2188">
        <v>213783714.91679999</v>
      </c>
      <c r="O2188">
        <v>295545930.07200003</v>
      </c>
      <c r="P2188">
        <v>55</v>
      </c>
      <c r="Q2188" t="s">
        <v>4702</v>
      </c>
    </row>
    <row r="2189" spans="1:17" x14ac:dyDescent="0.3">
      <c r="A2189" t="s">
        <v>17</v>
      </c>
      <c r="B2189" t="str">
        <f>"900943"</f>
        <v>900943</v>
      </c>
      <c r="C2189" t="s">
        <v>4703</v>
      </c>
      <c r="G2189">
        <v>116490145.902</v>
      </c>
      <c r="H2189">
        <v>124989199.6136</v>
      </c>
      <c r="I2189">
        <v>127598540.3062</v>
      </c>
      <c r="J2189">
        <v>147778801.6128</v>
      </c>
      <c r="K2189">
        <v>130472431.05599999</v>
      </c>
      <c r="L2189">
        <v>135716983.71000001</v>
      </c>
      <c r="M2189">
        <v>142307069.67879999</v>
      </c>
      <c r="N2189">
        <v>141979324.2868</v>
      </c>
      <c r="O2189">
        <v>131291782.9095</v>
      </c>
      <c r="P2189">
        <v>3</v>
      </c>
      <c r="Q2189" t="s">
        <v>4704</v>
      </c>
    </row>
    <row r="2190" spans="1:17" x14ac:dyDescent="0.3">
      <c r="A2190" t="s">
        <v>17</v>
      </c>
      <c r="B2190" t="str">
        <f>"900945"</f>
        <v>900945</v>
      </c>
      <c r="C2190" t="s">
        <v>4705</v>
      </c>
      <c r="G2190">
        <v>4495710885.6599998</v>
      </c>
      <c r="H2190">
        <v>10395119276</v>
      </c>
      <c r="I2190">
        <v>9852876003.6000004</v>
      </c>
      <c r="J2190">
        <v>9201246412.7999992</v>
      </c>
      <c r="K2190">
        <v>5857650720</v>
      </c>
      <c r="L2190">
        <v>5424717606</v>
      </c>
      <c r="M2190">
        <v>5810255885.1999998</v>
      </c>
      <c r="N2190">
        <v>4994221002.3999996</v>
      </c>
      <c r="O2190">
        <v>4633247392.5</v>
      </c>
      <c r="P2190">
        <v>7</v>
      </c>
      <c r="Q2190" t="s">
        <v>4706</v>
      </c>
    </row>
    <row r="2191" spans="1:17" x14ac:dyDescent="0.3">
      <c r="A2191" t="s">
        <v>17</v>
      </c>
      <c r="B2191" t="str">
        <f>"900946"</f>
        <v>900946</v>
      </c>
      <c r="C2191" t="s">
        <v>4707</v>
      </c>
      <c r="G2191">
        <v>98180200.957200006</v>
      </c>
      <c r="H2191">
        <v>72274283.659600005</v>
      </c>
      <c r="I2191">
        <v>68217883.751399994</v>
      </c>
      <c r="J2191">
        <v>89489535.897599995</v>
      </c>
      <c r="K2191">
        <v>80893601.711999997</v>
      </c>
      <c r="L2191">
        <v>68510755.236000001</v>
      </c>
      <c r="M2191">
        <v>93165622.373199999</v>
      </c>
      <c r="N2191">
        <v>105946637.7396</v>
      </c>
      <c r="O2191">
        <v>147356801.2155</v>
      </c>
      <c r="P2191">
        <v>3</v>
      </c>
      <c r="Q2191" t="s">
        <v>4708</v>
      </c>
    </row>
    <row r="2192" spans="1:17" x14ac:dyDescent="0.3">
      <c r="A2192" t="s">
        <v>17</v>
      </c>
      <c r="B2192" t="str">
        <f>"900947"</f>
        <v>900947</v>
      </c>
      <c r="C2192" t="s">
        <v>4709</v>
      </c>
      <c r="G2192">
        <v>3464197710.0072999</v>
      </c>
      <c r="H2192">
        <v>3531926419.9987998</v>
      </c>
      <c r="I2192">
        <v>3171521454.2375998</v>
      </c>
      <c r="J2192">
        <v>3357513830.4000001</v>
      </c>
      <c r="K2192">
        <v>3506124661.632</v>
      </c>
      <c r="L2192">
        <v>3583948780.2579999</v>
      </c>
      <c r="M2192">
        <v>4041190743.7044001</v>
      </c>
      <c r="N2192">
        <v>3832897018.1599998</v>
      </c>
      <c r="O2192">
        <v>2929951911.408</v>
      </c>
      <c r="P2192">
        <v>18</v>
      </c>
      <c r="Q2192" t="s">
        <v>4710</v>
      </c>
    </row>
    <row r="2193" spans="1:17" x14ac:dyDescent="0.3">
      <c r="A2193" t="s">
        <v>17</v>
      </c>
      <c r="B2193" t="str">
        <f>"900948"</f>
        <v>900948</v>
      </c>
      <c r="C2193" t="s">
        <v>4711</v>
      </c>
      <c r="F2193">
        <v>7948474635.7630997</v>
      </c>
      <c r="G2193">
        <v>5166917524.4953003</v>
      </c>
      <c r="H2193">
        <v>5877409988.0503998</v>
      </c>
      <c r="I2193">
        <v>5697443952.7231998</v>
      </c>
      <c r="J2193">
        <v>5684532292.6079998</v>
      </c>
      <c r="K2193">
        <v>3291624715.1040001</v>
      </c>
      <c r="L2193">
        <v>3013089792.79</v>
      </c>
      <c r="M2193">
        <v>4093449108.9127998</v>
      </c>
      <c r="N2193">
        <v>4140498315.4499998</v>
      </c>
      <c r="O2193">
        <v>5210363613.3870001</v>
      </c>
      <c r="P2193">
        <v>225</v>
      </c>
      <c r="Q2193" t="s">
        <v>4712</v>
      </c>
    </row>
    <row r="2194" spans="1:17" x14ac:dyDescent="0.3">
      <c r="A2194" t="s">
        <v>17</v>
      </c>
      <c r="B2194" t="str">
        <f>"900949"</f>
        <v>900949</v>
      </c>
      <c r="C2194" t="s">
        <v>4713</v>
      </c>
      <c r="O2194">
        <v>1317975088.7644</v>
      </c>
      <c r="P2194">
        <v>2</v>
      </c>
      <c r="Q2194" t="s">
        <v>4714</v>
      </c>
    </row>
    <row r="2195" spans="1:17" x14ac:dyDescent="0.3">
      <c r="A2195" t="s">
        <v>17</v>
      </c>
      <c r="B2195" t="str">
        <f>"900950"</f>
        <v>900950</v>
      </c>
      <c r="C2195" t="s">
        <v>4715</v>
      </c>
      <c r="M2195">
        <v>2756556961.9397001</v>
      </c>
      <c r="N2195">
        <v>2739671741.3860002</v>
      </c>
      <c r="O2195">
        <v>2295221786.6167002</v>
      </c>
      <c r="P2195">
        <v>7</v>
      </c>
      <c r="Q2195" t="s">
        <v>4716</v>
      </c>
    </row>
    <row r="2196" spans="1:17" x14ac:dyDescent="0.3">
      <c r="A2196" t="s">
        <v>17</v>
      </c>
      <c r="B2196" t="str">
        <f>"900951"</f>
        <v>900951</v>
      </c>
      <c r="C2196" t="s">
        <v>4717</v>
      </c>
      <c r="H2196">
        <v>15991417.4856</v>
      </c>
      <c r="I2196">
        <v>46232997.939999998</v>
      </c>
      <c r="J2196">
        <v>138946114.25279999</v>
      </c>
      <c r="K2196">
        <v>117726151.248</v>
      </c>
      <c r="L2196">
        <v>128851003.0531</v>
      </c>
      <c r="M2196">
        <v>145288368.39829999</v>
      </c>
      <c r="N2196">
        <v>135263666.70950001</v>
      </c>
      <c r="O2196">
        <v>154985844.24869999</v>
      </c>
      <c r="P2196">
        <v>2</v>
      </c>
      <c r="Q2196" t="s">
        <v>4718</v>
      </c>
    </row>
    <row r="2197" spans="1:17" x14ac:dyDescent="0.3">
      <c r="A2197" t="s">
        <v>17</v>
      </c>
      <c r="B2197" t="str">
        <f>"900952"</f>
        <v>900952</v>
      </c>
      <c r="C2197" t="s">
        <v>4719</v>
      </c>
      <c r="G2197">
        <v>1040432944.8684</v>
      </c>
      <c r="H2197">
        <v>1009883946.8104</v>
      </c>
      <c r="I2197">
        <v>861007994.33200002</v>
      </c>
      <c r="J2197">
        <v>696037814.63039994</v>
      </c>
      <c r="K2197">
        <v>367584529.824</v>
      </c>
      <c r="L2197">
        <v>278054605.44400001</v>
      </c>
      <c r="M2197">
        <v>342871537.90240002</v>
      </c>
      <c r="N2197">
        <v>304732921.7604</v>
      </c>
      <c r="O2197">
        <v>187575176.10299999</v>
      </c>
      <c r="P2197">
        <v>8</v>
      </c>
      <c r="Q2197" t="s">
        <v>4720</v>
      </c>
    </row>
    <row r="2198" spans="1:17" x14ac:dyDescent="0.3">
      <c r="A2198" t="s">
        <v>17</v>
      </c>
      <c r="B2198" t="str">
        <f>"900953"</f>
        <v>900953</v>
      </c>
      <c r="C2198" t="s">
        <v>4721</v>
      </c>
      <c r="F2198">
        <v>625512891.84979999</v>
      </c>
      <c r="G2198">
        <v>607857523.74160004</v>
      </c>
      <c r="H2198">
        <v>498368785.21759999</v>
      </c>
      <c r="I2198">
        <v>534010441.87</v>
      </c>
      <c r="J2198">
        <v>750901935.66719997</v>
      </c>
      <c r="K2198">
        <v>663054116.54400003</v>
      </c>
      <c r="L2198">
        <v>726510623.76199996</v>
      </c>
      <c r="M2198">
        <v>739170884.14520001</v>
      </c>
      <c r="N2198">
        <v>893215733.48000002</v>
      </c>
      <c r="O2198">
        <v>895890358.09500003</v>
      </c>
      <c r="P2198">
        <v>6</v>
      </c>
      <c r="Q2198" t="s">
        <v>4722</v>
      </c>
    </row>
    <row r="2199" spans="1:17" x14ac:dyDescent="0.3">
      <c r="A2199" t="s">
        <v>17</v>
      </c>
      <c r="B2199" t="str">
        <f>"900955"</f>
        <v>900955</v>
      </c>
      <c r="C2199" t="s">
        <v>4723</v>
      </c>
      <c r="G2199">
        <v>1912283.2853999999</v>
      </c>
      <c r="H2199">
        <v>2174020.7119999998</v>
      </c>
      <c r="I2199">
        <v>1904911.4265999999</v>
      </c>
      <c r="J2199">
        <v>4735466.9567999998</v>
      </c>
      <c r="K2199">
        <v>5198217.12</v>
      </c>
      <c r="L2199">
        <v>19959095.309999999</v>
      </c>
      <c r="M2199">
        <v>4980941.5291999998</v>
      </c>
      <c r="N2199">
        <v>11138876.467599999</v>
      </c>
      <c r="O2199">
        <v>21020401.0755</v>
      </c>
      <c r="P2199">
        <v>4</v>
      </c>
      <c r="Q2199" t="s">
        <v>4724</v>
      </c>
    </row>
    <row r="2200" spans="1:17" x14ac:dyDescent="0.3">
      <c r="A2200" t="s">
        <v>17</v>
      </c>
      <c r="B2200" t="str">
        <f>"900956"</f>
        <v>900956</v>
      </c>
      <c r="C2200" t="s">
        <v>4725</v>
      </c>
      <c r="H2200">
        <v>663120906.25240004</v>
      </c>
      <c r="I2200">
        <v>621381931.45200002</v>
      </c>
      <c r="J2200">
        <v>582037686.528</v>
      </c>
      <c r="K2200">
        <v>500186631.02399999</v>
      </c>
      <c r="L2200">
        <v>526700175.69090003</v>
      </c>
      <c r="M2200">
        <v>573712906.18760002</v>
      </c>
      <c r="N2200">
        <v>704418056.81099999</v>
      </c>
      <c r="O2200">
        <v>660599011.11979997</v>
      </c>
      <c r="P2200">
        <v>10</v>
      </c>
      <c r="Q2200" t="s">
        <v>4726</v>
      </c>
    </row>
    <row r="2201" spans="1:17" x14ac:dyDescent="0.3">
      <c r="A2201" t="s">
        <v>17</v>
      </c>
      <c r="B2201" t="str">
        <f>"900957"</f>
        <v>900957</v>
      </c>
      <c r="C2201" t="s">
        <v>4727</v>
      </c>
      <c r="F2201">
        <v>17735182.4287</v>
      </c>
      <c r="G2201">
        <v>15200109.531500001</v>
      </c>
      <c r="H2201">
        <v>15081203.2852</v>
      </c>
      <c r="I2201">
        <v>15428839.796399999</v>
      </c>
      <c r="J2201">
        <v>15070182.297599999</v>
      </c>
      <c r="K2201">
        <v>11610713.376</v>
      </c>
      <c r="L2201">
        <v>8019124.8059999999</v>
      </c>
      <c r="M2201">
        <v>2951053.4196000001</v>
      </c>
      <c r="N2201">
        <v>1873980.7268000001</v>
      </c>
      <c r="O2201">
        <v>1701288.7649999999</v>
      </c>
      <c r="P2201">
        <v>2</v>
      </c>
      <c r="Q2201" t="s">
        <v>4728</v>
      </c>
    </row>
    <row r="2202" spans="1:17" x14ac:dyDescent="0.3">
      <c r="A2202" t="s">
        <v>4729</v>
      </c>
      <c r="B2202" t="str">
        <f>"000001"</f>
        <v>000001</v>
      </c>
      <c r="C2202" t="s">
        <v>4730</v>
      </c>
      <c r="D2202" t="s">
        <v>19</v>
      </c>
      <c r="F2202">
        <v>169383000000</v>
      </c>
      <c r="G2202">
        <v>153542000000</v>
      </c>
      <c r="H2202">
        <v>137958000000</v>
      </c>
      <c r="I2202">
        <v>116716000000</v>
      </c>
      <c r="J2202">
        <v>105786000000</v>
      </c>
      <c r="K2202">
        <v>107715000000</v>
      </c>
      <c r="L2202">
        <v>96163000000</v>
      </c>
      <c r="M2202">
        <v>73407000000</v>
      </c>
      <c r="N2202">
        <v>52189000000</v>
      </c>
      <c r="O2202">
        <v>39748648000</v>
      </c>
      <c r="P2202">
        <v>6180</v>
      </c>
      <c r="Q2202" t="s">
        <v>4731</v>
      </c>
    </row>
    <row r="2203" spans="1:17" x14ac:dyDescent="0.3">
      <c r="A2203" t="s">
        <v>4729</v>
      </c>
      <c r="B2203" t="str">
        <f>"000002"</f>
        <v>000002</v>
      </c>
      <c r="C2203" t="s">
        <v>4732</v>
      </c>
      <c r="D2203" t="s">
        <v>104</v>
      </c>
      <c r="F2203">
        <v>452797773974</v>
      </c>
      <c r="G2203">
        <v>419111677714</v>
      </c>
      <c r="H2203">
        <v>367893877539</v>
      </c>
      <c r="I2203">
        <v>297679331103</v>
      </c>
      <c r="J2203">
        <v>242897110251</v>
      </c>
      <c r="K2203">
        <v>240477236923</v>
      </c>
      <c r="L2203">
        <v>195549130021</v>
      </c>
      <c r="M2203">
        <v>146388004498</v>
      </c>
      <c r="N2203">
        <v>135418791080</v>
      </c>
      <c r="O2203">
        <v>103116245136</v>
      </c>
      <c r="P2203">
        <v>12437</v>
      </c>
      <c r="Q2203" t="s">
        <v>4733</v>
      </c>
    </row>
    <row r="2204" spans="1:17" x14ac:dyDescent="0.3">
      <c r="A2204" t="s">
        <v>4729</v>
      </c>
      <c r="B2204" t="str">
        <f>"000003"</f>
        <v>000003</v>
      </c>
      <c r="C2204" t="s">
        <v>4734</v>
      </c>
      <c r="K2204">
        <v>25091586.699999999</v>
      </c>
      <c r="L2204">
        <v>11205698.08</v>
      </c>
      <c r="M2204">
        <v>9377204.5800000001</v>
      </c>
      <c r="N2204">
        <v>8398229.9100000001</v>
      </c>
      <c r="O2204">
        <v>7295551.0999999996</v>
      </c>
      <c r="P2204">
        <v>12</v>
      </c>
      <c r="Q2204" t="s">
        <v>4735</v>
      </c>
    </row>
    <row r="2205" spans="1:17" x14ac:dyDescent="0.3">
      <c r="A2205" t="s">
        <v>4729</v>
      </c>
      <c r="B2205" t="str">
        <f>"000004"</f>
        <v>000004</v>
      </c>
      <c r="C2205" t="s">
        <v>4736</v>
      </c>
      <c r="D2205" t="s">
        <v>1189</v>
      </c>
      <c r="F2205">
        <v>288944182</v>
      </c>
      <c r="G2205">
        <v>280531008</v>
      </c>
      <c r="H2205">
        <v>108246697</v>
      </c>
      <c r="I2205">
        <v>366868805</v>
      </c>
      <c r="J2205">
        <v>138605842</v>
      </c>
      <c r="K2205">
        <v>287670027</v>
      </c>
      <c r="L2205">
        <v>120454422</v>
      </c>
      <c r="M2205">
        <v>97702837</v>
      </c>
      <c r="N2205">
        <v>72784567</v>
      </c>
      <c r="O2205">
        <v>97363302</v>
      </c>
      <c r="P2205">
        <v>187</v>
      </c>
      <c r="Q2205" t="s">
        <v>4737</v>
      </c>
    </row>
    <row r="2206" spans="1:17" x14ac:dyDescent="0.3">
      <c r="A2206" t="s">
        <v>4729</v>
      </c>
      <c r="B2206" t="str">
        <f>"000005"</f>
        <v>000005</v>
      </c>
      <c r="C2206" t="s">
        <v>4738</v>
      </c>
      <c r="D2206" t="s">
        <v>3575</v>
      </c>
      <c r="F2206">
        <v>383536206</v>
      </c>
      <c r="G2206">
        <v>398921058</v>
      </c>
      <c r="H2206">
        <v>552609081</v>
      </c>
      <c r="I2206">
        <v>486180976</v>
      </c>
      <c r="J2206">
        <v>530922231</v>
      </c>
      <c r="K2206">
        <v>481863433</v>
      </c>
      <c r="L2206">
        <v>84125971</v>
      </c>
      <c r="M2206">
        <v>52776994</v>
      </c>
      <c r="N2206">
        <v>52061703</v>
      </c>
      <c r="O2206">
        <v>99421228</v>
      </c>
      <c r="P2206">
        <v>87</v>
      </c>
      <c r="Q2206" t="s">
        <v>4739</v>
      </c>
    </row>
    <row r="2207" spans="1:17" x14ac:dyDescent="0.3">
      <c r="A2207" t="s">
        <v>4729</v>
      </c>
      <c r="B2207" t="str">
        <f>"000006"</f>
        <v>000006</v>
      </c>
      <c r="C2207" t="s">
        <v>4740</v>
      </c>
      <c r="D2207" t="s">
        <v>104</v>
      </c>
      <c r="F2207">
        <v>3088570523</v>
      </c>
      <c r="G2207">
        <v>2934733295</v>
      </c>
      <c r="H2207">
        <v>3731330140</v>
      </c>
      <c r="I2207">
        <v>2511844429</v>
      </c>
      <c r="J2207">
        <v>2959450244</v>
      </c>
      <c r="K2207">
        <v>3358826446</v>
      </c>
      <c r="L2207">
        <v>3654309497</v>
      </c>
      <c r="M2207">
        <v>2328729593</v>
      </c>
      <c r="N2207">
        <v>4610855024</v>
      </c>
      <c r="O2207">
        <v>3076245083</v>
      </c>
      <c r="P2207">
        <v>424</v>
      </c>
      <c r="Q2207" t="s">
        <v>4741</v>
      </c>
    </row>
    <row r="2208" spans="1:17" x14ac:dyDescent="0.3">
      <c r="A2208" t="s">
        <v>4729</v>
      </c>
      <c r="B2208" t="str">
        <f>"000007"</f>
        <v>000007</v>
      </c>
      <c r="C2208" t="s">
        <v>4742</v>
      </c>
      <c r="D2208" t="s">
        <v>271</v>
      </c>
      <c r="F2208">
        <v>202545808</v>
      </c>
      <c r="G2208">
        <v>45146397</v>
      </c>
      <c r="H2208">
        <v>42020842</v>
      </c>
      <c r="I2208">
        <v>42443842</v>
      </c>
      <c r="J2208">
        <v>39644012</v>
      </c>
      <c r="K2208">
        <v>38860399</v>
      </c>
      <c r="L2208">
        <v>98961464</v>
      </c>
      <c r="M2208">
        <v>198097862</v>
      </c>
      <c r="N2208">
        <v>214348538</v>
      </c>
      <c r="O2208">
        <v>312664912</v>
      </c>
      <c r="P2208">
        <v>93</v>
      </c>
      <c r="Q2208" t="s">
        <v>4743</v>
      </c>
    </row>
    <row r="2209" spans="1:17" x14ac:dyDescent="0.3">
      <c r="A2209" t="s">
        <v>4729</v>
      </c>
      <c r="B2209" t="str">
        <f>"000008"</f>
        <v>000008</v>
      </c>
      <c r="C2209" t="s">
        <v>4744</v>
      </c>
      <c r="D2209" t="s">
        <v>1012</v>
      </c>
      <c r="F2209">
        <v>2214804537</v>
      </c>
      <c r="G2209">
        <v>1917519166</v>
      </c>
      <c r="H2209">
        <v>3220142985</v>
      </c>
      <c r="I2209">
        <v>2564901270</v>
      </c>
      <c r="J2209">
        <v>2330932161</v>
      </c>
      <c r="K2209">
        <v>1876006502</v>
      </c>
      <c r="L2209">
        <v>1295076096</v>
      </c>
      <c r="M2209">
        <v>307181307</v>
      </c>
      <c r="N2209">
        <v>304448211</v>
      </c>
      <c r="O2209">
        <v>331480790</v>
      </c>
      <c r="P2209">
        <v>301</v>
      </c>
      <c r="Q2209" t="s">
        <v>4745</v>
      </c>
    </row>
    <row r="2210" spans="1:17" x14ac:dyDescent="0.3">
      <c r="A2210" t="s">
        <v>4729</v>
      </c>
      <c r="B2210" t="str">
        <f>"000009"</f>
        <v>000009</v>
      </c>
      <c r="C2210" t="s">
        <v>4746</v>
      </c>
      <c r="D2210" t="s">
        <v>1790</v>
      </c>
      <c r="F2210">
        <v>17553419113</v>
      </c>
      <c r="G2210">
        <v>10593850772</v>
      </c>
      <c r="H2210">
        <v>11948727207</v>
      </c>
      <c r="I2210">
        <v>11715547130</v>
      </c>
      <c r="J2210">
        <v>7023511217</v>
      </c>
      <c r="K2210">
        <v>6411749425</v>
      </c>
      <c r="L2210">
        <v>4865351412</v>
      </c>
      <c r="M2210">
        <v>4311476904</v>
      </c>
      <c r="N2210">
        <v>4155024014</v>
      </c>
      <c r="O2210">
        <v>4024590407</v>
      </c>
      <c r="P2210">
        <v>468</v>
      </c>
      <c r="Q2210" t="s">
        <v>4747</v>
      </c>
    </row>
    <row r="2211" spans="1:17" x14ac:dyDescent="0.3">
      <c r="A2211" t="s">
        <v>4729</v>
      </c>
      <c r="B2211" t="str">
        <f>"000010"</f>
        <v>000010</v>
      </c>
      <c r="C2211" t="s">
        <v>4748</v>
      </c>
      <c r="D2211" t="s">
        <v>2417</v>
      </c>
      <c r="F2211">
        <v>1756906765</v>
      </c>
      <c r="G2211">
        <v>1408542235</v>
      </c>
      <c r="H2211">
        <v>1893071131</v>
      </c>
      <c r="I2211">
        <v>345410350</v>
      </c>
      <c r="J2211">
        <v>757885726</v>
      </c>
      <c r="K2211">
        <v>1053529410</v>
      </c>
      <c r="L2211">
        <v>957379301</v>
      </c>
      <c r="M2211">
        <v>230299675</v>
      </c>
      <c r="N2211">
        <v>362384422</v>
      </c>
      <c r="O2211">
        <v>188168272</v>
      </c>
      <c r="P2211">
        <v>93</v>
      </c>
      <c r="Q2211" t="s">
        <v>4749</v>
      </c>
    </row>
    <row r="2212" spans="1:17" x14ac:dyDescent="0.3">
      <c r="A2212" t="s">
        <v>4729</v>
      </c>
      <c r="B2212" t="str">
        <f>"000011"</f>
        <v>000011</v>
      </c>
      <c r="C2212" t="s">
        <v>4750</v>
      </c>
      <c r="D2212" t="s">
        <v>104</v>
      </c>
      <c r="F2212">
        <v>4491965644</v>
      </c>
      <c r="G2212">
        <v>4104374646</v>
      </c>
      <c r="H2212">
        <v>3961669942</v>
      </c>
      <c r="I2212">
        <v>2787240633</v>
      </c>
      <c r="J2212">
        <v>2904690691</v>
      </c>
      <c r="K2212">
        <v>2059204077</v>
      </c>
      <c r="L2212">
        <v>1077418501</v>
      </c>
      <c r="M2212">
        <v>1268451452</v>
      </c>
      <c r="N2212">
        <v>1619227228</v>
      </c>
      <c r="O2212">
        <v>1861298831</v>
      </c>
      <c r="P2212">
        <v>478</v>
      </c>
      <c r="Q2212" t="s">
        <v>4751</v>
      </c>
    </row>
    <row r="2213" spans="1:17" x14ac:dyDescent="0.3">
      <c r="A2213" t="s">
        <v>4729</v>
      </c>
      <c r="B2213" t="str">
        <f>"000012"</f>
        <v>000012</v>
      </c>
      <c r="C2213" t="s">
        <v>4752</v>
      </c>
      <c r="D2213" t="s">
        <v>666</v>
      </c>
      <c r="F2213">
        <v>13629033650</v>
      </c>
      <c r="G2213">
        <v>10671253445</v>
      </c>
      <c r="H2213">
        <v>10472028099</v>
      </c>
      <c r="I2213">
        <v>10609963011</v>
      </c>
      <c r="J2213">
        <v>10879400746</v>
      </c>
      <c r="K2213">
        <v>8974083407</v>
      </c>
      <c r="L2213">
        <v>7430889111</v>
      </c>
      <c r="M2213">
        <v>7044502645</v>
      </c>
      <c r="N2213">
        <v>7733796114</v>
      </c>
      <c r="O2213">
        <v>6994358029</v>
      </c>
      <c r="P2213">
        <v>411</v>
      </c>
      <c r="Q2213" t="s">
        <v>4753</v>
      </c>
    </row>
    <row r="2214" spans="1:17" x14ac:dyDescent="0.3">
      <c r="A2214" t="s">
        <v>4729</v>
      </c>
      <c r="B2214" t="str">
        <f>"000014"</f>
        <v>000014</v>
      </c>
      <c r="C2214" t="s">
        <v>4754</v>
      </c>
      <c r="D2214" t="s">
        <v>104</v>
      </c>
      <c r="F2214">
        <v>641736449</v>
      </c>
      <c r="G2214">
        <v>346673403</v>
      </c>
      <c r="H2214">
        <v>438139663</v>
      </c>
      <c r="I2214">
        <v>357929319</v>
      </c>
      <c r="J2214">
        <v>513141023</v>
      </c>
      <c r="K2214">
        <v>620757229</v>
      </c>
      <c r="L2214">
        <v>413213721</v>
      </c>
      <c r="M2214">
        <v>511815321</v>
      </c>
      <c r="N2214">
        <v>563950316</v>
      </c>
      <c r="O2214">
        <v>421309534</v>
      </c>
      <c r="P2214">
        <v>96</v>
      </c>
      <c r="Q2214" t="s">
        <v>4755</v>
      </c>
    </row>
    <row r="2215" spans="1:17" x14ac:dyDescent="0.3">
      <c r="A2215" t="s">
        <v>4729</v>
      </c>
      <c r="B2215" t="str">
        <f>"000015"</f>
        <v>000015</v>
      </c>
      <c r="C2215" t="s">
        <v>4756</v>
      </c>
      <c r="K2215">
        <v>815591226.38999999</v>
      </c>
      <c r="L2215">
        <v>123616254.26000001</v>
      </c>
      <c r="P2215">
        <v>13</v>
      </c>
      <c r="Q2215" t="s">
        <v>4757</v>
      </c>
    </row>
    <row r="2216" spans="1:17" x14ac:dyDescent="0.3">
      <c r="A2216" t="s">
        <v>4729</v>
      </c>
      <c r="B2216" t="str">
        <f>"000016"</f>
        <v>000016</v>
      </c>
      <c r="C2216" t="s">
        <v>4758</v>
      </c>
      <c r="D2216" t="s">
        <v>137</v>
      </c>
      <c r="F2216">
        <v>49106513670</v>
      </c>
      <c r="G2216">
        <v>50351836555</v>
      </c>
      <c r="H2216">
        <v>55119125479</v>
      </c>
      <c r="I2216">
        <v>46126797341</v>
      </c>
      <c r="J2216">
        <v>31227763250</v>
      </c>
      <c r="K2216">
        <v>20299348136</v>
      </c>
      <c r="L2216">
        <v>18395177036</v>
      </c>
      <c r="M2216">
        <v>19423488994</v>
      </c>
      <c r="N2216">
        <v>20006736879</v>
      </c>
      <c r="O2216">
        <v>18337861657</v>
      </c>
      <c r="P2216">
        <v>266</v>
      </c>
      <c r="Q2216" t="s">
        <v>4759</v>
      </c>
    </row>
    <row r="2217" spans="1:17" x14ac:dyDescent="0.3">
      <c r="A2217" t="s">
        <v>4729</v>
      </c>
      <c r="B2217" t="str">
        <f>"000017"</f>
        <v>000017</v>
      </c>
      <c r="C2217" t="s">
        <v>4760</v>
      </c>
      <c r="D2217" t="s">
        <v>233</v>
      </c>
      <c r="F2217">
        <v>165246578</v>
      </c>
      <c r="G2217">
        <v>117857480</v>
      </c>
      <c r="H2217">
        <v>76022688</v>
      </c>
      <c r="I2217">
        <v>119906950</v>
      </c>
      <c r="J2217">
        <v>137490598</v>
      </c>
      <c r="K2217">
        <v>141970521</v>
      </c>
      <c r="L2217">
        <v>170990030</v>
      </c>
      <c r="M2217">
        <v>212070586</v>
      </c>
      <c r="N2217">
        <v>271111736</v>
      </c>
      <c r="O2217">
        <v>292827027</v>
      </c>
      <c r="P2217">
        <v>64</v>
      </c>
      <c r="Q2217" t="s">
        <v>4761</v>
      </c>
    </row>
    <row r="2218" spans="1:17" x14ac:dyDescent="0.3">
      <c r="A2218" t="s">
        <v>4729</v>
      </c>
      <c r="B2218" t="str">
        <f>"000018"</f>
        <v>000018</v>
      </c>
      <c r="C2218" t="s">
        <v>4762</v>
      </c>
      <c r="H2218">
        <v>443367792</v>
      </c>
      <c r="I2218">
        <v>2426987687</v>
      </c>
      <c r="J2218">
        <v>6497124981</v>
      </c>
      <c r="K2218">
        <v>4664999117</v>
      </c>
      <c r="L2218">
        <v>4010359000</v>
      </c>
      <c r="M2218">
        <v>11015403</v>
      </c>
      <c r="N2218">
        <v>26998990</v>
      </c>
      <c r="O2218">
        <v>11095669</v>
      </c>
      <c r="P2218">
        <v>99</v>
      </c>
      <c r="Q2218" t="s">
        <v>4763</v>
      </c>
    </row>
    <row r="2219" spans="1:17" x14ac:dyDescent="0.3">
      <c r="A2219" t="s">
        <v>4729</v>
      </c>
      <c r="B2219" t="str">
        <f>"000019"</f>
        <v>000019</v>
      </c>
      <c r="C2219" t="s">
        <v>4764</v>
      </c>
      <c r="D2219" t="s">
        <v>306</v>
      </c>
      <c r="F2219">
        <v>10139563710</v>
      </c>
      <c r="G2219">
        <v>11884527506</v>
      </c>
      <c r="H2219">
        <v>11059984336</v>
      </c>
      <c r="I2219">
        <v>10758782838</v>
      </c>
      <c r="J2219">
        <v>315762708</v>
      </c>
      <c r="K2219">
        <v>273383643</v>
      </c>
      <c r="L2219">
        <v>338224512</v>
      </c>
      <c r="M2219">
        <v>368121400</v>
      </c>
      <c r="N2219">
        <v>438318662</v>
      </c>
      <c r="O2219">
        <v>310790325</v>
      </c>
      <c r="P2219">
        <v>176</v>
      </c>
      <c r="Q2219" t="s">
        <v>4765</v>
      </c>
    </row>
    <row r="2220" spans="1:17" x14ac:dyDescent="0.3">
      <c r="A2220" t="s">
        <v>4729</v>
      </c>
      <c r="B2220" t="str">
        <f>"000020"</f>
        <v>000020</v>
      </c>
      <c r="C2220" t="s">
        <v>4766</v>
      </c>
      <c r="D2220" t="s">
        <v>1117</v>
      </c>
      <c r="F2220">
        <v>765611249</v>
      </c>
      <c r="G2220">
        <v>691742269</v>
      </c>
      <c r="H2220">
        <v>721557441</v>
      </c>
      <c r="I2220">
        <v>637046707</v>
      </c>
      <c r="J2220">
        <v>858040133</v>
      </c>
      <c r="K2220">
        <v>619167771</v>
      </c>
      <c r="L2220">
        <v>499455781</v>
      </c>
      <c r="M2220">
        <v>694839760</v>
      </c>
      <c r="N2220">
        <v>626821045</v>
      </c>
      <c r="O2220">
        <v>723891497</v>
      </c>
      <c r="P2220">
        <v>75</v>
      </c>
      <c r="Q2220" t="s">
        <v>4767</v>
      </c>
    </row>
    <row r="2221" spans="1:17" x14ac:dyDescent="0.3">
      <c r="A2221" t="s">
        <v>4729</v>
      </c>
      <c r="B2221" t="str">
        <f>"000021"</f>
        <v>000021</v>
      </c>
      <c r="C2221" t="s">
        <v>4768</v>
      </c>
      <c r="D2221" t="s">
        <v>313</v>
      </c>
      <c r="F2221">
        <v>16488253176</v>
      </c>
      <c r="G2221">
        <v>14967234846</v>
      </c>
      <c r="H2221">
        <v>13223818815</v>
      </c>
      <c r="I2221">
        <v>16061005965</v>
      </c>
      <c r="J2221">
        <v>14209778550</v>
      </c>
      <c r="K2221">
        <v>15069170534</v>
      </c>
      <c r="L2221">
        <v>15361814755</v>
      </c>
      <c r="M2221">
        <v>16444164971</v>
      </c>
      <c r="N2221">
        <v>15039531963</v>
      </c>
      <c r="O2221">
        <v>16399516863</v>
      </c>
      <c r="P2221">
        <v>442</v>
      </c>
      <c r="Q2221" t="s">
        <v>4769</v>
      </c>
    </row>
    <row r="2222" spans="1:17" x14ac:dyDescent="0.3">
      <c r="A2222" t="s">
        <v>4729</v>
      </c>
      <c r="B2222" t="str">
        <f>"000022"</f>
        <v>000022</v>
      </c>
      <c r="C2222" t="s">
        <v>4770</v>
      </c>
      <c r="J2222">
        <v>2456218835</v>
      </c>
      <c r="K2222">
        <v>1905107140</v>
      </c>
      <c r="L2222">
        <v>1872608596.1600001</v>
      </c>
      <c r="M2222">
        <v>1804766176.3099999</v>
      </c>
      <c r="N2222">
        <v>1780774836.3</v>
      </c>
      <c r="O2222">
        <v>1783846135</v>
      </c>
      <c r="P2222">
        <v>83</v>
      </c>
      <c r="Q2222" t="s">
        <v>4771</v>
      </c>
    </row>
    <row r="2223" spans="1:17" x14ac:dyDescent="0.3">
      <c r="A2223" t="s">
        <v>4729</v>
      </c>
      <c r="B2223" t="str">
        <f>"000023"</f>
        <v>000023</v>
      </c>
      <c r="C2223" t="s">
        <v>4772</v>
      </c>
      <c r="D2223" t="s">
        <v>3098</v>
      </c>
      <c r="F2223">
        <v>1479874575</v>
      </c>
      <c r="G2223">
        <v>1783181437</v>
      </c>
      <c r="H2223">
        <v>1830534177</v>
      </c>
      <c r="I2223">
        <v>1611326481</v>
      </c>
      <c r="J2223">
        <v>1229187087</v>
      </c>
      <c r="K2223">
        <v>1009960352</v>
      </c>
      <c r="L2223">
        <v>1037804110</v>
      </c>
      <c r="M2223">
        <v>1092355142</v>
      </c>
      <c r="N2223">
        <v>1069538387</v>
      </c>
      <c r="O2223">
        <v>877948945</v>
      </c>
      <c r="P2223">
        <v>78</v>
      </c>
      <c r="Q2223" t="s">
        <v>4773</v>
      </c>
    </row>
    <row r="2224" spans="1:17" x14ac:dyDescent="0.3">
      <c r="A2224" t="s">
        <v>4729</v>
      </c>
      <c r="B2224" t="str">
        <f>"000024"</f>
        <v>000024</v>
      </c>
      <c r="C2224" t="s">
        <v>4774</v>
      </c>
      <c r="M2224">
        <v>43385058201.089996</v>
      </c>
      <c r="N2224">
        <v>32567813857.52</v>
      </c>
      <c r="O2224">
        <v>25296762154.459999</v>
      </c>
      <c r="P2224">
        <v>36</v>
      </c>
      <c r="Q2224" t="s">
        <v>4775</v>
      </c>
    </row>
    <row r="2225" spans="1:17" x14ac:dyDescent="0.3">
      <c r="A2225" t="s">
        <v>4729</v>
      </c>
      <c r="B2225" t="str">
        <f>"000025"</f>
        <v>000025</v>
      </c>
      <c r="C2225" t="s">
        <v>4776</v>
      </c>
      <c r="D2225" t="s">
        <v>672</v>
      </c>
      <c r="F2225">
        <v>508520026</v>
      </c>
      <c r="G2225">
        <v>424419203</v>
      </c>
      <c r="H2225">
        <v>571072894</v>
      </c>
      <c r="I2225">
        <v>414238779</v>
      </c>
      <c r="J2225">
        <v>347237290</v>
      </c>
      <c r="K2225">
        <v>324240842</v>
      </c>
      <c r="L2225">
        <v>303726791</v>
      </c>
      <c r="M2225">
        <v>464987528</v>
      </c>
      <c r="N2225">
        <v>486729308</v>
      </c>
      <c r="O2225">
        <v>419642661</v>
      </c>
      <c r="P2225">
        <v>140</v>
      </c>
      <c r="Q2225" t="s">
        <v>4777</v>
      </c>
    </row>
    <row r="2226" spans="1:17" x14ac:dyDescent="0.3">
      <c r="A2226" t="s">
        <v>4729</v>
      </c>
      <c r="B2226" t="str">
        <f>"000026"</f>
        <v>000026</v>
      </c>
      <c r="C2226" t="s">
        <v>4778</v>
      </c>
      <c r="D2226" t="s">
        <v>1238</v>
      </c>
      <c r="F2226">
        <v>5243733541</v>
      </c>
      <c r="G2226">
        <v>4243439953</v>
      </c>
      <c r="H2226">
        <v>3704210735</v>
      </c>
      <c r="I2226">
        <v>3400450600</v>
      </c>
      <c r="J2226">
        <v>3345809704</v>
      </c>
      <c r="K2226">
        <v>2993864561</v>
      </c>
      <c r="L2226">
        <v>3162196213</v>
      </c>
      <c r="M2226">
        <v>3278142786</v>
      </c>
      <c r="N2226">
        <v>3103496962</v>
      </c>
      <c r="O2226">
        <v>3023962527</v>
      </c>
      <c r="P2226">
        <v>323</v>
      </c>
      <c r="Q2226" t="s">
        <v>4779</v>
      </c>
    </row>
    <row r="2227" spans="1:17" x14ac:dyDescent="0.3">
      <c r="A2227" t="s">
        <v>4729</v>
      </c>
      <c r="B2227" t="str">
        <f>"000027"</f>
        <v>000027</v>
      </c>
      <c r="C2227" t="s">
        <v>4780</v>
      </c>
      <c r="D2227" t="s">
        <v>41</v>
      </c>
      <c r="F2227">
        <v>31569554551</v>
      </c>
      <c r="G2227">
        <v>20454506142</v>
      </c>
      <c r="H2227">
        <v>20817004466</v>
      </c>
      <c r="I2227">
        <v>18527395542</v>
      </c>
      <c r="J2227">
        <v>15545854866</v>
      </c>
      <c r="K2227">
        <v>11318112180</v>
      </c>
      <c r="L2227">
        <v>11129982965</v>
      </c>
      <c r="M2227">
        <v>12506042318</v>
      </c>
      <c r="N2227">
        <v>12350782449</v>
      </c>
      <c r="O2227">
        <v>12828482290</v>
      </c>
      <c r="P2227">
        <v>509</v>
      </c>
      <c r="Q2227" t="s">
        <v>4781</v>
      </c>
    </row>
    <row r="2228" spans="1:17" x14ac:dyDescent="0.3">
      <c r="A2228" t="s">
        <v>4729</v>
      </c>
      <c r="B2228" t="str">
        <f>"000028"</f>
        <v>000028</v>
      </c>
      <c r="C2228" t="s">
        <v>4782</v>
      </c>
      <c r="D2228" t="s">
        <v>125</v>
      </c>
      <c r="F2228">
        <v>68357809572</v>
      </c>
      <c r="G2228">
        <v>59649455012</v>
      </c>
      <c r="H2228">
        <v>52045764143</v>
      </c>
      <c r="I2228">
        <v>43122385521</v>
      </c>
      <c r="J2228">
        <v>41263629119</v>
      </c>
      <c r="K2228">
        <v>41248429323</v>
      </c>
      <c r="L2228">
        <v>25993139278</v>
      </c>
      <c r="M2228">
        <v>23954331028</v>
      </c>
      <c r="N2228">
        <v>21199466399</v>
      </c>
      <c r="O2228">
        <v>18011759178</v>
      </c>
      <c r="P2228">
        <v>1098</v>
      </c>
      <c r="Q2228" t="s">
        <v>4783</v>
      </c>
    </row>
    <row r="2229" spans="1:17" x14ac:dyDescent="0.3">
      <c r="A2229" t="s">
        <v>4729</v>
      </c>
      <c r="B2229" t="str">
        <f>"000029"</f>
        <v>000029</v>
      </c>
      <c r="C2229" t="s">
        <v>4784</v>
      </c>
      <c r="D2229" t="s">
        <v>104</v>
      </c>
      <c r="F2229">
        <v>1320790648</v>
      </c>
      <c r="G2229">
        <v>1615009714</v>
      </c>
      <c r="H2229">
        <v>2548740319</v>
      </c>
      <c r="I2229">
        <v>2175187243</v>
      </c>
      <c r="J2229">
        <v>1345912605</v>
      </c>
      <c r="K2229">
        <v>2352023528</v>
      </c>
      <c r="L2229">
        <v>2163365575</v>
      </c>
      <c r="M2229">
        <v>2132311223</v>
      </c>
      <c r="N2229">
        <v>2116482685</v>
      </c>
      <c r="O2229">
        <v>1030148729</v>
      </c>
      <c r="P2229">
        <v>137</v>
      </c>
      <c r="Q2229" t="s">
        <v>4785</v>
      </c>
    </row>
    <row r="2230" spans="1:17" x14ac:dyDescent="0.3">
      <c r="A2230" t="s">
        <v>4729</v>
      </c>
      <c r="B2230" t="str">
        <f>"000030"</f>
        <v>000030</v>
      </c>
      <c r="C2230" t="s">
        <v>4786</v>
      </c>
      <c r="D2230" t="s">
        <v>348</v>
      </c>
      <c r="F2230">
        <v>12828204379</v>
      </c>
      <c r="G2230">
        <v>11113430326</v>
      </c>
      <c r="H2230">
        <v>10063808026</v>
      </c>
      <c r="I2230">
        <v>7852536417</v>
      </c>
      <c r="J2230">
        <v>7193263144</v>
      </c>
      <c r="K2230">
        <v>5856937609</v>
      </c>
      <c r="L2230">
        <v>4331513542</v>
      </c>
      <c r="M2230">
        <v>5010012326</v>
      </c>
      <c r="N2230">
        <v>5227802390</v>
      </c>
      <c r="P2230">
        <v>330</v>
      </c>
      <c r="Q2230" t="s">
        <v>4787</v>
      </c>
    </row>
    <row r="2231" spans="1:17" x14ac:dyDescent="0.3">
      <c r="A2231" t="s">
        <v>4729</v>
      </c>
      <c r="B2231" t="str">
        <f>"000031"</f>
        <v>000031</v>
      </c>
      <c r="C2231" t="s">
        <v>4788</v>
      </c>
      <c r="D2231" t="s">
        <v>30</v>
      </c>
      <c r="F2231">
        <v>42614497359</v>
      </c>
      <c r="G2231">
        <v>38445284256</v>
      </c>
      <c r="H2231">
        <v>33786623202</v>
      </c>
      <c r="I2231">
        <v>14119575135</v>
      </c>
      <c r="J2231">
        <v>14042355929</v>
      </c>
      <c r="K2231">
        <v>18025191495</v>
      </c>
      <c r="L2231">
        <v>13499542724</v>
      </c>
      <c r="M2231">
        <v>9040833229</v>
      </c>
      <c r="N2231">
        <v>10178640141</v>
      </c>
      <c r="O2231">
        <v>7944889640</v>
      </c>
      <c r="P2231">
        <v>327</v>
      </c>
      <c r="Q2231" t="s">
        <v>4789</v>
      </c>
    </row>
    <row r="2232" spans="1:17" x14ac:dyDescent="0.3">
      <c r="A2232" t="s">
        <v>4729</v>
      </c>
      <c r="B2232" t="str">
        <f>"000032"</f>
        <v>000032</v>
      </c>
      <c r="C2232" t="s">
        <v>4790</v>
      </c>
      <c r="D2232" t="s">
        <v>786</v>
      </c>
      <c r="F2232">
        <v>42703635786</v>
      </c>
      <c r="G2232">
        <v>1520804785</v>
      </c>
      <c r="H2232">
        <v>1501126102</v>
      </c>
      <c r="I2232">
        <v>1600672542</v>
      </c>
      <c r="J2232">
        <v>1721063809</v>
      </c>
      <c r="K2232">
        <v>1987304343</v>
      </c>
      <c r="L2232">
        <v>1970057506</v>
      </c>
      <c r="M2232">
        <v>3070822904</v>
      </c>
      <c r="N2232">
        <v>1625440937</v>
      </c>
      <c r="O2232">
        <v>1516874573</v>
      </c>
      <c r="P2232">
        <v>121</v>
      </c>
      <c r="Q2232" t="s">
        <v>4791</v>
      </c>
    </row>
    <row r="2233" spans="1:17" x14ac:dyDescent="0.3">
      <c r="A2233" t="s">
        <v>4729</v>
      </c>
      <c r="B2233" t="str">
        <f>"000033"</f>
        <v>000033</v>
      </c>
      <c r="C2233" t="s">
        <v>4792</v>
      </c>
      <c r="K2233">
        <v>114750425.26000001</v>
      </c>
      <c r="L2233">
        <v>117170530.63</v>
      </c>
      <c r="M2233">
        <v>64379717.460000001</v>
      </c>
      <c r="N2233">
        <v>80283349.189999998</v>
      </c>
      <c r="O2233">
        <v>67009730.07</v>
      </c>
      <c r="P2233">
        <v>7</v>
      </c>
      <c r="Q2233" t="s">
        <v>4793</v>
      </c>
    </row>
    <row r="2234" spans="1:17" x14ac:dyDescent="0.3">
      <c r="A2234" t="s">
        <v>4729</v>
      </c>
      <c r="B2234" t="str">
        <f>"000034"</f>
        <v>000034</v>
      </c>
      <c r="C2234" t="s">
        <v>4794</v>
      </c>
      <c r="D2234" t="s">
        <v>316</v>
      </c>
      <c r="F2234">
        <v>122384875621</v>
      </c>
      <c r="G2234">
        <v>92060443406</v>
      </c>
      <c r="H2234">
        <v>86803376390</v>
      </c>
      <c r="I2234">
        <v>81858054493</v>
      </c>
      <c r="J2234">
        <v>62215950459</v>
      </c>
      <c r="K2234">
        <v>40531123501</v>
      </c>
      <c r="L2234">
        <v>458063354</v>
      </c>
      <c r="M2234">
        <v>509055703</v>
      </c>
      <c r="N2234">
        <v>533058588</v>
      </c>
      <c r="O2234">
        <v>457288568</v>
      </c>
      <c r="P2234">
        <v>412</v>
      </c>
      <c r="Q2234" t="s">
        <v>4795</v>
      </c>
    </row>
    <row r="2235" spans="1:17" x14ac:dyDescent="0.3">
      <c r="A2235" t="s">
        <v>4729</v>
      </c>
      <c r="B2235" t="str">
        <f>"000035"</f>
        <v>000035</v>
      </c>
      <c r="C2235" t="s">
        <v>4796</v>
      </c>
      <c r="D2235" t="s">
        <v>499</v>
      </c>
      <c r="F2235">
        <v>20592672102</v>
      </c>
      <c r="G2235">
        <v>21867491788</v>
      </c>
      <c r="H2235">
        <v>18587094375</v>
      </c>
      <c r="I2235">
        <v>1846883070</v>
      </c>
      <c r="J2235">
        <v>1611814141</v>
      </c>
      <c r="K2235">
        <v>980499678</v>
      </c>
      <c r="L2235">
        <v>825399099</v>
      </c>
      <c r="M2235">
        <v>550900433</v>
      </c>
      <c r="N2235">
        <v>40922835</v>
      </c>
      <c r="O2235">
        <v>95894669</v>
      </c>
      <c r="P2235">
        <v>198</v>
      </c>
      <c r="Q2235" t="s">
        <v>4797</v>
      </c>
    </row>
    <row r="2236" spans="1:17" x14ac:dyDescent="0.3">
      <c r="A2236" t="s">
        <v>4729</v>
      </c>
      <c r="B2236" t="str">
        <f>"000036"</f>
        <v>000036</v>
      </c>
      <c r="C2236" t="s">
        <v>4798</v>
      </c>
      <c r="D2236" t="s">
        <v>104</v>
      </c>
      <c r="F2236">
        <v>1881927156</v>
      </c>
      <c r="G2236">
        <v>2705064945</v>
      </c>
      <c r="H2236">
        <v>3168624609</v>
      </c>
      <c r="I2236">
        <v>3334572281</v>
      </c>
      <c r="J2236">
        <v>3971747004</v>
      </c>
      <c r="K2236">
        <v>2171743817</v>
      </c>
      <c r="L2236">
        <v>409027855</v>
      </c>
      <c r="M2236">
        <v>205269204</v>
      </c>
      <c r="N2236">
        <v>192607975</v>
      </c>
      <c r="O2236">
        <v>348119742</v>
      </c>
      <c r="P2236">
        <v>880</v>
      </c>
      <c r="Q2236" t="s">
        <v>4799</v>
      </c>
    </row>
    <row r="2237" spans="1:17" x14ac:dyDescent="0.3">
      <c r="A2237" t="s">
        <v>4729</v>
      </c>
      <c r="B2237" t="str">
        <f>"000037"</f>
        <v>000037</v>
      </c>
      <c r="C2237" t="s">
        <v>4800</v>
      </c>
      <c r="D2237" t="s">
        <v>351</v>
      </c>
      <c r="F2237">
        <v>757175743</v>
      </c>
      <c r="G2237">
        <v>985253832</v>
      </c>
      <c r="H2237">
        <v>1222577955</v>
      </c>
      <c r="I2237">
        <v>1884937109</v>
      </c>
      <c r="J2237">
        <v>2045766832</v>
      </c>
      <c r="K2237">
        <v>1574088978</v>
      </c>
      <c r="L2237">
        <v>1345018211</v>
      </c>
      <c r="M2237">
        <v>1234101548</v>
      </c>
      <c r="N2237">
        <v>1110427750</v>
      </c>
      <c r="O2237">
        <v>1265445768</v>
      </c>
      <c r="P2237">
        <v>112</v>
      </c>
      <c r="Q2237" t="s">
        <v>4801</v>
      </c>
    </row>
    <row r="2238" spans="1:17" x14ac:dyDescent="0.3">
      <c r="A2238" t="s">
        <v>4729</v>
      </c>
      <c r="B2238" t="str">
        <f>"000038"</f>
        <v>000038</v>
      </c>
      <c r="C2238" t="s">
        <v>4802</v>
      </c>
      <c r="D2238" t="s">
        <v>110</v>
      </c>
      <c r="F2238">
        <v>2259099481</v>
      </c>
      <c r="G2238">
        <v>2130243694</v>
      </c>
      <c r="H2238">
        <v>1834846120</v>
      </c>
      <c r="I2238">
        <v>2569332957</v>
      </c>
      <c r="J2238">
        <v>1510366506</v>
      </c>
      <c r="K2238">
        <v>1029196296</v>
      </c>
      <c r="L2238">
        <v>305430854</v>
      </c>
      <c r="M2238">
        <v>213193282</v>
      </c>
      <c r="N2238">
        <v>168435591</v>
      </c>
      <c r="O2238">
        <v>206236809</v>
      </c>
      <c r="P2238">
        <v>113</v>
      </c>
      <c r="Q2238" t="s">
        <v>4803</v>
      </c>
    </row>
    <row r="2239" spans="1:17" x14ac:dyDescent="0.3">
      <c r="A2239" t="s">
        <v>4729</v>
      </c>
      <c r="B2239" t="str">
        <f>"000039"</f>
        <v>000039</v>
      </c>
      <c r="C2239" t="s">
        <v>4804</v>
      </c>
      <c r="D2239" t="s">
        <v>274</v>
      </c>
      <c r="F2239">
        <v>163695980000</v>
      </c>
      <c r="G2239">
        <v>94159083000</v>
      </c>
      <c r="H2239">
        <v>85815341000</v>
      </c>
      <c r="I2239">
        <v>93497622000</v>
      </c>
      <c r="J2239">
        <v>76299930000</v>
      </c>
      <c r="K2239">
        <v>51111652000</v>
      </c>
      <c r="L2239">
        <v>58685804000</v>
      </c>
      <c r="M2239">
        <v>70070855000</v>
      </c>
      <c r="N2239">
        <v>57874411000</v>
      </c>
      <c r="O2239">
        <v>54334057000</v>
      </c>
      <c r="P2239">
        <v>679</v>
      </c>
      <c r="Q2239" t="s">
        <v>4805</v>
      </c>
    </row>
    <row r="2240" spans="1:17" x14ac:dyDescent="0.3">
      <c r="A2240" t="s">
        <v>4729</v>
      </c>
      <c r="B2240" t="str">
        <f>"000040"</f>
        <v>000040</v>
      </c>
      <c r="C2240" t="s">
        <v>4806</v>
      </c>
      <c r="D2240" t="s">
        <v>86</v>
      </c>
      <c r="F2240">
        <v>3876723010</v>
      </c>
      <c r="G2240">
        <v>3471428438</v>
      </c>
      <c r="H2240">
        <v>6805761616</v>
      </c>
      <c r="I2240">
        <v>8676289465</v>
      </c>
      <c r="J2240">
        <v>8131025320</v>
      </c>
      <c r="K2240">
        <v>3773501706</v>
      </c>
      <c r="L2240">
        <v>1665729176</v>
      </c>
      <c r="M2240">
        <v>1036534230</v>
      </c>
      <c r="N2240">
        <v>815110766</v>
      </c>
      <c r="O2240">
        <v>860886746</v>
      </c>
      <c r="P2240">
        <v>219</v>
      </c>
      <c r="Q2240" t="s">
        <v>4807</v>
      </c>
    </row>
    <row r="2241" spans="1:17" x14ac:dyDescent="0.3">
      <c r="A2241" t="s">
        <v>4729</v>
      </c>
      <c r="B2241" t="str">
        <f>"000042"</f>
        <v>000042</v>
      </c>
      <c r="C2241" t="s">
        <v>4808</v>
      </c>
      <c r="D2241" t="s">
        <v>104</v>
      </c>
      <c r="F2241">
        <v>8676138938</v>
      </c>
      <c r="G2241">
        <v>10697019545</v>
      </c>
      <c r="H2241">
        <v>7213165826</v>
      </c>
      <c r="I2241">
        <v>7942112442</v>
      </c>
      <c r="J2241">
        <v>8654233826</v>
      </c>
      <c r="K2241">
        <v>8115755330</v>
      </c>
      <c r="L2241">
        <v>5047823963</v>
      </c>
      <c r="M2241">
        <v>3032802716</v>
      </c>
      <c r="N2241">
        <v>2212983840</v>
      </c>
      <c r="O2241">
        <v>2698263136</v>
      </c>
      <c r="P2241">
        <v>121</v>
      </c>
      <c r="Q2241" t="s">
        <v>4809</v>
      </c>
    </row>
    <row r="2242" spans="1:17" x14ac:dyDescent="0.3">
      <c r="A2242" t="s">
        <v>4729</v>
      </c>
      <c r="B2242" t="str">
        <f>"000043"</f>
        <v>000043</v>
      </c>
      <c r="C2242" t="s">
        <v>4810</v>
      </c>
      <c r="H2242">
        <v>6077903716</v>
      </c>
      <c r="I2242">
        <v>6655646452</v>
      </c>
      <c r="J2242">
        <v>5893494038</v>
      </c>
      <c r="K2242">
        <v>6322693627</v>
      </c>
      <c r="L2242">
        <v>5518758980</v>
      </c>
      <c r="M2242">
        <v>6226241818</v>
      </c>
      <c r="N2242">
        <v>6224573654</v>
      </c>
      <c r="O2242">
        <v>4185324359</v>
      </c>
      <c r="P2242">
        <v>73</v>
      </c>
      <c r="Q2242" t="s">
        <v>4811</v>
      </c>
    </row>
    <row r="2243" spans="1:17" x14ac:dyDescent="0.3">
      <c r="A2243" t="s">
        <v>4729</v>
      </c>
      <c r="B2243" t="str">
        <f>"000045"</f>
        <v>000045</v>
      </c>
      <c r="C2243" t="s">
        <v>4812</v>
      </c>
      <c r="D2243" t="s">
        <v>1117</v>
      </c>
      <c r="F2243">
        <v>2293747892</v>
      </c>
      <c r="G2243">
        <v>2108964688</v>
      </c>
      <c r="H2243">
        <v>2158184856</v>
      </c>
      <c r="I2243">
        <v>1272356771</v>
      </c>
      <c r="J2243">
        <v>1475545720</v>
      </c>
      <c r="K2243">
        <v>1198200216</v>
      </c>
      <c r="L2243">
        <v>1226746792</v>
      </c>
      <c r="M2243">
        <v>1210952549</v>
      </c>
      <c r="N2243">
        <v>1131098580</v>
      </c>
      <c r="O2243">
        <v>845114483</v>
      </c>
      <c r="P2243">
        <v>86</v>
      </c>
      <c r="Q2243" t="s">
        <v>4813</v>
      </c>
    </row>
    <row r="2244" spans="1:17" x14ac:dyDescent="0.3">
      <c r="A2244" t="s">
        <v>4729</v>
      </c>
      <c r="B2244" t="str">
        <f>"000046"</f>
        <v>000046</v>
      </c>
      <c r="C2244" t="s">
        <v>4814</v>
      </c>
      <c r="D2244" t="s">
        <v>104</v>
      </c>
      <c r="F2244">
        <v>8439913256</v>
      </c>
      <c r="G2244">
        <v>2197010318</v>
      </c>
      <c r="H2244">
        <v>3025439392</v>
      </c>
      <c r="I2244">
        <v>5007303757</v>
      </c>
      <c r="J2244">
        <v>8384796585</v>
      </c>
      <c r="K2244">
        <v>18621567772</v>
      </c>
      <c r="L2244">
        <v>9440493537</v>
      </c>
      <c r="M2244">
        <v>6062469286</v>
      </c>
      <c r="N2244">
        <v>5937506859</v>
      </c>
      <c r="O2244">
        <v>4445401044</v>
      </c>
      <c r="P2244">
        <v>210</v>
      </c>
      <c r="Q2244" t="s">
        <v>4815</v>
      </c>
    </row>
    <row r="2245" spans="1:17" x14ac:dyDescent="0.3">
      <c r="A2245" t="s">
        <v>4729</v>
      </c>
      <c r="B2245" t="str">
        <f>"000047"</f>
        <v>000047</v>
      </c>
      <c r="C2245" t="s">
        <v>4816</v>
      </c>
      <c r="K2245">
        <v>582524.27</v>
      </c>
      <c r="L2245">
        <v>1844660.19</v>
      </c>
      <c r="P2245">
        <v>6</v>
      </c>
      <c r="Q2245" t="s">
        <v>4817</v>
      </c>
    </row>
    <row r="2246" spans="1:17" x14ac:dyDescent="0.3">
      <c r="A2246" t="s">
        <v>4729</v>
      </c>
      <c r="B2246" t="str">
        <f>"000048"</f>
        <v>000048</v>
      </c>
      <c r="C2246" t="s">
        <v>4818</v>
      </c>
      <c r="D2246" t="s">
        <v>104</v>
      </c>
      <c r="F2246">
        <v>3221474431</v>
      </c>
      <c r="G2246">
        <v>4071503297</v>
      </c>
      <c r="H2246">
        <v>4918723381</v>
      </c>
      <c r="I2246">
        <v>3436940911</v>
      </c>
      <c r="J2246">
        <v>1549614465</v>
      </c>
      <c r="K2246">
        <v>1561230908</v>
      </c>
      <c r="L2246">
        <v>2302017620</v>
      </c>
      <c r="M2246">
        <v>2144412617</v>
      </c>
      <c r="N2246">
        <v>1565306163</v>
      </c>
      <c r="O2246">
        <v>1453353017</v>
      </c>
      <c r="P2246">
        <v>588</v>
      </c>
      <c r="Q2246" t="s">
        <v>4819</v>
      </c>
    </row>
    <row r="2247" spans="1:17" x14ac:dyDescent="0.3">
      <c r="A2247" t="s">
        <v>4729</v>
      </c>
      <c r="B2247" t="str">
        <f>"000049"</f>
        <v>000049</v>
      </c>
      <c r="C2247" t="s">
        <v>4820</v>
      </c>
      <c r="D2247" t="s">
        <v>359</v>
      </c>
      <c r="F2247">
        <v>19470854326</v>
      </c>
      <c r="G2247">
        <v>19397824464</v>
      </c>
      <c r="H2247">
        <v>18442687582</v>
      </c>
      <c r="I2247">
        <v>17249233753</v>
      </c>
      <c r="J2247">
        <v>12485975568</v>
      </c>
      <c r="K2247">
        <v>8724412329</v>
      </c>
      <c r="L2247">
        <v>8434185180</v>
      </c>
      <c r="M2247">
        <v>6389598040</v>
      </c>
      <c r="N2247">
        <v>4402498844</v>
      </c>
      <c r="O2247">
        <v>3195230919</v>
      </c>
      <c r="P2247">
        <v>41578</v>
      </c>
      <c r="Q2247" t="s">
        <v>4821</v>
      </c>
    </row>
    <row r="2248" spans="1:17" x14ac:dyDescent="0.3">
      <c r="A2248" t="s">
        <v>4729</v>
      </c>
      <c r="B2248" t="str">
        <f>"000050"</f>
        <v>000050</v>
      </c>
      <c r="C2248" t="s">
        <v>4822</v>
      </c>
      <c r="D2248" t="s">
        <v>1117</v>
      </c>
      <c r="F2248">
        <v>31829213790</v>
      </c>
      <c r="G2248">
        <v>29232745052</v>
      </c>
      <c r="H2248">
        <v>30281970068</v>
      </c>
      <c r="I2248">
        <v>28911543961</v>
      </c>
      <c r="J2248">
        <v>14012500490</v>
      </c>
      <c r="K2248">
        <v>10736756431</v>
      </c>
      <c r="L2248">
        <v>10530002724</v>
      </c>
      <c r="M2248">
        <v>9322363339</v>
      </c>
      <c r="N2248">
        <v>4519377681</v>
      </c>
      <c r="O2248">
        <v>4333544367</v>
      </c>
      <c r="P2248">
        <v>621</v>
      </c>
      <c r="Q2248" t="s">
        <v>4823</v>
      </c>
    </row>
    <row r="2249" spans="1:17" x14ac:dyDescent="0.3">
      <c r="A2249" t="s">
        <v>4729</v>
      </c>
      <c r="B2249" t="str">
        <f>"000055"</f>
        <v>000055</v>
      </c>
      <c r="C2249" t="s">
        <v>4824</v>
      </c>
      <c r="D2249" t="s">
        <v>722</v>
      </c>
      <c r="F2249">
        <v>3557724398</v>
      </c>
      <c r="G2249">
        <v>2979296410</v>
      </c>
      <c r="H2249">
        <v>3005749559</v>
      </c>
      <c r="I2249">
        <v>3048680152</v>
      </c>
      <c r="J2249">
        <v>2947470814</v>
      </c>
      <c r="K2249">
        <v>4203866174</v>
      </c>
      <c r="L2249">
        <v>2550467495</v>
      </c>
      <c r="M2249">
        <v>1938324436</v>
      </c>
      <c r="N2249">
        <v>1747620846</v>
      </c>
      <c r="O2249">
        <v>1397901425</v>
      </c>
      <c r="P2249">
        <v>318</v>
      </c>
      <c r="Q2249" t="s">
        <v>4825</v>
      </c>
    </row>
    <row r="2250" spans="1:17" x14ac:dyDescent="0.3">
      <c r="A2250" t="s">
        <v>4729</v>
      </c>
      <c r="B2250" t="str">
        <f>"000056"</f>
        <v>000056</v>
      </c>
      <c r="C2250" t="s">
        <v>4826</v>
      </c>
      <c r="D2250" t="s">
        <v>2975</v>
      </c>
      <c r="F2250">
        <v>754410363</v>
      </c>
      <c r="G2250">
        <v>685729753</v>
      </c>
      <c r="H2250">
        <v>948963902</v>
      </c>
      <c r="I2250">
        <v>949111226</v>
      </c>
      <c r="J2250">
        <v>702271639</v>
      </c>
      <c r="K2250">
        <v>325839869</v>
      </c>
      <c r="L2250">
        <v>268288048</v>
      </c>
      <c r="M2250">
        <v>98938698</v>
      </c>
      <c r="N2250">
        <v>35292846</v>
      </c>
      <c r="O2250">
        <v>80622456</v>
      </c>
      <c r="P2250">
        <v>100</v>
      </c>
      <c r="Q2250" t="s">
        <v>4827</v>
      </c>
    </row>
    <row r="2251" spans="1:17" x14ac:dyDescent="0.3">
      <c r="A2251" t="s">
        <v>4729</v>
      </c>
      <c r="B2251" t="str">
        <f>"000058"</f>
        <v>000058</v>
      </c>
      <c r="C2251" t="s">
        <v>4828</v>
      </c>
      <c r="D2251" t="s">
        <v>271</v>
      </c>
      <c r="F2251">
        <v>1994653377</v>
      </c>
      <c r="G2251">
        <v>1403665817</v>
      </c>
      <c r="H2251">
        <v>1493227561</v>
      </c>
      <c r="I2251">
        <v>1605787472</v>
      </c>
      <c r="J2251">
        <v>1981307558</v>
      </c>
      <c r="K2251">
        <v>672384276</v>
      </c>
      <c r="L2251">
        <v>741533677</v>
      </c>
      <c r="M2251">
        <v>681343921</v>
      </c>
      <c r="N2251">
        <v>597358258</v>
      </c>
      <c r="O2251">
        <v>463807501</v>
      </c>
      <c r="P2251">
        <v>142</v>
      </c>
      <c r="Q2251" t="s">
        <v>4829</v>
      </c>
    </row>
    <row r="2252" spans="1:17" x14ac:dyDescent="0.3">
      <c r="A2252" t="s">
        <v>4729</v>
      </c>
      <c r="B2252" t="str">
        <f>"000059"</f>
        <v>000059</v>
      </c>
      <c r="C2252" t="s">
        <v>4830</v>
      </c>
      <c r="D2252" t="s">
        <v>74</v>
      </c>
      <c r="F2252">
        <v>38552307081</v>
      </c>
      <c r="G2252">
        <v>30437437455</v>
      </c>
      <c r="H2252">
        <v>39608340979</v>
      </c>
      <c r="I2252">
        <v>36683290538</v>
      </c>
      <c r="J2252">
        <v>33713780564</v>
      </c>
      <c r="K2252">
        <v>29103942295</v>
      </c>
      <c r="L2252">
        <v>30909319883</v>
      </c>
      <c r="M2252">
        <v>36082035588</v>
      </c>
      <c r="N2252">
        <v>41557911422</v>
      </c>
      <c r="O2252">
        <v>36008701061</v>
      </c>
      <c r="P2252">
        <v>387</v>
      </c>
      <c r="Q2252" t="s">
        <v>4831</v>
      </c>
    </row>
    <row r="2253" spans="1:17" x14ac:dyDescent="0.3">
      <c r="A2253" t="s">
        <v>4729</v>
      </c>
      <c r="B2253" t="str">
        <f>"000060"</f>
        <v>000060</v>
      </c>
      <c r="C2253" t="s">
        <v>4832</v>
      </c>
      <c r="D2253" t="s">
        <v>744</v>
      </c>
      <c r="F2253">
        <v>44449218924</v>
      </c>
      <c r="G2253">
        <v>30226130783</v>
      </c>
      <c r="H2253">
        <v>22800522837</v>
      </c>
      <c r="I2253">
        <v>19963409522</v>
      </c>
      <c r="J2253">
        <v>18966588411</v>
      </c>
      <c r="K2253">
        <v>15059114291</v>
      </c>
      <c r="L2253">
        <v>16937923670</v>
      </c>
      <c r="M2253">
        <v>24574117124</v>
      </c>
      <c r="N2253">
        <v>21117720747</v>
      </c>
      <c r="O2253">
        <v>18399547351</v>
      </c>
      <c r="P2253">
        <v>373</v>
      </c>
      <c r="Q2253" t="s">
        <v>4833</v>
      </c>
    </row>
    <row r="2254" spans="1:17" x14ac:dyDescent="0.3">
      <c r="A2254" t="s">
        <v>4729</v>
      </c>
      <c r="B2254" t="str">
        <f>"000061"</f>
        <v>000061</v>
      </c>
      <c r="C2254" t="s">
        <v>4834</v>
      </c>
      <c r="D2254" t="s">
        <v>271</v>
      </c>
      <c r="F2254">
        <v>4092180921</v>
      </c>
      <c r="G2254">
        <v>3174447984</v>
      </c>
      <c r="H2254">
        <v>2852962645</v>
      </c>
      <c r="I2254">
        <v>2302055709</v>
      </c>
      <c r="J2254">
        <v>2446281450</v>
      </c>
      <c r="K2254">
        <v>2020079118</v>
      </c>
      <c r="L2254">
        <v>1736650723</v>
      </c>
      <c r="M2254">
        <v>1648246571</v>
      </c>
      <c r="N2254">
        <v>2168633755</v>
      </c>
      <c r="O2254">
        <v>1681976908</v>
      </c>
      <c r="P2254">
        <v>211</v>
      </c>
      <c r="Q2254" t="s">
        <v>4835</v>
      </c>
    </row>
    <row r="2255" spans="1:17" x14ac:dyDescent="0.3">
      <c r="A2255" t="s">
        <v>4729</v>
      </c>
      <c r="B2255" t="str">
        <f>"000062"</f>
        <v>000062</v>
      </c>
      <c r="C2255" t="s">
        <v>4836</v>
      </c>
      <c r="D2255" t="s">
        <v>651</v>
      </c>
      <c r="F2255">
        <v>22840581682</v>
      </c>
      <c r="G2255">
        <v>16330983090</v>
      </c>
      <c r="H2255">
        <v>14355283742</v>
      </c>
      <c r="I2255">
        <v>11799716612</v>
      </c>
      <c r="J2255">
        <v>8297880908</v>
      </c>
      <c r="K2255">
        <v>5544599007</v>
      </c>
      <c r="L2255">
        <v>2033650651</v>
      </c>
      <c r="M2255">
        <v>2668292318</v>
      </c>
      <c r="N2255">
        <v>2075835124</v>
      </c>
      <c r="O2255">
        <v>1558965273</v>
      </c>
      <c r="P2255">
        <v>300</v>
      </c>
      <c r="Q2255" t="s">
        <v>4837</v>
      </c>
    </row>
    <row r="2256" spans="1:17" x14ac:dyDescent="0.3">
      <c r="A2256" t="s">
        <v>4729</v>
      </c>
      <c r="B2256" t="str">
        <f>"000063"</f>
        <v>000063</v>
      </c>
      <c r="C2256" t="s">
        <v>4838</v>
      </c>
      <c r="D2256" t="s">
        <v>1019</v>
      </c>
      <c r="F2256">
        <v>114521641000</v>
      </c>
      <c r="G2256">
        <v>101450670000</v>
      </c>
      <c r="H2256">
        <v>90736582000</v>
      </c>
      <c r="I2256">
        <v>85513150000</v>
      </c>
      <c r="J2256">
        <v>108815273000</v>
      </c>
      <c r="K2256">
        <v>101233182000</v>
      </c>
      <c r="L2256">
        <v>100186389000</v>
      </c>
      <c r="M2256">
        <v>81471275000</v>
      </c>
      <c r="N2256">
        <v>75233724000</v>
      </c>
      <c r="O2256">
        <v>84219358000</v>
      </c>
      <c r="P2256">
        <v>3203</v>
      </c>
      <c r="Q2256" t="s">
        <v>4839</v>
      </c>
    </row>
    <row r="2257" spans="1:17" x14ac:dyDescent="0.3">
      <c r="A2257" t="s">
        <v>4729</v>
      </c>
      <c r="B2257" t="str">
        <f>"000065"</f>
        <v>000065</v>
      </c>
      <c r="C2257" t="s">
        <v>4840</v>
      </c>
      <c r="D2257" t="s">
        <v>1893</v>
      </c>
      <c r="F2257">
        <v>13050012732</v>
      </c>
      <c r="G2257">
        <v>12850656168</v>
      </c>
      <c r="H2257">
        <v>11060172817</v>
      </c>
      <c r="I2257">
        <v>9981409796</v>
      </c>
      <c r="J2257">
        <v>9730031617</v>
      </c>
      <c r="K2257">
        <v>8761923444</v>
      </c>
      <c r="L2257">
        <v>4285573951</v>
      </c>
      <c r="M2257">
        <v>3024100750</v>
      </c>
      <c r="N2257">
        <v>2958256941</v>
      </c>
      <c r="O2257">
        <v>1660357038</v>
      </c>
      <c r="P2257">
        <v>394</v>
      </c>
      <c r="Q2257" t="s">
        <v>4841</v>
      </c>
    </row>
    <row r="2258" spans="1:17" x14ac:dyDescent="0.3">
      <c r="A2258" t="s">
        <v>4729</v>
      </c>
      <c r="B2258" t="str">
        <f>"000066"</f>
        <v>000066</v>
      </c>
      <c r="C2258" t="s">
        <v>4842</v>
      </c>
      <c r="D2258" t="s">
        <v>236</v>
      </c>
      <c r="F2258">
        <v>17790432972</v>
      </c>
      <c r="G2258">
        <v>14446088073</v>
      </c>
      <c r="H2258">
        <v>10843784577</v>
      </c>
      <c r="I2258">
        <v>10009483497</v>
      </c>
      <c r="J2258">
        <v>9506838836</v>
      </c>
      <c r="K2258">
        <v>69128164932</v>
      </c>
      <c r="L2258">
        <v>72935851650</v>
      </c>
      <c r="M2258">
        <v>75801744903</v>
      </c>
      <c r="N2258">
        <v>77858636643</v>
      </c>
      <c r="O2258">
        <v>79751624598</v>
      </c>
      <c r="P2258">
        <v>712</v>
      </c>
      <c r="Q2258" t="s">
        <v>4843</v>
      </c>
    </row>
    <row r="2259" spans="1:17" x14ac:dyDescent="0.3">
      <c r="A2259" t="s">
        <v>4729</v>
      </c>
      <c r="B2259" t="str">
        <f>"000068"</f>
        <v>000068</v>
      </c>
      <c r="C2259" t="s">
        <v>4844</v>
      </c>
      <c r="D2259" t="s">
        <v>3575</v>
      </c>
      <c r="F2259">
        <v>935839857</v>
      </c>
      <c r="G2259">
        <v>228679256</v>
      </c>
      <c r="H2259">
        <v>225085721</v>
      </c>
      <c r="I2259">
        <v>205898377</v>
      </c>
      <c r="J2259">
        <v>412929685</v>
      </c>
      <c r="K2259">
        <v>297563206</v>
      </c>
      <c r="L2259">
        <v>170618871</v>
      </c>
      <c r="M2259">
        <v>67194614</v>
      </c>
      <c r="N2259">
        <v>721757335</v>
      </c>
      <c r="O2259">
        <v>104954271</v>
      </c>
      <c r="P2259">
        <v>144</v>
      </c>
      <c r="Q2259" t="s">
        <v>4845</v>
      </c>
    </row>
    <row r="2260" spans="1:17" x14ac:dyDescent="0.3">
      <c r="A2260" t="s">
        <v>4729</v>
      </c>
      <c r="B2260" t="str">
        <f>"000069"</f>
        <v>000069</v>
      </c>
      <c r="C2260" t="s">
        <v>4846</v>
      </c>
      <c r="D2260" t="s">
        <v>30</v>
      </c>
      <c r="F2260">
        <v>102583650894</v>
      </c>
      <c r="G2260">
        <v>81868090075</v>
      </c>
      <c r="H2260">
        <v>60025027202</v>
      </c>
      <c r="I2260">
        <v>48142343166</v>
      </c>
      <c r="J2260">
        <v>42341224701</v>
      </c>
      <c r="K2260">
        <v>35481104833</v>
      </c>
      <c r="L2260">
        <v>32236329531</v>
      </c>
      <c r="M2260">
        <v>30718199315</v>
      </c>
      <c r="N2260">
        <v>28156382087</v>
      </c>
      <c r="O2260">
        <v>22284426216</v>
      </c>
      <c r="P2260">
        <v>3953</v>
      </c>
      <c r="Q2260" t="s">
        <v>4847</v>
      </c>
    </row>
    <row r="2261" spans="1:17" x14ac:dyDescent="0.3">
      <c r="A2261" t="s">
        <v>4729</v>
      </c>
      <c r="B2261" t="str">
        <f>"000070"</f>
        <v>000070</v>
      </c>
      <c r="C2261" t="s">
        <v>4848</v>
      </c>
      <c r="D2261" t="s">
        <v>250</v>
      </c>
      <c r="F2261">
        <v>4590838502</v>
      </c>
      <c r="G2261">
        <v>4722428258</v>
      </c>
      <c r="H2261">
        <v>4655911058</v>
      </c>
      <c r="I2261">
        <v>5706001089</v>
      </c>
      <c r="J2261">
        <v>5473074136</v>
      </c>
      <c r="K2261">
        <v>4612417969</v>
      </c>
      <c r="L2261">
        <v>2449797414</v>
      </c>
      <c r="M2261">
        <v>1913254931</v>
      </c>
      <c r="N2261">
        <v>1571950277</v>
      </c>
      <c r="O2261">
        <v>1610087503</v>
      </c>
      <c r="P2261">
        <v>334</v>
      </c>
      <c r="Q2261" t="s">
        <v>4849</v>
      </c>
    </row>
    <row r="2262" spans="1:17" x14ac:dyDescent="0.3">
      <c r="A2262" t="s">
        <v>4729</v>
      </c>
      <c r="B2262" t="str">
        <f>"000078"</f>
        <v>000078</v>
      </c>
      <c r="C2262" t="s">
        <v>4850</v>
      </c>
      <c r="D2262" t="s">
        <v>125</v>
      </c>
      <c r="F2262">
        <v>41053584128</v>
      </c>
      <c r="G2262">
        <v>40022495409</v>
      </c>
      <c r="H2262">
        <v>41492703946</v>
      </c>
      <c r="I2262">
        <v>38380907262</v>
      </c>
      <c r="J2262">
        <v>24939637653</v>
      </c>
      <c r="K2262">
        <v>13605921668</v>
      </c>
      <c r="L2262">
        <v>11117734986</v>
      </c>
      <c r="M2262">
        <v>9802350832</v>
      </c>
      <c r="N2262">
        <v>7993433972</v>
      </c>
      <c r="O2262">
        <v>6418021706</v>
      </c>
      <c r="P2262">
        <v>291</v>
      </c>
      <c r="Q2262" t="s">
        <v>4851</v>
      </c>
    </row>
    <row r="2263" spans="1:17" x14ac:dyDescent="0.3">
      <c r="A2263" t="s">
        <v>4729</v>
      </c>
      <c r="B2263" t="str">
        <f>"000088"</f>
        <v>000088</v>
      </c>
      <c r="C2263" t="s">
        <v>4852</v>
      </c>
      <c r="D2263" t="s">
        <v>51</v>
      </c>
      <c r="F2263">
        <v>679868210</v>
      </c>
      <c r="G2263">
        <v>531181030</v>
      </c>
      <c r="H2263">
        <v>593358498</v>
      </c>
      <c r="I2263">
        <v>403513949</v>
      </c>
      <c r="J2263">
        <v>343778903</v>
      </c>
      <c r="K2263">
        <v>283736910</v>
      </c>
      <c r="L2263">
        <v>248912424</v>
      </c>
      <c r="M2263">
        <v>300850829</v>
      </c>
      <c r="N2263">
        <v>307695496</v>
      </c>
      <c r="O2263">
        <v>316465126</v>
      </c>
      <c r="P2263">
        <v>170</v>
      </c>
      <c r="Q2263" t="s">
        <v>4853</v>
      </c>
    </row>
    <row r="2264" spans="1:17" x14ac:dyDescent="0.3">
      <c r="A2264" t="s">
        <v>4729</v>
      </c>
      <c r="B2264" t="str">
        <f>"000089"</f>
        <v>000089</v>
      </c>
      <c r="C2264" t="s">
        <v>4854</v>
      </c>
      <c r="D2264" t="s">
        <v>22</v>
      </c>
      <c r="F2264">
        <v>3305644732</v>
      </c>
      <c r="G2264">
        <v>2996744330</v>
      </c>
      <c r="H2264">
        <v>3806556336</v>
      </c>
      <c r="I2264">
        <v>3599235358</v>
      </c>
      <c r="J2264">
        <v>3320807950</v>
      </c>
      <c r="K2264">
        <v>3036308570</v>
      </c>
      <c r="L2264">
        <v>2952551019</v>
      </c>
      <c r="M2264">
        <v>2973304176</v>
      </c>
      <c r="N2264">
        <v>2546432154</v>
      </c>
      <c r="O2264">
        <v>2473300589</v>
      </c>
      <c r="P2264">
        <v>665</v>
      </c>
      <c r="Q2264" t="s">
        <v>4855</v>
      </c>
    </row>
    <row r="2265" spans="1:17" x14ac:dyDescent="0.3">
      <c r="A2265" t="s">
        <v>4729</v>
      </c>
      <c r="B2265" t="str">
        <f>"000090"</f>
        <v>000090</v>
      </c>
      <c r="C2265" t="s">
        <v>4856</v>
      </c>
      <c r="D2265" t="s">
        <v>104</v>
      </c>
      <c r="F2265">
        <v>23269331871</v>
      </c>
      <c r="G2265">
        <v>17124707926</v>
      </c>
      <c r="H2265">
        <v>14665288591</v>
      </c>
      <c r="I2265">
        <v>10209484122</v>
      </c>
      <c r="J2265">
        <v>6749593623</v>
      </c>
      <c r="K2265">
        <v>6209017672</v>
      </c>
      <c r="L2265">
        <v>6317777110</v>
      </c>
      <c r="M2265">
        <v>5298723375</v>
      </c>
      <c r="N2265">
        <v>4513914440</v>
      </c>
      <c r="O2265">
        <v>3080578508</v>
      </c>
      <c r="P2265">
        <v>424</v>
      </c>
      <c r="Q2265" t="s">
        <v>4857</v>
      </c>
    </row>
    <row r="2266" spans="1:17" x14ac:dyDescent="0.3">
      <c r="A2266" t="s">
        <v>4729</v>
      </c>
      <c r="B2266" t="str">
        <f>"000096"</f>
        <v>000096</v>
      </c>
      <c r="C2266" t="s">
        <v>4858</v>
      </c>
      <c r="D2266" t="s">
        <v>584</v>
      </c>
      <c r="F2266">
        <v>1619712150</v>
      </c>
      <c r="G2266">
        <v>1228821458</v>
      </c>
      <c r="H2266">
        <v>1623086753</v>
      </c>
      <c r="I2266">
        <v>1654195827</v>
      </c>
      <c r="J2266">
        <v>1243173667</v>
      </c>
      <c r="K2266">
        <v>905096099</v>
      </c>
      <c r="L2266">
        <v>997837380</v>
      </c>
      <c r="M2266">
        <v>1007882039</v>
      </c>
      <c r="N2266">
        <v>868284058</v>
      </c>
      <c r="O2266">
        <v>965169187</v>
      </c>
      <c r="P2266">
        <v>86</v>
      </c>
      <c r="Q2266" t="s">
        <v>4859</v>
      </c>
    </row>
    <row r="2267" spans="1:17" x14ac:dyDescent="0.3">
      <c r="A2267" t="s">
        <v>4729</v>
      </c>
      <c r="B2267" t="str">
        <f>"000099"</f>
        <v>000099</v>
      </c>
      <c r="C2267" t="s">
        <v>4860</v>
      </c>
      <c r="D2267" t="s">
        <v>77</v>
      </c>
      <c r="F2267">
        <v>1680726021</v>
      </c>
      <c r="G2267">
        <v>1558360048</v>
      </c>
      <c r="H2267">
        <v>1567253301</v>
      </c>
      <c r="I2267">
        <v>1425880853</v>
      </c>
      <c r="J2267">
        <v>1269761413</v>
      </c>
      <c r="K2267">
        <v>1171925229</v>
      </c>
      <c r="L2267">
        <v>1289400552</v>
      </c>
      <c r="M2267">
        <v>1339107533</v>
      </c>
      <c r="N2267">
        <v>1187193388</v>
      </c>
      <c r="O2267">
        <v>1091400074</v>
      </c>
      <c r="P2267">
        <v>166</v>
      </c>
      <c r="Q2267" t="s">
        <v>4861</v>
      </c>
    </row>
    <row r="2268" spans="1:17" x14ac:dyDescent="0.3">
      <c r="A2268" t="s">
        <v>4729</v>
      </c>
      <c r="B2268" t="str">
        <f>"000100"</f>
        <v>000100</v>
      </c>
      <c r="C2268" t="s">
        <v>4862</v>
      </c>
      <c r="D2268" t="s">
        <v>1117</v>
      </c>
      <c r="F2268">
        <v>163540559623</v>
      </c>
      <c r="G2268">
        <v>76677238000</v>
      </c>
      <c r="H2268">
        <v>74933085688</v>
      </c>
      <c r="I2268">
        <v>113360076000</v>
      </c>
      <c r="J2268">
        <v>111577362348</v>
      </c>
      <c r="K2268">
        <v>106473499866</v>
      </c>
      <c r="L2268">
        <v>104579482205</v>
      </c>
      <c r="M2268">
        <v>101028675160</v>
      </c>
      <c r="N2268">
        <v>85324085862</v>
      </c>
      <c r="O2268">
        <v>69448351329</v>
      </c>
      <c r="P2268">
        <v>2196</v>
      </c>
      <c r="Q2268" t="s">
        <v>4863</v>
      </c>
    </row>
    <row r="2269" spans="1:17" x14ac:dyDescent="0.3">
      <c r="A2269" t="s">
        <v>4729</v>
      </c>
      <c r="B2269" t="str">
        <f>"000150"</f>
        <v>000150</v>
      </c>
      <c r="C2269" t="s">
        <v>4864</v>
      </c>
      <c r="D2269" t="s">
        <v>1147</v>
      </c>
      <c r="F2269">
        <v>1334407348</v>
      </c>
      <c r="G2269">
        <v>1561644374</v>
      </c>
      <c r="H2269">
        <v>1792237334</v>
      </c>
      <c r="I2269">
        <v>2204000845</v>
      </c>
      <c r="J2269">
        <v>2116173231</v>
      </c>
      <c r="K2269">
        <v>1296457145</v>
      </c>
      <c r="L2269">
        <v>1031226324</v>
      </c>
      <c r="M2269">
        <v>157672936</v>
      </c>
      <c r="N2269">
        <v>729260135</v>
      </c>
      <c r="O2269">
        <v>84904481</v>
      </c>
      <c r="P2269">
        <v>184</v>
      </c>
      <c r="Q2269" t="s">
        <v>4865</v>
      </c>
    </row>
    <row r="2270" spans="1:17" x14ac:dyDescent="0.3">
      <c r="A2270" t="s">
        <v>4729</v>
      </c>
      <c r="B2270" t="str">
        <f>"000151"</f>
        <v>000151</v>
      </c>
      <c r="C2270" t="s">
        <v>4866</v>
      </c>
      <c r="D2270" t="s">
        <v>131</v>
      </c>
      <c r="F2270">
        <v>2159612716</v>
      </c>
      <c r="G2270">
        <v>780847127</v>
      </c>
      <c r="H2270">
        <v>1183601165</v>
      </c>
      <c r="I2270">
        <v>1270727970</v>
      </c>
      <c r="J2270">
        <v>2228598001</v>
      </c>
      <c r="K2270">
        <v>1767361162</v>
      </c>
      <c r="L2270">
        <v>1212434848</v>
      </c>
      <c r="M2270">
        <v>2537959290</v>
      </c>
      <c r="N2270">
        <v>1555117336</v>
      </c>
      <c r="O2270">
        <v>1674264881</v>
      </c>
      <c r="P2270">
        <v>95</v>
      </c>
      <c r="Q2270" t="s">
        <v>4867</v>
      </c>
    </row>
    <row r="2271" spans="1:17" x14ac:dyDescent="0.3">
      <c r="A2271" t="s">
        <v>4729</v>
      </c>
      <c r="B2271" t="str">
        <f>"000153"</f>
        <v>000153</v>
      </c>
      <c r="C2271" t="s">
        <v>4868</v>
      </c>
      <c r="D2271" t="s">
        <v>143</v>
      </c>
      <c r="F2271">
        <v>3501668742</v>
      </c>
      <c r="G2271">
        <v>3321182365</v>
      </c>
      <c r="H2271">
        <v>3238064437</v>
      </c>
      <c r="I2271">
        <v>3013395364</v>
      </c>
      <c r="J2271">
        <v>2578105437</v>
      </c>
      <c r="K2271">
        <v>2033683396</v>
      </c>
      <c r="L2271">
        <v>1554294539</v>
      </c>
      <c r="M2271">
        <v>1698945420</v>
      </c>
      <c r="N2271">
        <v>1529898115</v>
      </c>
      <c r="O2271">
        <v>1657764512</v>
      </c>
      <c r="P2271">
        <v>118</v>
      </c>
      <c r="Q2271" t="s">
        <v>4869</v>
      </c>
    </row>
    <row r="2272" spans="1:17" x14ac:dyDescent="0.3">
      <c r="A2272" t="s">
        <v>4729</v>
      </c>
      <c r="B2272" t="str">
        <f>"000155"</f>
        <v>000155</v>
      </c>
      <c r="C2272" t="s">
        <v>4870</v>
      </c>
      <c r="D2272" t="s">
        <v>383</v>
      </c>
      <c r="F2272">
        <v>4408005009</v>
      </c>
      <c r="G2272">
        <v>1996507806</v>
      </c>
      <c r="H2272">
        <v>2051105817</v>
      </c>
      <c r="I2272">
        <v>4272043400</v>
      </c>
      <c r="J2272">
        <v>6509123209</v>
      </c>
      <c r="K2272">
        <v>1812397932</v>
      </c>
      <c r="L2272">
        <v>319629406</v>
      </c>
      <c r="M2272">
        <v>842147080</v>
      </c>
      <c r="N2272">
        <v>1810919882</v>
      </c>
      <c r="O2272">
        <v>2119820760</v>
      </c>
      <c r="P2272">
        <v>309</v>
      </c>
      <c r="Q2272" t="s">
        <v>4871</v>
      </c>
    </row>
    <row r="2273" spans="1:17" x14ac:dyDescent="0.3">
      <c r="A2273" t="s">
        <v>4729</v>
      </c>
      <c r="B2273" t="str">
        <f>"000156"</f>
        <v>000156</v>
      </c>
      <c r="C2273" t="s">
        <v>4872</v>
      </c>
      <c r="D2273" t="s">
        <v>95</v>
      </c>
      <c r="F2273">
        <v>8483660931</v>
      </c>
      <c r="G2273">
        <v>7577647860</v>
      </c>
      <c r="H2273">
        <v>3710664686</v>
      </c>
      <c r="I2273">
        <v>3435994346</v>
      </c>
      <c r="J2273">
        <v>3209307929</v>
      </c>
      <c r="K2273">
        <v>3081183980</v>
      </c>
      <c r="L2273">
        <v>2858572085</v>
      </c>
      <c r="M2273">
        <v>2411616086</v>
      </c>
      <c r="N2273">
        <v>1801184781</v>
      </c>
      <c r="O2273">
        <v>1508605817</v>
      </c>
      <c r="P2273">
        <v>309</v>
      </c>
      <c r="Q2273" t="s">
        <v>4873</v>
      </c>
    </row>
    <row r="2274" spans="1:17" x14ac:dyDescent="0.3">
      <c r="A2274" t="s">
        <v>4729</v>
      </c>
      <c r="B2274" t="str">
        <f>"000157"</f>
        <v>000157</v>
      </c>
      <c r="C2274" t="s">
        <v>4874</v>
      </c>
      <c r="D2274" t="s">
        <v>83</v>
      </c>
      <c r="F2274">
        <v>67130626817</v>
      </c>
      <c r="G2274">
        <v>65108942243</v>
      </c>
      <c r="H2274">
        <v>43307395375</v>
      </c>
      <c r="I2274">
        <v>28696542910</v>
      </c>
      <c r="J2274">
        <v>23272893731</v>
      </c>
      <c r="K2274">
        <v>20022516699</v>
      </c>
      <c r="L2274">
        <v>20753346644</v>
      </c>
      <c r="M2274">
        <v>25851195136</v>
      </c>
      <c r="N2274">
        <v>38541775254</v>
      </c>
      <c r="O2274">
        <v>48071170000</v>
      </c>
      <c r="P2274">
        <v>1683</v>
      </c>
      <c r="Q2274" t="s">
        <v>4875</v>
      </c>
    </row>
    <row r="2275" spans="1:17" x14ac:dyDescent="0.3">
      <c r="A2275" t="s">
        <v>4729</v>
      </c>
      <c r="B2275" t="str">
        <f>"000158"</f>
        <v>000158</v>
      </c>
      <c r="C2275" t="s">
        <v>4876</v>
      </c>
      <c r="D2275" t="s">
        <v>316</v>
      </c>
      <c r="F2275">
        <v>10881605978</v>
      </c>
      <c r="G2275">
        <v>9883795591</v>
      </c>
      <c r="H2275">
        <v>9446620387</v>
      </c>
      <c r="I2275">
        <v>9656109155</v>
      </c>
      <c r="J2275">
        <v>11254467685</v>
      </c>
      <c r="K2275">
        <v>10974323091</v>
      </c>
      <c r="L2275">
        <v>8901935988</v>
      </c>
      <c r="M2275">
        <v>6568519360</v>
      </c>
      <c r="N2275">
        <v>5857395314</v>
      </c>
      <c r="O2275">
        <v>5022514229</v>
      </c>
      <c r="P2275">
        <v>295</v>
      </c>
      <c r="Q2275" t="s">
        <v>4877</v>
      </c>
    </row>
    <row r="2276" spans="1:17" x14ac:dyDescent="0.3">
      <c r="A2276" t="s">
        <v>4729</v>
      </c>
      <c r="B2276" t="str">
        <f>"000159"</f>
        <v>000159</v>
      </c>
      <c r="C2276" t="s">
        <v>4878</v>
      </c>
      <c r="D2276" t="s">
        <v>584</v>
      </c>
      <c r="F2276">
        <v>1119159300</v>
      </c>
      <c r="G2276">
        <v>551674613</v>
      </c>
      <c r="H2276">
        <v>430394497</v>
      </c>
      <c r="I2276">
        <v>550605309</v>
      </c>
      <c r="J2276">
        <v>355204839</v>
      </c>
      <c r="K2276">
        <v>523202638</v>
      </c>
      <c r="L2276">
        <v>679738331</v>
      </c>
      <c r="M2276">
        <v>1176602799</v>
      </c>
      <c r="N2276">
        <v>1068478602</v>
      </c>
      <c r="O2276">
        <v>1400309134</v>
      </c>
      <c r="P2276">
        <v>100</v>
      </c>
      <c r="Q2276" t="s">
        <v>4879</v>
      </c>
    </row>
    <row r="2277" spans="1:17" x14ac:dyDescent="0.3">
      <c r="A2277" t="s">
        <v>4729</v>
      </c>
      <c r="B2277" t="str">
        <f>"000166"</f>
        <v>000166</v>
      </c>
      <c r="C2277" t="s">
        <v>4880</v>
      </c>
      <c r="D2277" t="s">
        <v>80</v>
      </c>
      <c r="F2277">
        <v>34307428053</v>
      </c>
      <c r="G2277">
        <v>29409186017</v>
      </c>
      <c r="H2277">
        <v>24593411763</v>
      </c>
      <c r="I2277">
        <v>15277425926</v>
      </c>
      <c r="J2277">
        <v>13367782980</v>
      </c>
      <c r="K2277">
        <v>14719976135</v>
      </c>
      <c r="L2277">
        <v>30462603134.290001</v>
      </c>
      <c r="M2277">
        <v>8656796874</v>
      </c>
      <c r="N2277">
        <v>10065748200</v>
      </c>
      <c r="O2277">
        <v>4737073900</v>
      </c>
      <c r="P2277">
        <v>2819</v>
      </c>
      <c r="Q2277" t="s">
        <v>4881</v>
      </c>
    </row>
    <row r="2278" spans="1:17" x14ac:dyDescent="0.3">
      <c r="A2278" t="s">
        <v>4729</v>
      </c>
      <c r="B2278" t="str">
        <f>"000301"</f>
        <v>000301</v>
      </c>
      <c r="C2278" t="s">
        <v>4882</v>
      </c>
      <c r="D2278" t="s">
        <v>74</v>
      </c>
      <c r="F2278">
        <v>51722179698</v>
      </c>
      <c r="G2278">
        <v>22777003536</v>
      </c>
      <c r="H2278">
        <v>24887768960</v>
      </c>
      <c r="I2278">
        <v>18440216491</v>
      </c>
      <c r="J2278">
        <v>1112023498</v>
      </c>
      <c r="K2278">
        <v>793110205</v>
      </c>
      <c r="L2278">
        <v>694065921</v>
      </c>
      <c r="M2278">
        <v>785480596</v>
      </c>
      <c r="N2278">
        <v>1027001034</v>
      </c>
      <c r="O2278">
        <v>875324712</v>
      </c>
      <c r="P2278">
        <v>397</v>
      </c>
      <c r="Q2278" t="s">
        <v>4883</v>
      </c>
    </row>
    <row r="2279" spans="1:17" x14ac:dyDescent="0.3">
      <c r="A2279" t="s">
        <v>4729</v>
      </c>
      <c r="B2279" t="str">
        <f>"000333"</f>
        <v>000333</v>
      </c>
      <c r="C2279" t="s">
        <v>4884</v>
      </c>
      <c r="D2279" t="s">
        <v>1727</v>
      </c>
      <c r="F2279">
        <v>341233208000</v>
      </c>
      <c r="G2279">
        <v>284221249000</v>
      </c>
      <c r="H2279">
        <v>278216017000</v>
      </c>
      <c r="I2279">
        <v>259664820000</v>
      </c>
      <c r="J2279">
        <v>240712301000</v>
      </c>
      <c r="K2279">
        <v>159044041000</v>
      </c>
      <c r="L2279">
        <v>138441226000</v>
      </c>
      <c r="M2279">
        <v>141668175160</v>
      </c>
      <c r="N2279">
        <v>120975003140</v>
      </c>
      <c r="O2279">
        <v>102598110490</v>
      </c>
      <c r="P2279">
        <v>25061</v>
      </c>
      <c r="Q2279" t="s">
        <v>4885</v>
      </c>
    </row>
    <row r="2280" spans="1:17" x14ac:dyDescent="0.3">
      <c r="A2280" t="s">
        <v>4729</v>
      </c>
      <c r="B2280" t="str">
        <f>"000338"</f>
        <v>000338</v>
      </c>
      <c r="C2280" t="s">
        <v>4886</v>
      </c>
      <c r="D2280" t="s">
        <v>348</v>
      </c>
      <c r="F2280">
        <v>203547703297</v>
      </c>
      <c r="G2280">
        <v>197491092926</v>
      </c>
      <c r="H2280">
        <v>174360892513</v>
      </c>
      <c r="I2280">
        <v>159255832287</v>
      </c>
      <c r="J2280">
        <v>151569392237</v>
      </c>
      <c r="K2280">
        <v>93183521385</v>
      </c>
      <c r="L2280">
        <v>73719915760</v>
      </c>
      <c r="M2280">
        <v>79637161537</v>
      </c>
      <c r="N2280">
        <v>58311713430</v>
      </c>
      <c r="O2280">
        <v>48165394850</v>
      </c>
      <c r="P2280">
        <v>3423</v>
      </c>
      <c r="Q2280" t="s">
        <v>4887</v>
      </c>
    </row>
    <row r="2281" spans="1:17" x14ac:dyDescent="0.3">
      <c r="A2281" t="s">
        <v>4729</v>
      </c>
      <c r="B2281" t="str">
        <f>"000400"</f>
        <v>000400</v>
      </c>
      <c r="C2281" t="s">
        <v>4888</v>
      </c>
      <c r="D2281" t="s">
        <v>610</v>
      </c>
      <c r="F2281">
        <v>11990697379</v>
      </c>
      <c r="G2281">
        <v>11191201681</v>
      </c>
      <c r="H2281">
        <v>10156082886</v>
      </c>
      <c r="I2281">
        <v>8216558728</v>
      </c>
      <c r="J2281">
        <v>10330721120</v>
      </c>
      <c r="K2281">
        <v>9607009638</v>
      </c>
      <c r="L2281">
        <v>7346300438</v>
      </c>
      <c r="M2281">
        <v>8359193648</v>
      </c>
      <c r="N2281">
        <v>7154625534</v>
      </c>
      <c r="O2281">
        <v>6611806304</v>
      </c>
      <c r="P2281">
        <v>690</v>
      </c>
      <c r="Q2281" t="s">
        <v>4889</v>
      </c>
    </row>
    <row r="2282" spans="1:17" x14ac:dyDescent="0.3">
      <c r="A2282" t="s">
        <v>4729</v>
      </c>
      <c r="B2282" t="str">
        <f>"000401"</f>
        <v>000401</v>
      </c>
      <c r="C2282" t="s">
        <v>4890</v>
      </c>
      <c r="D2282" t="s">
        <v>731</v>
      </c>
      <c r="F2282">
        <v>36337568644</v>
      </c>
      <c r="G2282">
        <v>35479631343</v>
      </c>
      <c r="H2282">
        <v>34507031965</v>
      </c>
      <c r="I2282">
        <v>30848580285</v>
      </c>
      <c r="J2282">
        <v>15289714131</v>
      </c>
      <c r="K2282">
        <v>12335154865</v>
      </c>
      <c r="L2282">
        <v>11108247821</v>
      </c>
      <c r="M2282">
        <v>15664735351</v>
      </c>
      <c r="N2282">
        <v>15710734473</v>
      </c>
      <c r="O2282">
        <v>14613339567</v>
      </c>
      <c r="P2282">
        <v>826</v>
      </c>
      <c r="Q2282" t="s">
        <v>4891</v>
      </c>
    </row>
    <row r="2283" spans="1:17" x14ac:dyDescent="0.3">
      <c r="A2283" t="s">
        <v>4729</v>
      </c>
      <c r="B2283" t="str">
        <f>"000402"</f>
        <v>000402</v>
      </c>
      <c r="C2283" t="s">
        <v>4892</v>
      </c>
      <c r="D2283" t="s">
        <v>30</v>
      </c>
      <c r="F2283">
        <v>24155313629</v>
      </c>
      <c r="G2283">
        <v>18121373449</v>
      </c>
      <c r="H2283">
        <v>26184015959</v>
      </c>
      <c r="I2283">
        <v>22113354259</v>
      </c>
      <c r="J2283">
        <v>25519340881</v>
      </c>
      <c r="K2283">
        <v>19852543654</v>
      </c>
      <c r="L2283">
        <v>15564750046</v>
      </c>
      <c r="M2283">
        <v>22035885739</v>
      </c>
      <c r="N2283">
        <v>19882571993</v>
      </c>
      <c r="O2283">
        <v>17233868061</v>
      </c>
      <c r="P2283">
        <v>972</v>
      </c>
      <c r="Q2283" t="s">
        <v>4893</v>
      </c>
    </row>
    <row r="2284" spans="1:17" x14ac:dyDescent="0.3">
      <c r="A2284" t="s">
        <v>4729</v>
      </c>
      <c r="B2284" t="str">
        <f>"000403"</f>
        <v>000403</v>
      </c>
      <c r="C2284" t="s">
        <v>4894</v>
      </c>
      <c r="D2284" t="s">
        <v>378</v>
      </c>
      <c r="F2284">
        <v>1971734316</v>
      </c>
      <c r="G2284">
        <v>1049937691</v>
      </c>
      <c r="H2284">
        <v>915656569</v>
      </c>
      <c r="I2284">
        <v>859843305</v>
      </c>
      <c r="J2284">
        <v>685378117</v>
      </c>
      <c r="K2284">
        <v>561213911</v>
      </c>
      <c r="L2284">
        <v>500269283</v>
      </c>
      <c r="M2284">
        <v>489495708</v>
      </c>
      <c r="N2284">
        <v>477715809</v>
      </c>
      <c r="O2284">
        <v>469824200</v>
      </c>
      <c r="P2284">
        <v>294</v>
      </c>
      <c r="Q2284" t="s">
        <v>4895</v>
      </c>
    </row>
    <row r="2285" spans="1:17" x14ac:dyDescent="0.3">
      <c r="A2285" t="s">
        <v>4729</v>
      </c>
      <c r="B2285" t="str">
        <f>"000404"</f>
        <v>000404</v>
      </c>
      <c r="C2285" t="s">
        <v>4896</v>
      </c>
      <c r="D2285" t="s">
        <v>1253</v>
      </c>
      <c r="F2285">
        <v>13199061830</v>
      </c>
      <c r="G2285">
        <v>10452989087</v>
      </c>
      <c r="H2285">
        <v>9589210837</v>
      </c>
      <c r="I2285">
        <v>8910813202</v>
      </c>
      <c r="J2285">
        <v>8114110396</v>
      </c>
      <c r="K2285">
        <v>6965088879</v>
      </c>
      <c r="L2285">
        <v>6856156786</v>
      </c>
      <c r="M2285">
        <v>7002905222</v>
      </c>
      <c r="N2285">
        <v>6710000404</v>
      </c>
      <c r="O2285">
        <v>5601432455</v>
      </c>
      <c r="P2285">
        <v>113</v>
      </c>
      <c r="Q2285" t="s">
        <v>4897</v>
      </c>
    </row>
    <row r="2286" spans="1:17" x14ac:dyDescent="0.3">
      <c r="A2286" t="s">
        <v>4729</v>
      </c>
      <c r="B2286" t="str">
        <f>"000405"</f>
        <v>000405</v>
      </c>
      <c r="C2286" t="s">
        <v>4898</v>
      </c>
      <c r="K2286">
        <v>21277685.140000001</v>
      </c>
      <c r="L2286">
        <v>4996984.47</v>
      </c>
      <c r="M2286">
        <v>825242.72</v>
      </c>
      <c r="P2286">
        <v>3</v>
      </c>
      <c r="Q2286" t="s">
        <v>4899</v>
      </c>
    </row>
    <row r="2287" spans="1:17" x14ac:dyDescent="0.3">
      <c r="A2287" t="s">
        <v>4729</v>
      </c>
      <c r="B2287" t="str">
        <f>"000407"</f>
        <v>000407</v>
      </c>
      <c r="C2287" t="s">
        <v>4900</v>
      </c>
      <c r="D2287" t="s">
        <v>749</v>
      </c>
      <c r="F2287">
        <v>4547621826</v>
      </c>
      <c r="G2287">
        <v>4596360863</v>
      </c>
      <c r="H2287">
        <v>5348283403</v>
      </c>
      <c r="I2287">
        <v>4675800100</v>
      </c>
      <c r="J2287">
        <v>3827958841</v>
      </c>
      <c r="K2287">
        <v>2649794927</v>
      </c>
      <c r="L2287">
        <v>2509396736</v>
      </c>
      <c r="M2287">
        <v>2872310158</v>
      </c>
      <c r="N2287">
        <v>2232815928</v>
      </c>
      <c r="O2287">
        <v>2186659683</v>
      </c>
      <c r="P2287">
        <v>113</v>
      </c>
      <c r="Q2287" t="s">
        <v>4901</v>
      </c>
    </row>
    <row r="2288" spans="1:17" x14ac:dyDescent="0.3">
      <c r="A2288" t="s">
        <v>4729</v>
      </c>
      <c r="B2288" t="str">
        <f>"000408"</f>
        <v>000408</v>
      </c>
      <c r="C2288" t="s">
        <v>4902</v>
      </c>
      <c r="D2288" t="s">
        <v>3458</v>
      </c>
      <c r="F2288">
        <v>3622594323</v>
      </c>
      <c r="G2288">
        <v>1903487125</v>
      </c>
      <c r="H2288">
        <v>2018557841</v>
      </c>
      <c r="I2288">
        <v>2680568343</v>
      </c>
      <c r="J2288">
        <v>3173178485</v>
      </c>
      <c r="K2288">
        <v>2602884210</v>
      </c>
      <c r="L2288">
        <v>119903864</v>
      </c>
      <c r="M2288">
        <v>56645619</v>
      </c>
      <c r="N2288">
        <v>192608548</v>
      </c>
      <c r="O2288">
        <v>33253313</v>
      </c>
      <c r="P2288">
        <v>186</v>
      </c>
      <c r="Q2288" t="s">
        <v>4903</v>
      </c>
    </row>
    <row r="2289" spans="1:17" x14ac:dyDescent="0.3">
      <c r="A2289" t="s">
        <v>4729</v>
      </c>
      <c r="B2289" t="str">
        <f>"000409"</f>
        <v>000409</v>
      </c>
      <c r="C2289" t="s">
        <v>4904</v>
      </c>
      <c r="D2289" t="s">
        <v>110</v>
      </c>
      <c r="F2289">
        <v>508205585</v>
      </c>
      <c r="G2289">
        <v>2163457678</v>
      </c>
      <c r="H2289">
        <v>2219034235</v>
      </c>
      <c r="I2289">
        <v>3065394827</v>
      </c>
      <c r="J2289">
        <v>1430256957</v>
      </c>
      <c r="K2289">
        <v>2217396595</v>
      </c>
      <c r="L2289">
        <v>2219587709</v>
      </c>
      <c r="M2289">
        <v>317645555</v>
      </c>
      <c r="N2289">
        <v>409035653</v>
      </c>
      <c r="O2289">
        <v>299049613</v>
      </c>
      <c r="P2289">
        <v>75</v>
      </c>
      <c r="Q2289" t="s">
        <v>4905</v>
      </c>
    </row>
    <row r="2290" spans="1:17" x14ac:dyDescent="0.3">
      <c r="A2290" t="s">
        <v>4729</v>
      </c>
      <c r="B2290" t="str">
        <f>"000410"</f>
        <v>000410</v>
      </c>
      <c r="C2290" t="s">
        <v>4906</v>
      </c>
      <c r="D2290" t="s">
        <v>2321</v>
      </c>
      <c r="F2290">
        <v>1698768413</v>
      </c>
      <c r="G2290">
        <v>1343137454</v>
      </c>
      <c r="H2290">
        <v>1002138347</v>
      </c>
      <c r="I2290">
        <v>5014891508</v>
      </c>
      <c r="J2290">
        <v>4189236908</v>
      </c>
      <c r="K2290">
        <v>6243792556</v>
      </c>
      <c r="L2290">
        <v>6383900760</v>
      </c>
      <c r="M2290">
        <v>7814944029</v>
      </c>
      <c r="N2290">
        <v>7379062891</v>
      </c>
      <c r="O2290">
        <v>7786881203</v>
      </c>
      <c r="P2290">
        <v>101</v>
      </c>
      <c r="Q2290" t="s">
        <v>4907</v>
      </c>
    </row>
    <row r="2291" spans="1:17" x14ac:dyDescent="0.3">
      <c r="A2291" t="s">
        <v>4729</v>
      </c>
      <c r="B2291" t="str">
        <f>"000411"</f>
        <v>000411</v>
      </c>
      <c r="C2291" t="s">
        <v>4908</v>
      </c>
      <c r="D2291" t="s">
        <v>125</v>
      </c>
      <c r="F2291">
        <v>26730979471</v>
      </c>
      <c r="G2291">
        <v>25008204654</v>
      </c>
      <c r="H2291">
        <v>24600927156</v>
      </c>
      <c r="I2291">
        <v>20492140938</v>
      </c>
      <c r="J2291">
        <v>18907331041</v>
      </c>
      <c r="K2291">
        <v>17257326550</v>
      </c>
      <c r="L2291">
        <v>15466436916</v>
      </c>
      <c r="M2291">
        <v>14073811136</v>
      </c>
      <c r="N2291">
        <v>12369304351</v>
      </c>
      <c r="O2291">
        <v>10589954545</v>
      </c>
      <c r="P2291">
        <v>236</v>
      </c>
      <c r="Q2291" t="s">
        <v>4909</v>
      </c>
    </row>
    <row r="2292" spans="1:17" x14ac:dyDescent="0.3">
      <c r="A2292" t="s">
        <v>4729</v>
      </c>
      <c r="B2292" t="str">
        <f>"000413"</f>
        <v>000413</v>
      </c>
      <c r="C2292" t="s">
        <v>4910</v>
      </c>
      <c r="D2292" t="s">
        <v>1117</v>
      </c>
      <c r="F2292">
        <v>5631943235</v>
      </c>
      <c r="G2292">
        <v>7048745959</v>
      </c>
      <c r="H2292">
        <v>17528752786</v>
      </c>
      <c r="I2292">
        <v>28211700021</v>
      </c>
      <c r="J2292">
        <v>17336364158</v>
      </c>
      <c r="K2292">
        <v>6901321123</v>
      </c>
      <c r="L2292">
        <v>4650208448</v>
      </c>
      <c r="M2292">
        <v>2143398018</v>
      </c>
      <c r="N2292">
        <v>931900683</v>
      </c>
      <c r="O2292">
        <v>778935170</v>
      </c>
      <c r="P2292">
        <v>525</v>
      </c>
      <c r="Q2292" t="s">
        <v>4911</v>
      </c>
    </row>
    <row r="2293" spans="1:17" x14ac:dyDescent="0.3">
      <c r="A2293" t="s">
        <v>4729</v>
      </c>
      <c r="B2293" t="str">
        <f>"000415"</f>
        <v>000415</v>
      </c>
      <c r="C2293" t="s">
        <v>4912</v>
      </c>
      <c r="D2293" t="s">
        <v>336</v>
      </c>
      <c r="F2293">
        <v>26790611000</v>
      </c>
      <c r="G2293">
        <v>27417721000</v>
      </c>
      <c r="H2293">
        <v>38802730000</v>
      </c>
      <c r="I2293">
        <v>41290683000</v>
      </c>
      <c r="J2293">
        <v>35934351000</v>
      </c>
      <c r="K2293">
        <v>24257548000</v>
      </c>
      <c r="L2293">
        <v>9659023000</v>
      </c>
      <c r="M2293">
        <v>6851955000</v>
      </c>
      <c r="N2293">
        <v>6376492000</v>
      </c>
      <c r="O2293">
        <v>2491838796</v>
      </c>
      <c r="P2293">
        <v>256</v>
      </c>
      <c r="Q2293" t="s">
        <v>4913</v>
      </c>
    </row>
    <row r="2294" spans="1:17" x14ac:dyDescent="0.3">
      <c r="A2294" t="s">
        <v>4729</v>
      </c>
      <c r="B2294" t="str">
        <f>"000416"</f>
        <v>000416</v>
      </c>
      <c r="C2294" t="s">
        <v>4914</v>
      </c>
      <c r="D2294" t="s">
        <v>140</v>
      </c>
      <c r="F2294">
        <v>6645548</v>
      </c>
      <c r="G2294">
        <v>11177568</v>
      </c>
      <c r="H2294">
        <v>6915252</v>
      </c>
      <c r="I2294">
        <v>80611256</v>
      </c>
      <c r="J2294">
        <v>71418431</v>
      </c>
      <c r="K2294">
        <v>282220837</v>
      </c>
      <c r="L2294">
        <v>185471130</v>
      </c>
      <c r="M2294">
        <v>455825898</v>
      </c>
      <c r="N2294">
        <v>482258450</v>
      </c>
      <c r="O2294">
        <v>485741294</v>
      </c>
      <c r="P2294">
        <v>119</v>
      </c>
      <c r="Q2294" t="s">
        <v>4915</v>
      </c>
    </row>
    <row r="2295" spans="1:17" x14ac:dyDescent="0.3">
      <c r="A2295" t="s">
        <v>4729</v>
      </c>
      <c r="B2295" t="str">
        <f>"000417"</f>
        <v>000417</v>
      </c>
      <c r="C2295" t="s">
        <v>4916</v>
      </c>
      <c r="D2295" t="s">
        <v>633</v>
      </c>
      <c r="F2295">
        <v>6337791187</v>
      </c>
      <c r="G2295">
        <v>6329742207</v>
      </c>
      <c r="H2295">
        <v>10908554054</v>
      </c>
      <c r="I2295">
        <v>10681935554</v>
      </c>
      <c r="J2295">
        <v>10389909723</v>
      </c>
      <c r="K2295">
        <v>9735838430</v>
      </c>
      <c r="L2295">
        <v>9764772046</v>
      </c>
      <c r="M2295">
        <v>9972174510</v>
      </c>
      <c r="N2295">
        <v>9910007069</v>
      </c>
      <c r="O2295">
        <v>9105499645</v>
      </c>
      <c r="P2295">
        <v>145</v>
      </c>
      <c r="Q2295" t="s">
        <v>4917</v>
      </c>
    </row>
    <row r="2296" spans="1:17" x14ac:dyDescent="0.3">
      <c r="A2296" t="s">
        <v>4729</v>
      </c>
      <c r="B2296" t="str">
        <f>"000418"</f>
        <v>000418</v>
      </c>
      <c r="C2296" t="s">
        <v>4918</v>
      </c>
      <c r="I2296">
        <v>23636929478</v>
      </c>
      <c r="J2296">
        <v>21384699077</v>
      </c>
      <c r="K2296">
        <v>16334914502</v>
      </c>
      <c r="L2296">
        <v>13131626932.440001</v>
      </c>
      <c r="M2296">
        <v>10804217288.6</v>
      </c>
      <c r="N2296">
        <v>8727956044.3700008</v>
      </c>
      <c r="O2296">
        <v>6899863926.8100004</v>
      </c>
      <c r="P2296">
        <v>653</v>
      </c>
      <c r="Q2296" t="s">
        <v>4919</v>
      </c>
    </row>
    <row r="2297" spans="1:17" x14ac:dyDescent="0.3">
      <c r="A2297" t="s">
        <v>4729</v>
      </c>
      <c r="B2297" t="str">
        <f>"000419"</f>
        <v>000419</v>
      </c>
      <c r="C2297" t="s">
        <v>4920</v>
      </c>
      <c r="D2297" t="s">
        <v>1404</v>
      </c>
      <c r="F2297">
        <v>2154385212</v>
      </c>
      <c r="G2297">
        <v>2142960107</v>
      </c>
      <c r="H2297">
        <v>3455659922</v>
      </c>
      <c r="I2297">
        <v>3764613574</v>
      </c>
      <c r="J2297">
        <v>3923627320</v>
      </c>
      <c r="K2297">
        <v>3773952789</v>
      </c>
      <c r="L2297">
        <v>4164706228</v>
      </c>
      <c r="M2297">
        <v>4295322779</v>
      </c>
      <c r="N2297">
        <v>4263940213</v>
      </c>
      <c r="O2297">
        <v>3870194784</v>
      </c>
      <c r="P2297">
        <v>115</v>
      </c>
      <c r="Q2297" t="s">
        <v>4921</v>
      </c>
    </row>
    <row r="2298" spans="1:17" x14ac:dyDescent="0.3">
      <c r="A2298" t="s">
        <v>4729</v>
      </c>
      <c r="B2298" t="str">
        <f>"000420"</f>
        <v>000420</v>
      </c>
      <c r="C2298" t="s">
        <v>4922</v>
      </c>
      <c r="D2298" t="s">
        <v>888</v>
      </c>
      <c r="G2298">
        <v>2499714527</v>
      </c>
      <c r="H2298">
        <v>2690565540</v>
      </c>
      <c r="I2298">
        <v>2562401717</v>
      </c>
      <c r="J2298">
        <v>2197822695</v>
      </c>
      <c r="K2298">
        <v>1394519260</v>
      </c>
      <c r="L2298">
        <v>1036229680</v>
      </c>
      <c r="M2298">
        <v>1037011110</v>
      </c>
      <c r="N2298">
        <v>1394982704</v>
      </c>
      <c r="O2298">
        <v>1549588164</v>
      </c>
      <c r="P2298">
        <v>101</v>
      </c>
      <c r="Q2298" t="s">
        <v>4923</v>
      </c>
    </row>
    <row r="2299" spans="1:17" x14ac:dyDescent="0.3">
      <c r="A2299" t="s">
        <v>4729</v>
      </c>
      <c r="B2299" t="str">
        <f>"000421"</f>
        <v>000421</v>
      </c>
      <c r="C2299" t="s">
        <v>4924</v>
      </c>
      <c r="D2299" t="s">
        <v>749</v>
      </c>
      <c r="F2299">
        <v>3588708109</v>
      </c>
      <c r="G2299">
        <v>6839653807</v>
      </c>
      <c r="H2299">
        <v>3593702457</v>
      </c>
      <c r="I2299">
        <v>3507914295</v>
      </c>
      <c r="J2299">
        <v>3609320539</v>
      </c>
      <c r="K2299">
        <v>3887661967</v>
      </c>
      <c r="L2299">
        <v>3984062028</v>
      </c>
      <c r="M2299">
        <v>1571582055</v>
      </c>
      <c r="N2299">
        <v>1665709811</v>
      </c>
      <c r="O2299">
        <v>1759327240</v>
      </c>
      <c r="P2299">
        <v>159</v>
      </c>
      <c r="Q2299" t="s">
        <v>4925</v>
      </c>
    </row>
    <row r="2300" spans="1:17" x14ac:dyDescent="0.3">
      <c r="A2300" t="s">
        <v>4729</v>
      </c>
      <c r="B2300" t="str">
        <f>"000422"</f>
        <v>000422</v>
      </c>
      <c r="C2300" t="s">
        <v>4926</v>
      </c>
      <c r="D2300" t="s">
        <v>175</v>
      </c>
      <c r="F2300">
        <v>18544062134</v>
      </c>
      <c r="G2300">
        <v>13804699865</v>
      </c>
      <c r="H2300">
        <v>14660024897</v>
      </c>
      <c r="I2300">
        <v>12812265269</v>
      </c>
      <c r="J2300">
        <v>11955441537</v>
      </c>
      <c r="K2300">
        <v>15181929890</v>
      </c>
      <c r="L2300">
        <v>18337360261</v>
      </c>
      <c r="M2300">
        <v>18181913089</v>
      </c>
      <c r="N2300">
        <v>19279979584</v>
      </c>
      <c r="O2300">
        <v>19317607373</v>
      </c>
      <c r="P2300">
        <v>257</v>
      </c>
      <c r="Q2300" t="s">
        <v>4927</v>
      </c>
    </row>
    <row r="2301" spans="1:17" x14ac:dyDescent="0.3">
      <c r="A2301" t="s">
        <v>4729</v>
      </c>
      <c r="B2301" t="str">
        <f>"000423"</f>
        <v>000423</v>
      </c>
      <c r="C2301" t="s">
        <v>4928</v>
      </c>
      <c r="D2301" t="s">
        <v>188</v>
      </c>
      <c r="F2301">
        <v>3848985687</v>
      </c>
      <c r="G2301">
        <v>3409437164</v>
      </c>
      <c r="H2301">
        <v>2958622340</v>
      </c>
      <c r="I2301">
        <v>7338316223</v>
      </c>
      <c r="J2301">
        <v>7372340332</v>
      </c>
      <c r="K2301">
        <v>6317135286</v>
      </c>
      <c r="L2301">
        <v>5449663158</v>
      </c>
      <c r="M2301">
        <v>4009010468</v>
      </c>
      <c r="N2301">
        <v>4016304415</v>
      </c>
      <c r="O2301">
        <v>3056074264</v>
      </c>
      <c r="P2301">
        <v>24620</v>
      </c>
      <c r="Q2301" t="s">
        <v>4929</v>
      </c>
    </row>
    <row r="2302" spans="1:17" x14ac:dyDescent="0.3">
      <c r="A2302" t="s">
        <v>4729</v>
      </c>
      <c r="B2302" t="str">
        <f>"000425"</f>
        <v>000425</v>
      </c>
      <c r="C2302" t="s">
        <v>4930</v>
      </c>
      <c r="D2302" t="s">
        <v>83</v>
      </c>
      <c r="F2302">
        <v>84327579230</v>
      </c>
      <c r="G2302">
        <v>73968148563</v>
      </c>
      <c r="H2302">
        <v>59175998918</v>
      </c>
      <c r="I2302">
        <v>44410005648</v>
      </c>
      <c r="J2302">
        <v>29131104626</v>
      </c>
      <c r="K2302">
        <v>16891229923</v>
      </c>
      <c r="L2302">
        <v>16657829345</v>
      </c>
      <c r="M2302">
        <v>23306280782</v>
      </c>
      <c r="N2302">
        <v>26994743025</v>
      </c>
      <c r="O2302">
        <v>32132446476</v>
      </c>
      <c r="P2302">
        <v>961</v>
      </c>
      <c r="Q2302" t="s">
        <v>4931</v>
      </c>
    </row>
    <row r="2303" spans="1:17" x14ac:dyDescent="0.3">
      <c r="A2303" t="s">
        <v>4729</v>
      </c>
      <c r="B2303" t="str">
        <f>"000426"</f>
        <v>000426</v>
      </c>
      <c r="C2303" t="s">
        <v>4932</v>
      </c>
      <c r="D2303" t="s">
        <v>744</v>
      </c>
      <c r="F2303">
        <v>2008804402</v>
      </c>
      <c r="G2303">
        <v>940212541</v>
      </c>
      <c r="H2303">
        <v>873661362</v>
      </c>
      <c r="I2303">
        <v>2439000200</v>
      </c>
      <c r="J2303">
        <v>2111439099</v>
      </c>
      <c r="K2303">
        <v>865709634</v>
      </c>
      <c r="L2303">
        <v>829713413</v>
      </c>
      <c r="M2303">
        <v>1159387326</v>
      </c>
      <c r="N2303">
        <v>826904500</v>
      </c>
      <c r="O2303">
        <v>884503068</v>
      </c>
      <c r="P2303">
        <v>202</v>
      </c>
      <c r="Q2303" t="s">
        <v>4933</v>
      </c>
    </row>
    <row r="2304" spans="1:17" x14ac:dyDescent="0.3">
      <c r="A2304" t="s">
        <v>4729</v>
      </c>
      <c r="B2304" t="str">
        <f>"000428"</f>
        <v>000428</v>
      </c>
      <c r="C2304" t="s">
        <v>4934</v>
      </c>
      <c r="D2304" t="s">
        <v>590</v>
      </c>
      <c r="F2304">
        <v>594149456</v>
      </c>
      <c r="G2304">
        <v>515378323</v>
      </c>
      <c r="H2304">
        <v>1110553010</v>
      </c>
      <c r="I2304">
        <v>958129548</v>
      </c>
      <c r="J2304">
        <v>1063094355</v>
      </c>
      <c r="K2304">
        <v>1003776514</v>
      </c>
      <c r="L2304">
        <v>1194594745</v>
      </c>
      <c r="M2304">
        <v>1514374503</v>
      </c>
      <c r="N2304">
        <v>1780991430</v>
      </c>
      <c r="O2304">
        <v>1645126914</v>
      </c>
      <c r="P2304">
        <v>104</v>
      </c>
      <c r="Q2304" t="s">
        <v>4935</v>
      </c>
    </row>
    <row r="2305" spans="1:17" x14ac:dyDescent="0.3">
      <c r="A2305" t="s">
        <v>4729</v>
      </c>
      <c r="B2305" t="str">
        <f>"000429"</f>
        <v>000429</v>
      </c>
      <c r="C2305" t="s">
        <v>4936</v>
      </c>
      <c r="D2305" t="s">
        <v>44</v>
      </c>
      <c r="F2305">
        <v>5288057678</v>
      </c>
      <c r="G2305">
        <v>3790348876</v>
      </c>
      <c r="H2305">
        <v>3057935584</v>
      </c>
      <c r="I2305">
        <v>3218694084</v>
      </c>
      <c r="J2305">
        <v>3089055399</v>
      </c>
      <c r="K2305">
        <v>2825049808</v>
      </c>
      <c r="L2305">
        <v>1545498589</v>
      </c>
      <c r="M2305">
        <v>1455054984</v>
      </c>
      <c r="N2305">
        <v>1327506120</v>
      </c>
      <c r="O2305">
        <v>1105716815</v>
      </c>
      <c r="P2305">
        <v>1028</v>
      </c>
      <c r="Q2305" t="s">
        <v>4937</v>
      </c>
    </row>
    <row r="2306" spans="1:17" x14ac:dyDescent="0.3">
      <c r="A2306" t="s">
        <v>4729</v>
      </c>
      <c r="B2306" t="str">
        <f>"000430"</f>
        <v>000430</v>
      </c>
      <c r="C2306" t="s">
        <v>4938</v>
      </c>
      <c r="D2306" t="s">
        <v>119</v>
      </c>
      <c r="F2306">
        <v>198709254</v>
      </c>
      <c r="G2306">
        <v>169196685</v>
      </c>
      <c r="H2306">
        <v>425258692</v>
      </c>
      <c r="I2306">
        <v>468393863</v>
      </c>
      <c r="J2306">
        <v>549649582</v>
      </c>
      <c r="K2306">
        <v>592183265</v>
      </c>
      <c r="L2306">
        <v>674880018</v>
      </c>
      <c r="M2306">
        <v>484009428</v>
      </c>
      <c r="N2306">
        <v>500319900</v>
      </c>
      <c r="O2306">
        <v>682499736</v>
      </c>
      <c r="P2306">
        <v>109</v>
      </c>
      <c r="Q2306" t="s">
        <v>4939</v>
      </c>
    </row>
    <row r="2307" spans="1:17" x14ac:dyDescent="0.3">
      <c r="A2307" t="s">
        <v>4729</v>
      </c>
      <c r="B2307" t="str">
        <f>"000488"</f>
        <v>000488</v>
      </c>
      <c r="C2307" t="s">
        <v>4940</v>
      </c>
      <c r="D2307" t="s">
        <v>694</v>
      </c>
      <c r="F2307">
        <v>33019812294</v>
      </c>
      <c r="G2307">
        <v>30736517997</v>
      </c>
      <c r="H2307">
        <v>30395434073</v>
      </c>
      <c r="I2307">
        <v>28875756164</v>
      </c>
      <c r="J2307">
        <v>29472453564</v>
      </c>
      <c r="K2307">
        <v>22907118242</v>
      </c>
      <c r="L2307">
        <v>20192643491</v>
      </c>
      <c r="M2307">
        <v>19101677078</v>
      </c>
      <c r="N2307">
        <v>20388890067</v>
      </c>
      <c r="O2307">
        <v>19761679230</v>
      </c>
      <c r="P2307">
        <v>1270</v>
      </c>
      <c r="Q2307" t="s">
        <v>4941</v>
      </c>
    </row>
    <row r="2308" spans="1:17" x14ac:dyDescent="0.3">
      <c r="A2308" t="s">
        <v>4729</v>
      </c>
      <c r="B2308" t="str">
        <f>"000498"</f>
        <v>000498</v>
      </c>
      <c r="C2308" t="s">
        <v>4942</v>
      </c>
      <c r="D2308" t="s">
        <v>101</v>
      </c>
      <c r="F2308">
        <v>57522290251</v>
      </c>
      <c r="G2308">
        <v>34437327009</v>
      </c>
      <c r="H2308">
        <v>23260476870</v>
      </c>
      <c r="I2308">
        <v>14768382699</v>
      </c>
      <c r="J2308">
        <v>12384729808</v>
      </c>
      <c r="K2308">
        <v>8147651273</v>
      </c>
      <c r="L2308">
        <v>7418690060</v>
      </c>
      <c r="M2308">
        <v>6842245526</v>
      </c>
      <c r="N2308">
        <v>7161339075</v>
      </c>
      <c r="O2308">
        <v>6554413473</v>
      </c>
      <c r="P2308">
        <v>276</v>
      </c>
      <c r="Q2308" t="s">
        <v>4943</v>
      </c>
    </row>
    <row r="2309" spans="1:17" x14ac:dyDescent="0.3">
      <c r="A2309" t="s">
        <v>4729</v>
      </c>
      <c r="B2309" t="str">
        <f>"000501"</f>
        <v>000501</v>
      </c>
      <c r="C2309" t="s">
        <v>4944</v>
      </c>
      <c r="D2309" t="s">
        <v>633</v>
      </c>
      <c r="F2309">
        <v>7126519207</v>
      </c>
      <c r="G2309">
        <v>7639434715</v>
      </c>
      <c r="H2309">
        <v>17756087656</v>
      </c>
      <c r="I2309">
        <v>17705560680</v>
      </c>
      <c r="J2309">
        <v>18122098736</v>
      </c>
      <c r="K2309">
        <v>17689641583</v>
      </c>
      <c r="L2309">
        <v>17523657755</v>
      </c>
      <c r="M2309">
        <v>17160842232</v>
      </c>
      <c r="N2309">
        <v>16842055893</v>
      </c>
      <c r="O2309">
        <v>14901506305</v>
      </c>
      <c r="P2309">
        <v>6225</v>
      </c>
      <c r="Q2309" t="s">
        <v>4945</v>
      </c>
    </row>
    <row r="2310" spans="1:17" x14ac:dyDescent="0.3">
      <c r="A2310" t="s">
        <v>4729</v>
      </c>
      <c r="B2310" t="str">
        <f>"000502"</f>
        <v>000502</v>
      </c>
      <c r="C2310" t="s">
        <v>4946</v>
      </c>
      <c r="D2310" t="s">
        <v>2975</v>
      </c>
      <c r="F2310">
        <v>172627791</v>
      </c>
      <c r="G2310">
        <v>14740140</v>
      </c>
      <c r="H2310">
        <v>16318725</v>
      </c>
      <c r="I2310">
        <v>17414275</v>
      </c>
      <c r="J2310">
        <v>22061343</v>
      </c>
      <c r="K2310">
        <v>299501457</v>
      </c>
      <c r="L2310">
        <v>19764545</v>
      </c>
      <c r="M2310">
        <v>61162318</v>
      </c>
      <c r="N2310">
        <v>29018205</v>
      </c>
      <c r="O2310">
        <v>33389274</v>
      </c>
      <c r="P2310">
        <v>85</v>
      </c>
      <c r="Q2310" t="s">
        <v>4947</v>
      </c>
    </row>
    <row r="2311" spans="1:17" x14ac:dyDescent="0.3">
      <c r="A2311" t="s">
        <v>4729</v>
      </c>
      <c r="B2311" t="str">
        <f>"000503"</f>
        <v>000503</v>
      </c>
      <c r="C2311" t="s">
        <v>4948</v>
      </c>
      <c r="D2311" t="s">
        <v>945</v>
      </c>
      <c r="F2311">
        <v>252515005</v>
      </c>
      <c r="G2311">
        <v>207372158</v>
      </c>
      <c r="H2311">
        <v>129912816</v>
      </c>
      <c r="I2311">
        <v>95480022</v>
      </c>
      <c r="J2311">
        <v>183993715</v>
      </c>
      <c r="K2311">
        <v>216833348</v>
      </c>
      <c r="L2311">
        <v>193827323</v>
      </c>
      <c r="M2311">
        <v>195071369</v>
      </c>
      <c r="N2311">
        <v>205906599</v>
      </c>
      <c r="O2311">
        <v>192936835</v>
      </c>
      <c r="P2311">
        <v>174</v>
      </c>
      <c r="Q2311" t="s">
        <v>4949</v>
      </c>
    </row>
    <row r="2312" spans="1:17" x14ac:dyDescent="0.3">
      <c r="A2312" t="s">
        <v>4729</v>
      </c>
      <c r="B2312" t="str">
        <f>"000504"</f>
        <v>000504</v>
      </c>
      <c r="C2312" t="s">
        <v>4950</v>
      </c>
      <c r="D2312" t="s">
        <v>4237</v>
      </c>
      <c r="F2312">
        <v>156618305</v>
      </c>
      <c r="G2312">
        <v>175564990</v>
      </c>
      <c r="H2312">
        <v>134160532</v>
      </c>
      <c r="I2312">
        <v>95381715</v>
      </c>
      <c r="J2312">
        <v>67392990</v>
      </c>
      <c r="K2312">
        <v>67251431</v>
      </c>
      <c r="L2312">
        <v>13374223</v>
      </c>
      <c r="M2312">
        <v>18372829</v>
      </c>
      <c r="N2312">
        <v>26280915</v>
      </c>
      <c r="O2312">
        <v>76816619</v>
      </c>
      <c r="P2312">
        <v>85</v>
      </c>
      <c r="Q2312" t="s">
        <v>4951</v>
      </c>
    </row>
    <row r="2313" spans="1:17" x14ac:dyDescent="0.3">
      <c r="A2313" t="s">
        <v>4729</v>
      </c>
      <c r="B2313" t="str">
        <f>"000505"</f>
        <v>000505</v>
      </c>
      <c r="C2313" t="s">
        <v>4952</v>
      </c>
      <c r="D2313" t="s">
        <v>306</v>
      </c>
      <c r="F2313">
        <v>11763093836</v>
      </c>
      <c r="G2313">
        <v>8741749912</v>
      </c>
      <c r="H2313">
        <v>7440286466</v>
      </c>
      <c r="I2313">
        <v>7409124303</v>
      </c>
      <c r="J2313">
        <v>7917639044</v>
      </c>
      <c r="K2313">
        <v>969140915</v>
      </c>
      <c r="L2313">
        <v>267068751</v>
      </c>
      <c r="M2313">
        <v>238904161</v>
      </c>
      <c r="N2313">
        <v>225308239</v>
      </c>
      <c r="O2313">
        <v>204015078</v>
      </c>
      <c r="P2313">
        <v>193</v>
      </c>
      <c r="Q2313" t="s">
        <v>4953</v>
      </c>
    </row>
    <row r="2314" spans="1:17" x14ac:dyDescent="0.3">
      <c r="A2314" t="s">
        <v>4729</v>
      </c>
      <c r="B2314" t="str">
        <f>"000506"</f>
        <v>000506</v>
      </c>
      <c r="C2314" t="s">
        <v>4954</v>
      </c>
      <c r="D2314" t="s">
        <v>104</v>
      </c>
      <c r="F2314">
        <v>906438329</v>
      </c>
      <c r="G2314">
        <v>425054419</v>
      </c>
      <c r="H2314">
        <v>515388115</v>
      </c>
      <c r="I2314">
        <v>496460232</v>
      </c>
      <c r="J2314">
        <v>769082244</v>
      </c>
      <c r="K2314">
        <v>812133014</v>
      </c>
      <c r="L2314">
        <v>1387828477</v>
      </c>
      <c r="M2314">
        <v>357155267</v>
      </c>
      <c r="N2314">
        <v>907194421</v>
      </c>
      <c r="O2314">
        <v>1070614948</v>
      </c>
      <c r="P2314">
        <v>85</v>
      </c>
      <c r="Q2314" t="s">
        <v>4955</v>
      </c>
    </row>
    <row r="2315" spans="1:17" x14ac:dyDescent="0.3">
      <c r="A2315" t="s">
        <v>4729</v>
      </c>
      <c r="B2315" t="str">
        <f>"000507"</f>
        <v>000507</v>
      </c>
      <c r="C2315" t="s">
        <v>4956</v>
      </c>
      <c r="D2315" t="s">
        <v>51</v>
      </c>
      <c r="F2315">
        <v>6381360328</v>
      </c>
      <c r="G2315">
        <v>3535312830</v>
      </c>
      <c r="H2315">
        <v>3321817006</v>
      </c>
      <c r="I2315">
        <v>2614962979</v>
      </c>
      <c r="J2315">
        <v>1860636424</v>
      </c>
      <c r="K2315">
        <v>1801125933</v>
      </c>
      <c r="L2315">
        <v>2022660446</v>
      </c>
      <c r="M2315">
        <v>2139037978</v>
      </c>
      <c r="N2315">
        <v>1291102070</v>
      </c>
      <c r="O2315">
        <v>654375538</v>
      </c>
      <c r="P2315">
        <v>185</v>
      </c>
      <c r="Q2315" t="s">
        <v>4957</v>
      </c>
    </row>
    <row r="2316" spans="1:17" x14ac:dyDescent="0.3">
      <c r="A2316" t="s">
        <v>4729</v>
      </c>
      <c r="B2316" t="str">
        <f>"000509"</f>
        <v>000509</v>
      </c>
      <c r="C2316" t="s">
        <v>4958</v>
      </c>
      <c r="D2316" t="s">
        <v>1147</v>
      </c>
      <c r="F2316">
        <v>294590261</v>
      </c>
      <c r="G2316">
        <v>50084400</v>
      </c>
      <c r="H2316">
        <v>70122115</v>
      </c>
      <c r="I2316">
        <v>1209103969</v>
      </c>
      <c r="J2316">
        <v>2240890268</v>
      </c>
      <c r="K2316">
        <v>78835009</v>
      </c>
      <c r="L2316">
        <v>176836704</v>
      </c>
      <c r="M2316">
        <v>226575940</v>
      </c>
      <c r="N2316">
        <v>272046414</v>
      </c>
      <c r="O2316">
        <v>304058917</v>
      </c>
      <c r="P2316">
        <v>84</v>
      </c>
      <c r="Q2316" t="s">
        <v>4959</v>
      </c>
    </row>
    <row r="2317" spans="1:17" x14ac:dyDescent="0.3">
      <c r="A2317" t="s">
        <v>4729</v>
      </c>
      <c r="B2317" t="str">
        <f>"000510"</f>
        <v>000510</v>
      </c>
      <c r="C2317" t="s">
        <v>4960</v>
      </c>
      <c r="D2317" t="s">
        <v>175</v>
      </c>
      <c r="F2317">
        <v>2978100415</v>
      </c>
      <c r="G2317">
        <v>2206963016</v>
      </c>
      <c r="H2317">
        <v>2319065344</v>
      </c>
      <c r="I2317">
        <v>2069391204</v>
      </c>
      <c r="J2317">
        <v>1728148686</v>
      </c>
      <c r="K2317">
        <v>1534154238</v>
      </c>
      <c r="L2317">
        <v>1620089248</v>
      </c>
      <c r="M2317">
        <v>2052186512</v>
      </c>
      <c r="N2317">
        <v>2005537958</v>
      </c>
      <c r="O2317">
        <v>2172665059</v>
      </c>
      <c r="P2317">
        <v>128</v>
      </c>
      <c r="Q2317" t="s">
        <v>4961</v>
      </c>
    </row>
    <row r="2318" spans="1:17" x14ac:dyDescent="0.3">
      <c r="A2318" t="s">
        <v>4729</v>
      </c>
      <c r="B2318" t="str">
        <f>"000511"</f>
        <v>000511</v>
      </c>
      <c r="C2318" t="s">
        <v>4962</v>
      </c>
      <c r="J2318">
        <v>2412289097</v>
      </c>
      <c r="K2318">
        <v>1415664715</v>
      </c>
      <c r="L2318">
        <v>1116149630.1099999</v>
      </c>
      <c r="M2318">
        <v>1650271820.6300001</v>
      </c>
      <c r="N2318">
        <v>636829772.17999995</v>
      </c>
      <c r="O2318">
        <v>666658989.65999997</v>
      </c>
      <c r="P2318">
        <v>14</v>
      </c>
      <c r="Q2318" t="s">
        <v>4963</v>
      </c>
    </row>
    <row r="2319" spans="1:17" x14ac:dyDescent="0.3">
      <c r="A2319" t="s">
        <v>4729</v>
      </c>
      <c r="B2319" t="str">
        <f>"000513"</f>
        <v>000513</v>
      </c>
      <c r="C2319" t="s">
        <v>4964</v>
      </c>
      <c r="D2319" t="s">
        <v>143</v>
      </c>
      <c r="F2319">
        <v>12063863273</v>
      </c>
      <c r="G2319">
        <v>10520409842</v>
      </c>
      <c r="H2319">
        <v>9384695835</v>
      </c>
      <c r="I2319">
        <v>8860655671</v>
      </c>
      <c r="J2319">
        <v>8530968597</v>
      </c>
      <c r="K2319">
        <v>7651775285</v>
      </c>
      <c r="L2319">
        <v>6620516537</v>
      </c>
      <c r="M2319">
        <v>5544233778</v>
      </c>
      <c r="N2319">
        <v>4618680041</v>
      </c>
      <c r="O2319">
        <v>3943525305</v>
      </c>
      <c r="P2319">
        <v>1622</v>
      </c>
      <c r="Q2319" t="s">
        <v>4965</v>
      </c>
    </row>
    <row r="2320" spans="1:17" x14ac:dyDescent="0.3">
      <c r="A2320" t="s">
        <v>4729</v>
      </c>
      <c r="B2320" t="str">
        <f>"000514"</f>
        <v>000514</v>
      </c>
      <c r="C2320" t="s">
        <v>4966</v>
      </c>
      <c r="D2320" t="s">
        <v>104</v>
      </c>
      <c r="F2320">
        <v>1186854732</v>
      </c>
      <c r="G2320">
        <v>624012309</v>
      </c>
      <c r="H2320">
        <v>865676635</v>
      </c>
      <c r="I2320">
        <v>540039459</v>
      </c>
      <c r="J2320">
        <v>1040852829</v>
      </c>
      <c r="K2320">
        <v>682625575</v>
      </c>
      <c r="L2320">
        <v>1155040015</v>
      </c>
      <c r="M2320">
        <v>1947008903</v>
      </c>
      <c r="N2320">
        <v>923686607</v>
      </c>
      <c r="O2320">
        <v>608252997</v>
      </c>
      <c r="P2320">
        <v>113</v>
      </c>
      <c r="Q2320" t="s">
        <v>4967</v>
      </c>
    </row>
    <row r="2321" spans="1:17" x14ac:dyDescent="0.3">
      <c r="A2321" t="s">
        <v>4729</v>
      </c>
      <c r="B2321" t="str">
        <f>"000516"</f>
        <v>000516</v>
      </c>
      <c r="C2321" t="s">
        <v>4968</v>
      </c>
      <c r="D2321" t="s">
        <v>1147</v>
      </c>
      <c r="F2321">
        <v>2921127110</v>
      </c>
      <c r="G2321">
        <v>1606986017</v>
      </c>
      <c r="H2321">
        <v>990952681</v>
      </c>
      <c r="I2321">
        <v>2039345794</v>
      </c>
      <c r="J2321">
        <v>4059500795</v>
      </c>
      <c r="K2321">
        <v>3930682020</v>
      </c>
      <c r="L2321">
        <v>3900369459</v>
      </c>
      <c r="M2321">
        <v>3883347061</v>
      </c>
      <c r="N2321">
        <v>3565673576</v>
      </c>
      <c r="O2321">
        <v>3402643166</v>
      </c>
      <c r="P2321">
        <v>405</v>
      </c>
      <c r="Q2321" t="s">
        <v>4969</v>
      </c>
    </row>
    <row r="2322" spans="1:17" x14ac:dyDescent="0.3">
      <c r="A2322" t="s">
        <v>4729</v>
      </c>
      <c r="B2322" t="str">
        <f>"000517"</f>
        <v>000517</v>
      </c>
      <c r="C2322" t="s">
        <v>4970</v>
      </c>
      <c r="D2322" t="s">
        <v>104</v>
      </c>
      <c r="F2322">
        <v>18181354592</v>
      </c>
      <c r="G2322">
        <v>11177718085</v>
      </c>
      <c r="H2322">
        <v>6662579241</v>
      </c>
      <c r="I2322">
        <v>3967768926</v>
      </c>
      <c r="J2322">
        <v>4264215144</v>
      </c>
      <c r="K2322">
        <v>1727638859</v>
      </c>
      <c r="L2322">
        <v>1124460991</v>
      </c>
      <c r="M2322">
        <v>3433731682</v>
      </c>
      <c r="N2322">
        <v>4641847694</v>
      </c>
      <c r="O2322">
        <v>2056054459</v>
      </c>
      <c r="P2322">
        <v>312</v>
      </c>
      <c r="Q2322" t="s">
        <v>4971</v>
      </c>
    </row>
    <row r="2323" spans="1:17" x14ac:dyDescent="0.3">
      <c r="A2323" t="s">
        <v>4729</v>
      </c>
      <c r="B2323" t="str">
        <f>"000518"</f>
        <v>000518</v>
      </c>
      <c r="C2323" t="s">
        <v>4972</v>
      </c>
      <c r="D2323" t="s">
        <v>1379</v>
      </c>
      <c r="F2323">
        <v>350961776</v>
      </c>
      <c r="G2323">
        <v>505399427</v>
      </c>
      <c r="H2323">
        <v>417878240</v>
      </c>
      <c r="I2323">
        <v>395514080</v>
      </c>
      <c r="J2323">
        <v>346054647</v>
      </c>
      <c r="K2323">
        <v>327313301</v>
      </c>
      <c r="L2323">
        <v>237843810</v>
      </c>
      <c r="M2323">
        <v>241230725</v>
      </c>
      <c r="N2323">
        <v>208745144</v>
      </c>
      <c r="O2323">
        <v>262466969</v>
      </c>
      <c r="P2323">
        <v>171</v>
      </c>
      <c r="Q2323" t="s">
        <v>4973</v>
      </c>
    </row>
    <row r="2324" spans="1:17" x14ac:dyDescent="0.3">
      <c r="A2324" t="s">
        <v>4729</v>
      </c>
      <c r="B2324" t="str">
        <f>"000519"</f>
        <v>000519</v>
      </c>
      <c r="C2324" t="s">
        <v>4974</v>
      </c>
      <c r="D2324" t="s">
        <v>428</v>
      </c>
      <c r="F2324">
        <v>7513662652</v>
      </c>
      <c r="G2324">
        <v>6463015338</v>
      </c>
      <c r="H2324">
        <v>5321631282</v>
      </c>
      <c r="I2324">
        <v>4953589010</v>
      </c>
      <c r="J2324">
        <v>4775366633</v>
      </c>
      <c r="K2324">
        <v>3800912381</v>
      </c>
      <c r="L2324">
        <v>1529516805</v>
      </c>
      <c r="M2324">
        <v>2035733241</v>
      </c>
      <c r="N2324">
        <v>2080289059</v>
      </c>
      <c r="O2324">
        <v>302046583</v>
      </c>
      <c r="P2324">
        <v>334</v>
      </c>
      <c r="Q2324" t="s">
        <v>4975</v>
      </c>
    </row>
    <row r="2325" spans="1:17" x14ac:dyDescent="0.3">
      <c r="A2325" t="s">
        <v>4729</v>
      </c>
      <c r="B2325" t="str">
        <f>"000520"</f>
        <v>000520</v>
      </c>
      <c r="C2325" t="s">
        <v>4976</v>
      </c>
      <c r="D2325" t="s">
        <v>69</v>
      </c>
      <c r="F2325">
        <v>934885216</v>
      </c>
      <c r="G2325">
        <v>715103028</v>
      </c>
      <c r="H2325">
        <v>792432040</v>
      </c>
      <c r="I2325">
        <v>840539700</v>
      </c>
      <c r="J2325">
        <v>832431957</v>
      </c>
      <c r="K2325">
        <v>712101076</v>
      </c>
      <c r="L2325">
        <v>769989735</v>
      </c>
      <c r="M2325">
        <v>981874961</v>
      </c>
      <c r="N2325">
        <v>1354199209</v>
      </c>
      <c r="O2325">
        <v>2108090393</v>
      </c>
      <c r="P2325">
        <v>110</v>
      </c>
      <c r="Q2325" t="s">
        <v>4977</v>
      </c>
    </row>
    <row r="2326" spans="1:17" x14ac:dyDescent="0.3">
      <c r="A2326" t="s">
        <v>4729</v>
      </c>
      <c r="B2326" t="str">
        <f>"000521"</f>
        <v>000521</v>
      </c>
      <c r="C2326" t="s">
        <v>4978</v>
      </c>
      <c r="D2326" t="s">
        <v>754</v>
      </c>
      <c r="F2326">
        <v>18032957501</v>
      </c>
      <c r="G2326">
        <v>15388050230</v>
      </c>
      <c r="H2326">
        <v>16553252895</v>
      </c>
      <c r="I2326">
        <v>17490174950</v>
      </c>
      <c r="J2326">
        <v>16797436757</v>
      </c>
      <c r="K2326">
        <v>12526710867</v>
      </c>
      <c r="L2326">
        <v>10415829226</v>
      </c>
      <c r="M2326">
        <v>10764808259</v>
      </c>
      <c r="N2326">
        <v>10538933941</v>
      </c>
      <c r="O2326">
        <v>9306878164</v>
      </c>
      <c r="P2326">
        <v>181</v>
      </c>
      <c r="Q2326" t="s">
        <v>4979</v>
      </c>
    </row>
    <row r="2327" spans="1:17" x14ac:dyDescent="0.3">
      <c r="A2327" t="s">
        <v>4729</v>
      </c>
      <c r="B2327" t="str">
        <f>"000522"</f>
        <v>000522</v>
      </c>
      <c r="C2327" t="s">
        <v>4980</v>
      </c>
      <c r="N2327">
        <v>17608193312.310001</v>
      </c>
      <c r="O2327">
        <v>4310760489.2700005</v>
      </c>
      <c r="P2327">
        <v>63</v>
      </c>
      <c r="Q2327" t="s">
        <v>4981</v>
      </c>
    </row>
    <row r="2328" spans="1:17" x14ac:dyDescent="0.3">
      <c r="A2328" t="s">
        <v>4729</v>
      </c>
      <c r="B2328" t="str">
        <f>"000523"</f>
        <v>000523</v>
      </c>
      <c r="C2328" t="s">
        <v>4982</v>
      </c>
      <c r="D2328" t="s">
        <v>569</v>
      </c>
      <c r="F2328">
        <v>2585545531</v>
      </c>
      <c r="G2328">
        <v>3348496175</v>
      </c>
      <c r="H2328">
        <v>12397507680</v>
      </c>
      <c r="I2328">
        <v>11974216938</v>
      </c>
      <c r="J2328">
        <v>11810972035</v>
      </c>
      <c r="K2328">
        <v>9849073707</v>
      </c>
      <c r="L2328">
        <v>7570424103</v>
      </c>
      <c r="M2328">
        <v>5408826244</v>
      </c>
      <c r="N2328">
        <v>4086999427</v>
      </c>
      <c r="O2328">
        <v>3222501552</v>
      </c>
      <c r="P2328">
        <v>97</v>
      </c>
      <c r="Q2328" t="s">
        <v>4983</v>
      </c>
    </row>
    <row r="2329" spans="1:17" x14ac:dyDescent="0.3">
      <c r="A2329" t="s">
        <v>4729</v>
      </c>
      <c r="B2329" t="str">
        <f>"000524"</f>
        <v>000524</v>
      </c>
      <c r="C2329" t="s">
        <v>4984</v>
      </c>
      <c r="D2329" t="s">
        <v>1120</v>
      </c>
      <c r="F2329">
        <v>1526317842</v>
      </c>
      <c r="G2329">
        <v>1877563515</v>
      </c>
      <c r="H2329">
        <v>7972099523</v>
      </c>
      <c r="I2329">
        <v>7077867725</v>
      </c>
      <c r="J2329">
        <v>6392025593</v>
      </c>
      <c r="K2329">
        <v>302777260</v>
      </c>
      <c r="L2329">
        <v>305819619</v>
      </c>
      <c r="M2329">
        <v>301805439</v>
      </c>
      <c r="N2329">
        <v>316675884</v>
      </c>
      <c r="O2329">
        <v>328785821</v>
      </c>
      <c r="P2329">
        <v>156</v>
      </c>
      <c r="Q2329" t="s">
        <v>4985</v>
      </c>
    </row>
    <row r="2330" spans="1:17" x14ac:dyDescent="0.3">
      <c r="A2330" t="s">
        <v>4729</v>
      </c>
      <c r="B2330" t="str">
        <f>"000525"</f>
        <v>000525</v>
      </c>
      <c r="C2330" t="s">
        <v>4986</v>
      </c>
      <c r="D2330" t="s">
        <v>853</v>
      </c>
      <c r="F2330">
        <v>4683382032</v>
      </c>
      <c r="G2330">
        <v>4021995203</v>
      </c>
      <c r="H2330">
        <v>4614454470</v>
      </c>
      <c r="I2330">
        <v>5908271416</v>
      </c>
      <c r="J2330">
        <v>4974184665</v>
      </c>
      <c r="K2330">
        <v>3537512437</v>
      </c>
      <c r="L2330">
        <v>4556568021</v>
      </c>
      <c r="M2330">
        <v>6812499539</v>
      </c>
      <c r="N2330">
        <v>7241324765</v>
      </c>
      <c r="O2330">
        <v>7175366009</v>
      </c>
      <c r="P2330">
        <v>150</v>
      </c>
      <c r="Q2330" t="s">
        <v>4987</v>
      </c>
    </row>
    <row r="2331" spans="1:17" x14ac:dyDescent="0.3">
      <c r="A2331" t="s">
        <v>4729</v>
      </c>
      <c r="B2331" t="str">
        <f>"000526"</f>
        <v>000526</v>
      </c>
      <c r="C2331" t="s">
        <v>4988</v>
      </c>
      <c r="D2331" t="s">
        <v>1336</v>
      </c>
      <c r="F2331">
        <v>2529427416</v>
      </c>
      <c r="G2331">
        <v>2429882904</v>
      </c>
      <c r="H2331">
        <v>2991938325</v>
      </c>
      <c r="I2331">
        <v>2892795413</v>
      </c>
      <c r="J2331">
        <v>2811592268</v>
      </c>
      <c r="K2331">
        <v>1306853303</v>
      </c>
      <c r="L2331">
        <v>25065353</v>
      </c>
      <c r="M2331">
        <v>18805623</v>
      </c>
      <c r="N2331">
        <v>10168204</v>
      </c>
      <c r="O2331">
        <v>65206408</v>
      </c>
      <c r="P2331">
        <v>201</v>
      </c>
      <c r="Q2331" t="s">
        <v>4989</v>
      </c>
    </row>
    <row r="2332" spans="1:17" x14ac:dyDescent="0.3">
      <c r="A2332" t="s">
        <v>4729</v>
      </c>
      <c r="B2332" t="str">
        <f>"000527"</f>
        <v>000527</v>
      </c>
      <c r="C2332" t="s">
        <v>4990</v>
      </c>
      <c r="O2332">
        <v>68071200640</v>
      </c>
      <c r="P2332">
        <v>296</v>
      </c>
      <c r="Q2332" t="s">
        <v>4991</v>
      </c>
    </row>
    <row r="2333" spans="1:17" x14ac:dyDescent="0.3">
      <c r="A2333" t="s">
        <v>4729</v>
      </c>
      <c r="B2333" t="str">
        <f>"000528"</f>
        <v>000528</v>
      </c>
      <c r="C2333" t="s">
        <v>4992</v>
      </c>
      <c r="D2333" t="s">
        <v>83</v>
      </c>
      <c r="F2333">
        <v>28700729485</v>
      </c>
      <c r="G2333">
        <v>23002550045</v>
      </c>
      <c r="H2333">
        <v>19177295779</v>
      </c>
      <c r="I2333">
        <v>18084836917</v>
      </c>
      <c r="J2333">
        <v>11264212253</v>
      </c>
      <c r="K2333">
        <v>7005395364</v>
      </c>
      <c r="L2333">
        <v>6655815581</v>
      </c>
      <c r="M2333">
        <v>10293406073</v>
      </c>
      <c r="N2333">
        <v>12584687457</v>
      </c>
      <c r="O2333">
        <v>12629666552</v>
      </c>
      <c r="P2333">
        <v>481</v>
      </c>
      <c r="Q2333" t="s">
        <v>4993</v>
      </c>
    </row>
    <row r="2334" spans="1:17" x14ac:dyDescent="0.3">
      <c r="A2334" t="s">
        <v>4729</v>
      </c>
      <c r="B2334" t="str">
        <f>"000529"</f>
        <v>000529</v>
      </c>
      <c r="C2334" t="s">
        <v>4994</v>
      </c>
      <c r="D2334" t="s">
        <v>1536</v>
      </c>
      <c r="F2334">
        <v>3637711649</v>
      </c>
      <c r="G2334">
        <v>3394669520</v>
      </c>
      <c r="H2334">
        <v>3019284994</v>
      </c>
      <c r="I2334">
        <v>2498745792</v>
      </c>
      <c r="J2334">
        <v>2305884461</v>
      </c>
      <c r="K2334">
        <v>2067498213</v>
      </c>
      <c r="L2334">
        <v>1927158649</v>
      </c>
      <c r="M2334">
        <v>1876176087</v>
      </c>
      <c r="N2334">
        <v>1845764678</v>
      </c>
      <c r="O2334">
        <v>1569326008</v>
      </c>
      <c r="P2334">
        <v>298</v>
      </c>
      <c r="Q2334" t="s">
        <v>4995</v>
      </c>
    </row>
    <row r="2335" spans="1:17" x14ac:dyDescent="0.3">
      <c r="A2335" t="s">
        <v>4729</v>
      </c>
      <c r="B2335" t="str">
        <f>"000530"</f>
        <v>000530</v>
      </c>
      <c r="C2335" t="s">
        <v>4996</v>
      </c>
      <c r="D2335" t="s">
        <v>988</v>
      </c>
      <c r="F2335">
        <v>2089208256</v>
      </c>
      <c r="G2335">
        <v>1727267935</v>
      </c>
      <c r="H2335">
        <v>1831851281</v>
      </c>
      <c r="I2335">
        <v>1966064612</v>
      </c>
      <c r="J2335">
        <v>2079715105</v>
      </c>
      <c r="K2335">
        <v>1779499227</v>
      </c>
      <c r="L2335">
        <v>1607518440</v>
      </c>
      <c r="M2335">
        <v>1425715597</v>
      </c>
      <c r="N2335">
        <v>1535706911</v>
      </c>
      <c r="O2335">
        <v>1521979266</v>
      </c>
      <c r="P2335">
        <v>129</v>
      </c>
      <c r="Q2335" t="s">
        <v>4997</v>
      </c>
    </row>
    <row r="2336" spans="1:17" x14ac:dyDescent="0.3">
      <c r="A2336" t="s">
        <v>4729</v>
      </c>
      <c r="B2336" t="str">
        <f>"000531"</f>
        <v>000531</v>
      </c>
      <c r="C2336" t="s">
        <v>4998</v>
      </c>
      <c r="D2336" t="s">
        <v>41</v>
      </c>
      <c r="F2336">
        <v>3928199761</v>
      </c>
      <c r="G2336">
        <v>3462000880</v>
      </c>
      <c r="H2336">
        <v>3228593752</v>
      </c>
      <c r="I2336">
        <v>3118942761</v>
      </c>
      <c r="J2336">
        <v>2965395045</v>
      </c>
      <c r="K2336">
        <v>2635386729</v>
      </c>
      <c r="L2336">
        <v>2225944450</v>
      </c>
      <c r="M2336">
        <v>4394470766</v>
      </c>
      <c r="N2336">
        <v>3280640507</v>
      </c>
      <c r="O2336">
        <v>3143955368</v>
      </c>
      <c r="P2336">
        <v>277</v>
      </c>
      <c r="Q2336" t="s">
        <v>4999</v>
      </c>
    </row>
    <row r="2337" spans="1:17" x14ac:dyDescent="0.3">
      <c r="A2337" t="s">
        <v>4729</v>
      </c>
      <c r="B2337" t="str">
        <f>"000532"</f>
        <v>000532</v>
      </c>
      <c r="C2337" t="s">
        <v>5000</v>
      </c>
      <c r="D2337" t="s">
        <v>116</v>
      </c>
      <c r="F2337">
        <v>630862634</v>
      </c>
      <c r="G2337">
        <v>515037805</v>
      </c>
      <c r="H2337">
        <v>432588135</v>
      </c>
      <c r="I2337">
        <v>530431989</v>
      </c>
      <c r="J2337">
        <v>479147250</v>
      </c>
      <c r="K2337">
        <v>310032673</v>
      </c>
      <c r="L2337">
        <v>212267810</v>
      </c>
      <c r="M2337">
        <v>172720365</v>
      </c>
      <c r="N2337">
        <v>218767607</v>
      </c>
      <c r="O2337">
        <v>202952419</v>
      </c>
      <c r="P2337">
        <v>140</v>
      </c>
      <c r="Q2337" t="s">
        <v>5001</v>
      </c>
    </row>
    <row r="2338" spans="1:17" x14ac:dyDescent="0.3">
      <c r="A2338" t="s">
        <v>4729</v>
      </c>
      <c r="B2338" t="str">
        <f>"000533"</f>
        <v>000533</v>
      </c>
      <c r="C2338" t="s">
        <v>5002</v>
      </c>
      <c r="D2338" t="s">
        <v>210</v>
      </c>
      <c r="F2338">
        <v>1458734801</v>
      </c>
      <c r="G2338">
        <v>1477674934</v>
      </c>
      <c r="H2338">
        <v>1373705459</v>
      </c>
      <c r="I2338">
        <v>9559439074</v>
      </c>
      <c r="J2338">
        <v>8266947606</v>
      </c>
      <c r="K2338">
        <v>4338469731</v>
      </c>
      <c r="L2338">
        <v>4130364236</v>
      </c>
      <c r="M2338">
        <v>3896458570</v>
      </c>
      <c r="N2338">
        <v>2310851185</v>
      </c>
      <c r="O2338">
        <v>1973957791</v>
      </c>
      <c r="P2338">
        <v>101</v>
      </c>
      <c r="Q2338" t="s">
        <v>5003</v>
      </c>
    </row>
    <row r="2339" spans="1:17" x14ac:dyDescent="0.3">
      <c r="A2339" t="s">
        <v>4729</v>
      </c>
      <c r="B2339" t="str">
        <f>"000534"</f>
        <v>000534</v>
      </c>
      <c r="C2339" t="s">
        <v>5004</v>
      </c>
      <c r="D2339" t="s">
        <v>1379</v>
      </c>
      <c r="F2339">
        <v>656255550</v>
      </c>
      <c r="G2339">
        <v>552561979</v>
      </c>
      <c r="H2339">
        <v>548735087</v>
      </c>
      <c r="I2339">
        <v>258443047</v>
      </c>
      <c r="J2339">
        <v>255152393</v>
      </c>
      <c r="K2339">
        <v>194679658</v>
      </c>
      <c r="L2339">
        <v>491810832</v>
      </c>
      <c r="M2339">
        <v>526640339</v>
      </c>
      <c r="N2339">
        <v>1122349638</v>
      </c>
      <c r="O2339">
        <v>636590487</v>
      </c>
      <c r="P2339">
        <v>120</v>
      </c>
      <c r="Q2339" t="s">
        <v>5005</v>
      </c>
    </row>
    <row r="2340" spans="1:17" x14ac:dyDescent="0.3">
      <c r="A2340" t="s">
        <v>4729</v>
      </c>
      <c r="B2340" t="str">
        <f>"000536"</f>
        <v>000536</v>
      </c>
      <c r="C2340" t="s">
        <v>5006</v>
      </c>
      <c r="D2340" t="s">
        <v>1117</v>
      </c>
      <c r="F2340">
        <v>3013729443</v>
      </c>
      <c r="G2340">
        <v>2193873141</v>
      </c>
      <c r="H2340">
        <v>1474124196</v>
      </c>
      <c r="I2340">
        <v>4517789138</v>
      </c>
      <c r="J2340">
        <v>4889052084</v>
      </c>
      <c r="K2340">
        <v>4435992658</v>
      </c>
      <c r="L2340">
        <v>5433566703</v>
      </c>
      <c r="M2340">
        <v>7018186608</v>
      </c>
      <c r="N2340">
        <v>5543853869</v>
      </c>
      <c r="O2340">
        <v>1822389937</v>
      </c>
      <c r="P2340">
        <v>142</v>
      </c>
      <c r="Q2340" t="s">
        <v>5007</v>
      </c>
    </row>
    <row r="2341" spans="1:17" x14ac:dyDescent="0.3">
      <c r="A2341" t="s">
        <v>4729</v>
      </c>
      <c r="B2341" t="str">
        <f>"000537"</f>
        <v>000537</v>
      </c>
      <c r="C2341" t="s">
        <v>5008</v>
      </c>
      <c r="D2341" t="s">
        <v>104</v>
      </c>
      <c r="F2341">
        <v>16235778610</v>
      </c>
      <c r="G2341">
        <v>19750567813</v>
      </c>
      <c r="H2341">
        <v>22986765175</v>
      </c>
      <c r="I2341">
        <v>27056984571</v>
      </c>
      <c r="J2341">
        <v>21642295263</v>
      </c>
      <c r="K2341">
        <v>3932771591</v>
      </c>
      <c r="L2341">
        <v>1443643634</v>
      </c>
      <c r="M2341">
        <v>1283186516</v>
      </c>
      <c r="N2341">
        <v>1487464058</v>
      </c>
      <c r="O2341">
        <v>1780545083</v>
      </c>
      <c r="P2341">
        <v>604</v>
      </c>
      <c r="Q2341" t="s">
        <v>5009</v>
      </c>
    </row>
    <row r="2342" spans="1:17" x14ac:dyDescent="0.3">
      <c r="A2342" t="s">
        <v>4729</v>
      </c>
      <c r="B2342" t="str">
        <f>"000538"</f>
        <v>000538</v>
      </c>
      <c r="C2342" t="s">
        <v>5010</v>
      </c>
      <c r="D2342" t="s">
        <v>188</v>
      </c>
      <c r="F2342">
        <v>36373919016</v>
      </c>
      <c r="G2342">
        <v>32742766764</v>
      </c>
      <c r="H2342">
        <v>29664673869</v>
      </c>
      <c r="I2342">
        <v>26708213488</v>
      </c>
      <c r="J2342">
        <v>24314614044</v>
      </c>
      <c r="K2342">
        <v>22410654404</v>
      </c>
      <c r="L2342">
        <v>20738126205</v>
      </c>
      <c r="M2342">
        <v>18814366373</v>
      </c>
      <c r="N2342">
        <v>15814790881</v>
      </c>
      <c r="O2342">
        <v>13686824526</v>
      </c>
      <c r="P2342">
        <v>30717</v>
      </c>
      <c r="Q2342" t="s">
        <v>5011</v>
      </c>
    </row>
    <row r="2343" spans="1:17" x14ac:dyDescent="0.3">
      <c r="A2343" t="s">
        <v>4729</v>
      </c>
      <c r="B2343" t="str">
        <f>"000539"</f>
        <v>000539</v>
      </c>
      <c r="C2343" t="s">
        <v>5012</v>
      </c>
      <c r="D2343" t="s">
        <v>41</v>
      </c>
      <c r="F2343">
        <v>44167223887</v>
      </c>
      <c r="G2343">
        <v>28329065391</v>
      </c>
      <c r="H2343">
        <v>29360155150</v>
      </c>
      <c r="I2343">
        <v>27408514178</v>
      </c>
      <c r="J2343">
        <v>26643792057</v>
      </c>
      <c r="K2343">
        <v>22681120022</v>
      </c>
      <c r="L2343">
        <v>25723810816</v>
      </c>
      <c r="M2343">
        <v>29046568685</v>
      </c>
      <c r="N2343">
        <v>30830757337</v>
      </c>
      <c r="O2343">
        <v>29489273619</v>
      </c>
      <c r="P2343">
        <v>203</v>
      </c>
      <c r="Q2343" t="s">
        <v>5013</v>
      </c>
    </row>
    <row r="2344" spans="1:17" x14ac:dyDescent="0.3">
      <c r="A2344" t="s">
        <v>4729</v>
      </c>
      <c r="B2344" t="str">
        <f>"000540"</f>
        <v>000540</v>
      </c>
      <c r="C2344" t="s">
        <v>5014</v>
      </c>
      <c r="D2344" t="s">
        <v>104</v>
      </c>
      <c r="F2344">
        <v>5738083266</v>
      </c>
      <c r="G2344">
        <v>7132587233</v>
      </c>
      <c r="H2344">
        <v>12577786698</v>
      </c>
      <c r="I2344">
        <v>14132694359</v>
      </c>
      <c r="J2344">
        <v>15793360160</v>
      </c>
      <c r="K2344">
        <v>19460541180</v>
      </c>
      <c r="L2344">
        <v>15386094717</v>
      </c>
      <c r="M2344">
        <v>11390908365</v>
      </c>
      <c r="N2344">
        <v>7576260480</v>
      </c>
      <c r="O2344">
        <v>3554251620</v>
      </c>
      <c r="P2344">
        <v>5239</v>
      </c>
      <c r="Q2344" t="s">
        <v>5015</v>
      </c>
    </row>
    <row r="2345" spans="1:17" x14ac:dyDescent="0.3">
      <c r="A2345" t="s">
        <v>4729</v>
      </c>
      <c r="B2345" t="str">
        <f>"000541"</f>
        <v>000541</v>
      </c>
      <c r="C2345" t="s">
        <v>5016</v>
      </c>
      <c r="D2345" t="s">
        <v>598</v>
      </c>
      <c r="F2345">
        <v>4772690469</v>
      </c>
      <c r="G2345">
        <v>3744914453</v>
      </c>
      <c r="H2345">
        <v>3337576748</v>
      </c>
      <c r="I2345">
        <v>3801955947</v>
      </c>
      <c r="J2345">
        <v>3800188262</v>
      </c>
      <c r="K2345">
        <v>3366454969</v>
      </c>
      <c r="L2345">
        <v>2876659101</v>
      </c>
      <c r="M2345">
        <v>3068641200</v>
      </c>
      <c r="N2345">
        <v>2526679811</v>
      </c>
      <c r="O2345">
        <v>2201910732</v>
      </c>
      <c r="P2345">
        <v>437</v>
      </c>
      <c r="Q2345" t="s">
        <v>5017</v>
      </c>
    </row>
    <row r="2346" spans="1:17" x14ac:dyDescent="0.3">
      <c r="A2346" t="s">
        <v>4729</v>
      </c>
      <c r="B2346" t="str">
        <f>"000543"</f>
        <v>000543</v>
      </c>
      <c r="C2346" t="s">
        <v>5018</v>
      </c>
      <c r="D2346" t="s">
        <v>41</v>
      </c>
      <c r="F2346">
        <v>21032266848</v>
      </c>
      <c r="G2346">
        <v>16751999121</v>
      </c>
      <c r="H2346">
        <v>16092240913</v>
      </c>
      <c r="I2346">
        <v>13416456919</v>
      </c>
      <c r="J2346">
        <v>12207433398</v>
      </c>
      <c r="K2346">
        <v>10633470915</v>
      </c>
      <c r="L2346">
        <v>11297726954</v>
      </c>
      <c r="M2346">
        <v>12866266303</v>
      </c>
      <c r="N2346">
        <v>12567773856</v>
      </c>
      <c r="O2346">
        <v>7644948756</v>
      </c>
      <c r="P2346">
        <v>322</v>
      </c>
      <c r="Q2346" t="s">
        <v>5019</v>
      </c>
    </row>
    <row r="2347" spans="1:17" x14ac:dyDescent="0.3">
      <c r="A2347" t="s">
        <v>4729</v>
      </c>
      <c r="B2347" t="str">
        <f>"000544"</f>
        <v>000544</v>
      </c>
      <c r="C2347" t="s">
        <v>5020</v>
      </c>
      <c r="D2347" t="s">
        <v>33</v>
      </c>
      <c r="F2347">
        <v>6140484313</v>
      </c>
      <c r="G2347">
        <v>2149746279</v>
      </c>
      <c r="H2347">
        <v>1739717527</v>
      </c>
      <c r="I2347">
        <v>1027015100</v>
      </c>
      <c r="J2347">
        <v>976302141</v>
      </c>
      <c r="K2347">
        <v>936775707</v>
      </c>
      <c r="L2347">
        <v>518276888</v>
      </c>
      <c r="M2347">
        <v>578277823</v>
      </c>
      <c r="N2347">
        <v>490370541</v>
      </c>
      <c r="O2347">
        <v>420148537</v>
      </c>
      <c r="P2347">
        <v>247</v>
      </c>
      <c r="Q2347" t="s">
        <v>5021</v>
      </c>
    </row>
    <row r="2348" spans="1:17" x14ac:dyDescent="0.3">
      <c r="A2348" t="s">
        <v>4729</v>
      </c>
      <c r="B2348" t="str">
        <f>"000545"</f>
        <v>000545</v>
      </c>
      <c r="C2348" t="s">
        <v>5022</v>
      </c>
      <c r="D2348" t="s">
        <v>1474</v>
      </c>
      <c r="F2348">
        <v>2620129586</v>
      </c>
      <c r="G2348">
        <v>1834093431</v>
      </c>
      <c r="H2348">
        <v>1884877536</v>
      </c>
      <c r="I2348">
        <v>1854621522</v>
      </c>
      <c r="J2348">
        <v>1741006338</v>
      </c>
      <c r="K2348">
        <v>1046072627</v>
      </c>
      <c r="L2348">
        <v>709872295</v>
      </c>
      <c r="M2348">
        <v>734943781</v>
      </c>
      <c r="N2348">
        <v>842142106</v>
      </c>
      <c r="O2348">
        <v>98656398</v>
      </c>
      <c r="P2348">
        <v>106</v>
      </c>
      <c r="Q2348" t="s">
        <v>5023</v>
      </c>
    </row>
    <row r="2349" spans="1:17" x14ac:dyDescent="0.3">
      <c r="A2349" t="s">
        <v>4729</v>
      </c>
      <c r="B2349" t="str">
        <f>"000546"</f>
        <v>000546</v>
      </c>
      <c r="C2349" t="s">
        <v>5024</v>
      </c>
      <c r="D2349" t="s">
        <v>731</v>
      </c>
      <c r="F2349">
        <v>8739040652</v>
      </c>
      <c r="G2349">
        <v>8671488588</v>
      </c>
      <c r="H2349">
        <v>8171198004</v>
      </c>
      <c r="I2349">
        <v>7974016179</v>
      </c>
      <c r="J2349">
        <v>5073360650</v>
      </c>
      <c r="K2349">
        <v>2164082354</v>
      </c>
      <c r="L2349">
        <v>1865236501</v>
      </c>
      <c r="M2349">
        <v>1373469800</v>
      </c>
      <c r="N2349">
        <v>89460310</v>
      </c>
      <c r="O2349">
        <v>118781049</v>
      </c>
      <c r="P2349">
        <v>181</v>
      </c>
      <c r="Q2349" t="s">
        <v>5025</v>
      </c>
    </row>
    <row r="2350" spans="1:17" x14ac:dyDescent="0.3">
      <c r="A2350" t="s">
        <v>4729</v>
      </c>
      <c r="B2350" t="str">
        <f>"000547"</f>
        <v>000547</v>
      </c>
      <c r="C2350" t="s">
        <v>5026</v>
      </c>
      <c r="D2350" t="s">
        <v>1136</v>
      </c>
      <c r="F2350">
        <v>4143867011</v>
      </c>
      <c r="G2350">
        <v>4436047709</v>
      </c>
      <c r="H2350">
        <v>4039258216</v>
      </c>
      <c r="I2350">
        <v>3515797456</v>
      </c>
      <c r="J2350">
        <v>2349932848</v>
      </c>
      <c r="K2350">
        <v>2042099953</v>
      </c>
      <c r="L2350">
        <v>1122725545</v>
      </c>
      <c r="M2350">
        <v>855981251</v>
      </c>
      <c r="N2350">
        <v>536150202</v>
      </c>
      <c r="O2350">
        <v>423557014</v>
      </c>
      <c r="P2350">
        <v>612</v>
      </c>
      <c r="Q2350" t="s">
        <v>5027</v>
      </c>
    </row>
    <row r="2351" spans="1:17" x14ac:dyDescent="0.3">
      <c r="A2351" t="s">
        <v>4729</v>
      </c>
      <c r="B2351" t="str">
        <f>"000548"</f>
        <v>000548</v>
      </c>
      <c r="C2351" t="s">
        <v>5028</v>
      </c>
      <c r="D2351" t="s">
        <v>44</v>
      </c>
      <c r="F2351">
        <v>428666742</v>
      </c>
      <c r="G2351">
        <v>436041746</v>
      </c>
      <c r="H2351">
        <v>287803668</v>
      </c>
      <c r="I2351">
        <v>298670363</v>
      </c>
      <c r="J2351">
        <v>970869368</v>
      </c>
      <c r="K2351">
        <v>211481305</v>
      </c>
      <c r="L2351">
        <v>182880029</v>
      </c>
      <c r="M2351">
        <v>205683519</v>
      </c>
      <c r="N2351">
        <v>221423511</v>
      </c>
      <c r="O2351">
        <v>231622014</v>
      </c>
      <c r="P2351">
        <v>90</v>
      </c>
      <c r="Q2351" t="s">
        <v>5029</v>
      </c>
    </row>
    <row r="2352" spans="1:17" x14ac:dyDescent="0.3">
      <c r="A2352" t="s">
        <v>4729</v>
      </c>
      <c r="B2352" t="str">
        <f>"000550"</f>
        <v>000550</v>
      </c>
      <c r="C2352" t="s">
        <v>5030</v>
      </c>
      <c r="D2352" t="s">
        <v>27</v>
      </c>
      <c r="F2352">
        <v>35221306472</v>
      </c>
      <c r="G2352">
        <v>33095733665</v>
      </c>
      <c r="H2352">
        <v>29173636262</v>
      </c>
      <c r="I2352">
        <v>28249339672</v>
      </c>
      <c r="J2352">
        <v>31345746762</v>
      </c>
      <c r="K2352">
        <v>26633948551</v>
      </c>
      <c r="L2352">
        <v>24527892839</v>
      </c>
      <c r="M2352">
        <v>25537289610</v>
      </c>
      <c r="N2352">
        <v>20889705715</v>
      </c>
      <c r="O2352">
        <v>17474707097</v>
      </c>
      <c r="P2352">
        <v>595</v>
      </c>
      <c r="Q2352" t="s">
        <v>5031</v>
      </c>
    </row>
    <row r="2353" spans="1:17" x14ac:dyDescent="0.3">
      <c r="A2353" t="s">
        <v>4729</v>
      </c>
      <c r="B2353" t="str">
        <f>"000551"</f>
        <v>000551</v>
      </c>
      <c r="C2353" t="s">
        <v>5032</v>
      </c>
      <c r="D2353" t="s">
        <v>1070</v>
      </c>
      <c r="F2353">
        <v>3697386523</v>
      </c>
      <c r="G2353">
        <v>3213346175</v>
      </c>
      <c r="H2353">
        <v>3237263431</v>
      </c>
      <c r="I2353">
        <v>2983726284</v>
      </c>
      <c r="J2353">
        <v>2590505594</v>
      </c>
      <c r="K2353">
        <v>2282154186</v>
      </c>
      <c r="L2353">
        <v>2150122291</v>
      </c>
      <c r="M2353">
        <v>2273291468</v>
      </c>
      <c r="N2353">
        <v>2233734881</v>
      </c>
      <c r="O2353">
        <v>2015659678</v>
      </c>
      <c r="P2353">
        <v>122</v>
      </c>
      <c r="Q2353" t="s">
        <v>5033</v>
      </c>
    </row>
    <row r="2354" spans="1:17" x14ac:dyDescent="0.3">
      <c r="A2354" t="s">
        <v>4729</v>
      </c>
      <c r="B2354" t="str">
        <f>"000552"</f>
        <v>000552</v>
      </c>
      <c r="C2354" t="s">
        <v>5034</v>
      </c>
      <c r="D2354" t="s">
        <v>292</v>
      </c>
      <c r="F2354">
        <v>4841239142</v>
      </c>
      <c r="G2354">
        <v>3687175330</v>
      </c>
      <c r="H2354">
        <v>4056150397</v>
      </c>
      <c r="I2354">
        <v>4092312141</v>
      </c>
      <c r="J2354">
        <v>3980607951</v>
      </c>
      <c r="K2354">
        <v>2977580733</v>
      </c>
      <c r="L2354">
        <v>2646876716</v>
      </c>
      <c r="M2354">
        <v>3303486029</v>
      </c>
      <c r="N2354">
        <v>3724295454</v>
      </c>
      <c r="O2354">
        <v>4055619615</v>
      </c>
      <c r="P2354">
        <v>263</v>
      </c>
      <c r="Q2354" t="s">
        <v>5035</v>
      </c>
    </row>
    <row r="2355" spans="1:17" x14ac:dyDescent="0.3">
      <c r="A2355" t="s">
        <v>4729</v>
      </c>
      <c r="B2355" t="str">
        <f>"000553"</f>
        <v>000553</v>
      </c>
      <c r="C2355" t="s">
        <v>5036</v>
      </c>
      <c r="D2355" t="s">
        <v>853</v>
      </c>
      <c r="F2355">
        <v>31038605000</v>
      </c>
      <c r="G2355">
        <v>28444833000</v>
      </c>
      <c r="H2355">
        <v>27563239000</v>
      </c>
      <c r="I2355">
        <v>25615119000</v>
      </c>
      <c r="J2355">
        <v>23819568000</v>
      </c>
      <c r="K2355">
        <v>1854732685</v>
      </c>
      <c r="L2355">
        <v>2169936637</v>
      </c>
      <c r="M2355">
        <v>3131186300</v>
      </c>
      <c r="N2355">
        <v>3078467311</v>
      </c>
      <c r="O2355">
        <v>2345146529</v>
      </c>
      <c r="P2355">
        <v>227</v>
      </c>
      <c r="Q2355" t="s">
        <v>5037</v>
      </c>
    </row>
    <row r="2356" spans="1:17" x14ac:dyDescent="0.3">
      <c r="A2356" t="s">
        <v>4729</v>
      </c>
      <c r="B2356" t="str">
        <f>"000554"</f>
        <v>000554</v>
      </c>
      <c r="C2356" t="s">
        <v>5038</v>
      </c>
      <c r="D2356" t="s">
        <v>584</v>
      </c>
      <c r="F2356">
        <v>2799504532</v>
      </c>
      <c r="G2356">
        <v>2423786412</v>
      </c>
      <c r="H2356">
        <v>2924590160</v>
      </c>
      <c r="I2356">
        <v>3077522876</v>
      </c>
      <c r="J2356">
        <v>2718944014</v>
      </c>
      <c r="K2356">
        <v>2767332286</v>
      </c>
      <c r="L2356">
        <v>2940088318</v>
      </c>
      <c r="M2356">
        <v>3911810335</v>
      </c>
      <c r="N2356">
        <v>3824818124</v>
      </c>
      <c r="O2356">
        <v>3838213773</v>
      </c>
      <c r="P2356">
        <v>112</v>
      </c>
      <c r="Q2356" t="s">
        <v>5039</v>
      </c>
    </row>
    <row r="2357" spans="1:17" x14ac:dyDescent="0.3">
      <c r="A2357" t="s">
        <v>4729</v>
      </c>
      <c r="B2357" t="str">
        <f>"000555"</f>
        <v>000555</v>
      </c>
      <c r="C2357" t="s">
        <v>5040</v>
      </c>
      <c r="D2357" t="s">
        <v>316</v>
      </c>
      <c r="F2357">
        <v>11355684729</v>
      </c>
      <c r="G2357">
        <v>10685976832</v>
      </c>
      <c r="H2357">
        <v>10146008171</v>
      </c>
      <c r="I2357">
        <v>9077344909</v>
      </c>
      <c r="J2357">
        <v>8187056662</v>
      </c>
      <c r="K2357">
        <v>8014312756</v>
      </c>
      <c r="L2357">
        <v>6712855773</v>
      </c>
      <c r="M2357">
        <v>6559007918</v>
      </c>
      <c r="N2357">
        <v>7713438141</v>
      </c>
      <c r="O2357">
        <v>45737531</v>
      </c>
      <c r="P2357">
        <v>374</v>
      </c>
      <c r="Q2357" t="s">
        <v>5041</v>
      </c>
    </row>
    <row r="2358" spans="1:17" x14ac:dyDescent="0.3">
      <c r="A2358" t="s">
        <v>4729</v>
      </c>
      <c r="B2358" t="str">
        <f>"000556"</f>
        <v>000556</v>
      </c>
      <c r="C2358" t="s">
        <v>5042</v>
      </c>
      <c r="K2358">
        <v>81529312.629999995</v>
      </c>
      <c r="L2358">
        <v>35103124</v>
      </c>
      <c r="M2358">
        <v>4050000</v>
      </c>
      <c r="N2358">
        <v>8046432.1900000004</v>
      </c>
      <c r="O2358">
        <v>6488034.1900000004</v>
      </c>
      <c r="P2358">
        <v>4</v>
      </c>
      <c r="Q2358" t="s">
        <v>5043</v>
      </c>
    </row>
    <row r="2359" spans="1:17" x14ac:dyDescent="0.3">
      <c r="A2359" t="s">
        <v>4729</v>
      </c>
      <c r="B2359" t="str">
        <f>"000557"</f>
        <v>000557</v>
      </c>
      <c r="C2359" t="s">
        <v>5044</v>
      </c>
      <c r="D2359" t="s">
        <v>301</v>
      </c>
      <c r="F2359">
        <v>1236622449</v>
      </c>
      <c r="G2359">
        <v>895854770</v>
      </c>
      <c r="H2359">
        <v>799911229</v>
      </c>
      <c r="I2359">
        <v>760941838</v>
      </c>
      <c r="J2359">
        <v>659644140</v>
      </c>
      <c r="K2359">
        <v>463125906</v>
      </c>
      <c r="L2359">
        <v>18280895</v>
      </c>
      <c r="M2359">
        <v>8386046</v>
      </c>
      <c r="N2359">
        <v>10694395</v>
      </c>
      <c r="O2359">
        <v>3764943</v>
      </c>
      <c r="P2359">
        <v>103</v>
      </c>
      <c r="Q2359" t="s">
        <v>5045</v>
      </c>
    </row>
    <row r="2360" spans="1:17" x14ac:dyDescent="0.3">
      <c r="A2360" t="s">
        <v>4729</v>
      </c>
      <c r="B2360" t="str">
        <f>"000558"</f>
        <v>000558</v>
      </c>
      <c r="C2360" t="s">
        <v>5046</v>
      </c>
      <c r="D2360" t="s">
        <v>104</v>
      </c>
      <c r="F2360">
        <v>140695416</v>
      </c>
      <c r="G2360">
        <v>140024540</v>
      </c>
      <c r="H2360">
        <v>137847896</v>
      </c>
      <c r="I2360">
        <v>702474130</v>
      </c>
      <c r="J2360">
        <v>1324249130</v>
      </c>
      <c r="K2360">
        <v>3800255087</v>
      </c>
      <c r="L2360">
        <v>2528139940</v>
      </c>
      <c r="M2360">
        <v>3717361041</v>
      </c>
      <c r="N2360">
        <v>2095233456</v>
      </c>
      <c r="O2360">
        <v>1175660214</v>
      </c>
      <c r="P2360">
        <v>118</v>
      </c>
      <c r="Q2360" t="s">
        <v>5047</v>
      </c>
    </row>
    <row r="2361" spans="1:17" x14ac:dyDescent="0.3">
      <c r="A2361" t="s">
        <v>4729</v>
      </c>
      <c r="B2361" t="str">
        <f>"000559"</f>
        <v>000559</v>
      </c>
      <c r="C2361" t="s">
        <v>5048</v>
      </c>
      <c r="D2361" t="s">
        <v>348</v>
      </c>
      <c r="F2361">
        <v>14322135325</v>
      </c>
      <c r="G2361">
        <v>10881679918</v>
      </c>
      <c r="H2361">
        <v>10581105124</v>
      </c>
      <c r="I2361">
        <v>11362076796</v>
      </c>
      <c r="J2361">
        <v>11154241411</v>
      </c>
      <c r="K2361">
        <v>10785821704</v>
      </c>
      <c r="L2361">
        <v>10241434098</v>
      </c>
      <c r="M2361">
        <v>9828875657</v>
      </c>
      <c r="N2361">
        <v>9262158089</v>
      </c>
      <c r="O2361">
        <v>8339805269</v>
      </c>
      <c r="P2361">
        <v>414</v>
      </c>
      <c r="Q2361" t="s">
        <v>5049</v>
      </c>
    </row>
    <row r="2362" spans="1:17" x14ac:dyDescent="0.3">
      <c r="A2362" t="s">
        <v>4729</v>
      </c>
      <c r="B2362" t="str">
        <f>"000560"</f>
        <v>000560</v>
      </c>
      <c r="C2362" t="s">
        <v>5050</v>
      </c>
      <c r="D2362" t="s">
        <v>5051</v>
      </c>
      <c r="F2362">
        <v>11962873819</v>
      </c>
      <c r="G2362">
        <v>9574944514</v>
      </c>
      <c r="H2362">
        <v>11211454404</v>
      </c>
      <c r="I2362">
        <v>10692135481</v>
      </c>
      <c r="J2362">
        <v>1318536288</v>
      </c>
      <c r="K2362">
        <v>1916603169</v>
      </c>
      <c r="L2362">
        <v>1338484248</v>
      </c>
      <c r="M2362">
        <v>1640196212</v>
      </c>
      <c r="N2362">
        <v>1791138477</v>
      </c>
      <c r="O2362">
        <v>2768737380</v>
      </c>
      <c r="P2362">
        <v>206</v>
      </c>
      <c r="Q2362" t="s">
        <v>5052</v>
      </c>
    </row>
    <row r="2363" spans="1:17" x14ac:dyDescent="0.3">
      <c r="A2363" t="s">
        <v>4729</v>
      </c>
      <c r="B2363" t="str">
        <f>"000561"</f>
        <v>000561</v>
      </c>
      <c r="C2363" t="s">
        <v>5053</v>
      </c>
      <c r="D2363" t="s">
        <v>98</v>
      </c>
      <c r="F2363">
        <v>1502408057</v>
      </c>
      <c r="G2363">
        <v>1387331598</v>
      </c>
      <c r="H2363">
        <v>1346459523</v>
      </c>
      <c r="I2363">
        <v>1223775808</v>
      </c>
      <c r="J2363">
        <v>1216717230</v>
      </c>
      <c r="K2363">
        <v>1119101709</v>
      </c>
      <c r="L2363">
        <v>1077069575</v>
      </c>
      <c r="M2363">
        <v>926014303</v>
      </c>
      <c r="N2363">
        <v>791389203</v>
      </c>
      <c r="O2363">
        <v>905064889</v>
      </c>
      <c r="P2363">
        <v>134</v>
      </c>
      <c r="Q2363" t="s">
        <v>5054</v>
      </c>
    </row>
    <row r="2364" spans="1:17" x14ac:dyDescent="0.3">
      <c r="A2364" t="s">
        <v>4729</v>
      </c>
      <c r="B2364" t="str">
        <f>"000562"</f>
        <v>000562</v>
      </c>
      <c r="C2364" t="s">
        <v>5055</v>
      </c>
      <c r="N2364">
        <v>4118510581.8299999</v>
      </c>
      <c r="O2364">
        <v>3295868934.6700001</v>
      </c>
      <c r="P2364">
        <v>18</v>
      </c>
      <c r="Q2364" t="s">
        <v>5056</v>
      </c>
    </row>
    <row r="2365" spans="1:17" x14ac:dyDescent="0.3">
      <c r="A2365" t="s">
        <v>4729</v>
      </c>
      <c r="B2365" t="str">
        <f>"000563"</f>
        <v>000563</v>
      </c>
      <c r="C2365" t="s">
        <v>5057</v>
      </c>
      <c r="D2365" t="s">
        <v>1651</v>
      </c>
      <c r="F2365">
        <v>1908556376</v>
      </c>
      <c r="G2365">
        <v>2125822544</v>
      </c>
      <c r="H2365">
        <v>1755654631</v>
      </c>
      <c r="I2365">
        <v>1027334488</v>
      </c>
      <c r="J2365">
        <v>1150598361</v>
      </c>
      <c r="K2365">
        <v>1013572110</v>
      </c>
      <c r="L2365">
        <v>1150972386</v>
      </c>
      <c r="M2365">
        <v>835478992</v>
      </c>
      <c r="N2365">
        <v>832775090</v>
      </c>
      <c r="O2365">
        <v>576308789</v>
      </c>
      <c r="P2365">
        <v>207</v>
      </c>
      <c r="Q2365" t="s">
        <v>5058</v>
      </c>
    </row>
    <row r="2366" spans="1:17" x14ac:dyDescent="0.3">
      <c r="A2366" t="s">
        <v>4729</v>
      </c>
      <c r="B2366" t="str">
        <f>"000564"</f>
        <v>000564</v>
      </c>
      <c r="C2366" t="s">
        <v>5059</v>
      </c>
      <c r="D2366" t="s">
        <v>633</v>
      </c>
      <c r="F2366">
        <v>1663431676</v>
      </c>
      <c r="G2366">
        <v>2209308637</v>
      </c>
      <c r="H2366">
        <v>5760177411</v>
      </c>
      <c r="I2366">
        <v>16153012027</v>
      </c>
      <c r="J2366">
        <v>27789526701</v>
      </c>
      <c r="K2366">
        <v>13353497922</v>
      </c>
      <c r="L2366">
        <v>5847579959</v>
      </c>
      <c r="M2366">
        <v>4006549365</v>
      </c>
      <c r="N2366">
        <v>3899038514</v>
      </c>
      <c r="O2366">
        <v>3365109664</v>
      </c>
      <c r="P2366">
        <v>187</v>
      </c>
      <c r="Q2366" t="s">
        <v>5060</v>
      </c>
    </row>
    <row r="2367" spans="1:17" x14ac:dyDescent="0.3">
      <c r="A2367" t="s">
        <v>4729</v>
      </c>
      <c r="B2367" t="str">
        <f>"000565"</f>
        <v>000565</v>
      </c>
      <c r="C2367" t="s">
        <v>5061</v>
      </c>
      <c r="D2367" t="s">
        <v>2585</v>
      </c>
      <c r="F2367">
        <v>489313953</v>
      </c>
      <c r="G2367">
        <v>432884602</v>
      </c>
      <c r="H2367">
        <v>473030123</v>
      </c>
      <c r="I2367">
        <v>631238184</v>
      </c>
      <c r="J2367">
        <v>3609032831</v>
      </c>
      <c r="K2367">
        <v>2357315510</v>
      </c>
      <c r="L2367">
        <v>648341771</v>
      </c>
      <c r="M2367">
        <v>540710409</v>
      </c>
      <c r="N2367">
        <v>544962712</v>
      </c>
      <c r="O2367">
        <v>509332215</v>
      </c>
      <c r="P2367">
        <v>79</v>
      </c>
      <c r="Q2367" t="s">
        <v>5062</v>
      </c>
    </row>
    <row r="2368" spans="1:17" x14ac:dyDescent="0.3">
      <c r="A2368" t="s">
        <v>4729</v>
      </c>
      <c r="B2368" t="str">
        <f>"000566"</f>
        <v>000566</v>
      </c>
      <c r="C2368" t="s">
        <v>5063</v>
      </c>
      <c r="D2368" t="s">
        <v>143</v>
      </c>
      <c r="F2368">
        <v>2059062762</v>
      </c>
      <c r="G2368">
        <v>2200313977</v>
      </c>
      <c r="H2368">
        <v>2445289306</v>
      </c>
      <c r="I2368">
        <v>2471770222</v>
      </c>
      <c r="J2368">
        <v>1824521595</v>
      </c>
      <c r="K2368">
        <v>1508953509</v>
      </c>
      <c r="L2368">
        <v>1643822642</v>
      </c>
      <c r="M2368">
        <v>1343216111</v>
      </c>
      <c r="N2368">
        <v>1018483619</v>
      </c>
      <c r="O2368">
        <v>949887655</v>
      </c>
      <c r="P2368">
        <v>195</v>
      </c>
      <c r="Q2368" t="s">
        <v>5064</v>
      </c>
    </row>
    <row r="2369" spans="1:17" x14ac:dyDescent="0.3">
      <c r="A2369" t="s">
        <v>4729</v>
      </c>
      <c r="B2369" t="str">
        <f>"000567"</f>
        <v>000567</v>
      </c>
      <c r="C2369" t="s">
        <v>5065</v>
      </c>
      <c r="D2369" t="s">
        <v>116</v>
      </c>
      <c r="F2369">
        <v>666544561</v>
      </c>
      <c r="G2369">
        <v>311777480</v>
      </c>
      <c r="H2369">
        <v>307282377</v>
      </c>
      <c r="I2369">
        <v>338884725</v>
      </c>
      <c r="J2369">
        <v>202505534</v>
      </c>
      <c r="K2369">
        <v>44428712</v>
      </c>
      <c r="L2369">
        <v>15594158</v>
      </c>
      <c r="M2369">
        <v>14724902</v>
      </c>
      <c r="N2369">
        <v>12722138</v>
      </c>
      <c r="O2369">
        <v>11284146</v>
      </c>
      <c r="P2369">
        <v>117</v>
      </c>
      <c r="Q2369" t="s">
        <v>5066</v>
      </c>
    </row>
    <row r="2370" spans="1:17" x14ac:dyDescent="0.3">
      <c r="A2370" t="s">
        <v>4729</v>
      </c>
      <c r="B2370" t="str">
        <f>"000568"</f>
        <v>000568</v>
      </c>
      <c r="C2370" t="s">
        <v>5067</v>
      </c>
      <c r="D2370" t="s">
        <v>458</v>
      </c>
      <c r="F2370">
        <v>20642261724</v>
      </c>
      <c r="G2370">
        <v>16652854550</v>
      </c>
      <c r="H2370">
        <v>15816934273</v>
      </c>
      <c r="I2370">
        <v>13055465762</v>
      </c>
      <c r="J2370">
        <v>10394867493</v>
      </c>
      <c r="K2370">
        <v>8303996838</v>
      </c>
      <c r="L2370">
        <v>6900156927</v>
      </c>
      <c r="M2370">
        <v>5353442161</v>
      </c>
      <c r="N2370">
        <v>10431124741</v>
      </c>
      <c r="O2370">
        <v>11556353851</v>
      </c>
      <c r="P2370">
        <v>6440</v>
      </c>
      <c r="Q2370" t="s">
        <v>5068</v>
      </c>
    </row>
    <row r="2371" spans="1:17" x14ac:dyDescent="0.3">
      <c r="A2371" t="s">
        <v>4729</v>
      </c>
      <c r="B2371" t="str">
        <f>"000570"</f>
        <v>000570</v>
      </c>
      <c r="C2371" t="s">
        <v>5069</v>
      </c>
      <c r="D2371" t="s">
        <v>348</v>
      </c>
      <c r="F2371">
        <v>2452430516</v>
      </c>
      <c r="G2371">
        <v>2296464711</v>
      </c>
      <c r="H2371">
        <v>2045820801</v>
      </c>
      <c r="I2371">
        <v>2139272524</v>
      </c>
      <c r="J2371">
        <v>2429066805</v>
      </c>
      <c r="K2371">
        <v>2283028856</v>
      </c>
      <c r="L2371">
        <v>2519799547</v>
      </c>
      <c r="M2371">
        <v>2489792063</v>
      </c>
      <c r="N2371">
        <v>2927593053</v>
      </c>
      <c r="O2371">
        <v>2955536089</v>
      </c>
      <c r="P2371">
        <v>81</v>
      </c>
      <c r="Q2371" t="s">
        <v>5070</v>
      </c>
    </row>
    <row r="2372" spans="1:17" x14ac:dyDescent="0.3">
      <c r="A2372" t="s">
        <v>4729</v>
      </c>
      <c r="B2372" t="str">
        <f>"000571"</f>
        <v>000571</v>
      </c>
      <c r="C2372" t="s">
        <v>5071</v>
      </c>
      <c r="D2372" t="s">
        <v>292</v>
      </c>
      <c r="F2372">
        <v>1187477405</v>
      </c>
      <c r="G2372">
        <v>989107970</v>
      </c>
      <c r="H2372">
        <v>1439198672</v>
      </c>
      <c r="I2372">
        <v>1588519063</v>
      </c>
      <c r="J2372">
        <v>1603168965</v>
      </c>
      <c r="K2372">
        <v>870332402</v>
      </c>
      <c r="L2372">
        <v>916972851</v>
      </c>
      <c r="M2372">
        <v>951954754</v>
      </c>
      <c r="N2372">
        <v>1030112747</v>
      </c>
      <c r="O2372">
        <v>1056846106</v>
      </c>
      <c r="P2372">
        <v>72</v>
      </c>
      <c r="Q2372" t="s">
        <v>5072</v>
      </c>
    </row>
    <row r="2373" spans="1:17" x14ac:dyDescent="0.3">
      <c r="A2373" t="s">
        <v>4729</v>
      </c>
      <c r="B2373" t="str">
        <f>"000572"</f>
        <v>000572</v>
      </c>
      <c r="C2373" t="s">
        <v>5073</v>
      </c>
      <c r="D2373" t="s">
        <v>247</v>
      </c>
      <c r="F2373">
        <v>1762567426</v>
      </c>
      <c r="G2373">
        <v>1375093247</v>
      </c>
      <c r="H2373">
        <v>4690972421</v>
      </c>
      <c r="I2373">
        <v>5047154941</v>
      </c>
      <c r="J2373">
        <v>9683194933</v>
      </c>
      <c r="K2373">
        <v>13890070951</v>
      </c>
      <c r="L2373">
        <v>12180957501</v>
      </c>
      <c r="M2373">
        <v>12351981928</v>
      </c>
      <c r="N2373">
        <v>10235229799</v>
      </c>
      <c r="O2373">
        <v>8461302382</v>
      </c>
      <c r="P2373">
        <v>151</v>
      </c>
      <c r="Q2373" t="s">
        <v>5074</v>
      </c>
    </row>
    <row r="2374" spans="1:17" x14ac:dyDescent="0.3">
      <c r="A2374" t="s">
        <v>4729</v>
      </c>
      <c r="B2374" t="str">
        <f>"000573"</f>
        <v>000573</v>
      </c>
      <c r="C2374" t="s">
        <v>5075</v>
      </c>
      <c r="D2374" t="s">
        <v>104</v>
      </c>
      <c r="F2374">
        <v>1211711620</v>
      </c>
      <c r="G2374">
        <v>826058865</v>
      </c>
      <c r="H2374">
        <v>912620218</v>
      </c>
      <c r="I2374">
        <v>911676974</v>
      </c>
      <c r="J2374">
        <v>565735321</v>
      </c>
      <c r="K2374">
        <v>1125338981</v>
      </c>
      <c r="L2374">
        <v>309567400</v>
      </c>
      <c r="M2374">
        <v>870347862</v>
      </c>
      <c r="N2374">
        <v>1026799144</v>
      </c>
      <c r="O2374">
        <v>797461451</v>
      </c>
      <c r="P2374">
        <v>130</v>
      </c>
      <c r="Q2374" t="s">
        <v>5076</v>
      </c>
    </row>
    <row r="2375" spans="1:17" x14ac:dyDescent="0.3">
      <c r="A2375" t="s">
        <v>4729</v>
      </c>
      <c r="B2375" t="str">
        <f>"000576"</f>
        <v>000576</v>
      </c>
      <c r="C2375" t="s">
        <v>5077</v>
      </c>
      <c r="D2375" t="s">
        <v>428</v>
      </c>
      <c r="F2375">
        <v>539626377</v>
      </c>
      <c r="G2375">
        <v>514783193</v>
      </c>
      <c r="H2375">
        <v>494554059</v>
      </c>
      <c r="I2375">
        <v>409188880</v>
      </c>
      <c r="J2375">
        <v>474966695</v>
      </c>
      <c r="K2375">
        <v>473199768</v>
      </c>
      <c r="L2375">
        <v>398142334</v>
      </c>
      <c r="M2375">
        <v>476105813</v>
      </c>
      <c r="N2375">
        <v>451117337</v>
      </c>
      <c r="O2375">
        <v>469046037</v>
      </c>
      <c r="P2375">
        <v>161</v>
      </c>
      <c r="Q2375" t="s">
        <v>5078</v>
      </c>
    </row>
    <row r="2376" spans="1:17" x14ac:dyDescent="0.3">
      <c r="A2376" t="s">
        <v>4729</v>
      </c>
      <c r="B2376" t="str">
        <f>"000578"</f>
        <v>000578</v>
      </c>
      <c r="C2376" t="s">
        <v>5079</v>
      </c>
      <c r="N2376">
        <v>8094572606.0200005</v>
      </c>
      <c r="O2376">
        <v>8270807310.21</v>
      </c>
      <c r="P2376">
        <v>12</v>
      </c>
      <c r="Q2376" t="s">
        <v>5080</v>
      </c>
    </row>
    <row r="2377" spans="1:17" x14ac:dyDescent="0.3">
      <c r="A2377" t="s">
        <v>4729</v>
      </c>
      <c r="B2377" t="str">
        <f>"000581"</f>
        <v>000581</v>
      </c>
      <c r="C2377" t="s">
        <v>5081</v>
      </c>
      <c r="D2377" t="s">
        <v>348</v>
      </c>
      <c r="F2377">
        <v>13682426711</v>
      </c>
      <c r="G2377">
        <v>12883826307</v>
      </c>
      <c r="H2377">
        <v>8784356960</v>
      </c>
      <c r="I2377">
        <v>8721674671</v>
      </c>
      <c r="J2377">
        <v>9017280160</v>
      </c>
      <c r="K2377">
        <v>6422700399</v>
      </c>
      <c r="L2377">
        <v>5741643746</v>
      </c>
      <c r="M2377">
        <v>6354480020</v>
      </c>
      <c r="N2377">
        <v>5589307690</v>
      </c>
      <c r="O2377">
        <v>5015283419</v>
      </c>
      <c r="P2377">
        <v>1711</v>
      </c>
      <c r="Q2377" t="s">
        <v>5082</v>
      </c>
    </row>
    <row r="2378" spans="1:17" x14ac:dyDescent="0.3">
      <c r="A2378" t="s">
        <v>4729</v>
      </c>
      <c r="B2378" t="str">
        <f>"000582"</f>
        <v>000582</v>
      </c>
      <c r="C2378" t="s">
        <v>5083</v>
      </c>
      <c r="D2378" t="s">
        <v>51</v>
      </c>
      <c r="F2378">
        <v>5898319172</v>
      </c>
      <c r="G2378">
        <v>5362563703</v>
      </c>
      <c r="H2378">
        <v>4792337278</v>
      </c>
      <c r="I2378">
        <v>4210661943</v>
      </c>
      <c r="J2378">
        <v>3274872687</v>
      </c>
      <c r="K2378">
        <v>2994541520</v>
      </c>
      <c r="L2378">
        <v>3054729969</v>
      </c>
      <c r="M2378">
        <v>4237727691</v>
      </c>
      <c r="N2378">
        <v>3721542715</v>
      </c>
      <c r="O2378">
        <v>2096219777</v>
      </c>
      <c r="P2378">
        <v>227</v>
      </c>
      <c r="Q2378" t="s">
        <v>5084</v>
      </c>
    </row>
    <row r="2379" spans="1:17" x14ac:dyDescent="0.3">
      <c r="A2379" t="s">
        <v>4729</v>
      </c>
      <c r="B2379" t="str">
        <f>"000583"</f>
        <v>000583</v>
      </c>
      <c r="C2379" t="s">
        <v>5085</v>
      </c>
      <c r="P2379">
        <v>3</v>
      </c>
      <c r="Q2379" t="s">
        <v>5086</v>
      </c>
    </row>
    <row r="2380" spans="1:17" x14ac:dyDescent="0.3">
      <c r="A2380" t="s">
        <v>4729</v>
      </c>
      <c r="B2380" t="str">
        <f>"000584"</f>
        <v>000584</v>
      </c>
      <c r="C2380" t="s">
        <v>5087</v>
      </c>
      <c r="D2380" t="s">
        <v>2938</v>
      </c>
      <c r="F2380">
        <v>1722458686</v>
      </c>
      <c r="G2380">
        <v>1617874773</v>
      </c>
      <c r="H2380">
        <v>1736701250</v>
      </c>
      <c r="I2380">
        <v>2382599591</v>
      </c>
      <c r="J2380">
        <v>1571643673</v>
      </c>
      <c r="K2380">
        <v>734172154</v>
      </c>
      <c r="L2380">
        <v>1075167684</v>
      </c>
      <c r="M2380">
        <v>2013791855</v>
      </c>
      <c r="N2380">
        <v>2765797531</v>
      </c>
      <c r="O2380">
        <v>1553495394</v>
      </c>
      <c r="P2380">
        <v>134</v>
      </c>
      <c r="Q2380" t="s">
        <v>5088</v>
      </c>
    </row>
    <row r="2381" spans="1:17" x14ac:dyDescent="0.3">
      <c r="A2381" t="s">
        <v>4729</v>
      </c>
      <c r="B2381" t="str">
        <f>"000585"</f>
        <v>000585</v>
      </c>
      <c r="C2381" t="s">
        <v>5089</v>
      </c>
      <c r="D2381" t="s">
        <v>210</v>
      </c>
      <c r="F2381">
        <v>83700725</v>
      </c>
      <c r="G2381">
        <v>79990887</v>
      </c>
      <c r="H2381">
        <v>102341086</v>
      </c>
      <c r="I2381">
        <v>32311485</v>
      </c>
      <c r="J2381">
        <v>32985858</v>
      </c>
      <c r="K2381">
        <v>63514424</v>
      </c>
      <c r="L2381">
        <v>151639578</v>
      </c>
      <c r="M2381">
        <v>197513504</v>
      </c>
      <c r="N2381">
        <v>195974126</v>
      </c>
      <c r="O2381">
        <v>217220842</v>
      </c>
      <c r="P2381">
        <v>73</v>
      </c>
      <c r="Q2381" t="s">
        <v>5090</v>
      </c>
    </row>
    <row r="2382" spans="1:17" x14ac:dyDescent="0.3">
      <c r="A2382" t="s">
        <v>4729</v>
      </c>
      <c r="B2382" t="str">
        <f>"000586"</f>
        <v>000586</v>
      </c>
      <c r="C2382" t="s">
        <v>5091</v>
      </c>
      <c r="D2382" t="s">
        <v>250</v>
      </c>
      <c r="F2382">
        <v>449639252</v>
      </c>
      <c r="G2382">
        <v>485105246</v>
      </c>
      <c r="H2382">
        <v>434269804</v>
      </c>
      <c r="I2382">
        <v>426707264</v>
      </c>
      <c r="J2382">
        <v>390334146</v>
      </c>
      <c r="K2382">
        <v>454978171</v>
      </c>
      <c r="L2382">
        <v>434953768</v>
      </c>
      <c r="M2382">
        <v>474888357</v>
      </c>
      <c r="N2382">
        <v>412424032</v>
      </c>
      <c r="O2382">
        <v>438748749</v>
      </c>
      <c r="P2382">
        <v>145</v>
      </c>
      <c r="Q2382" t="s">
        <v>5092</v>
      </c>
    </row>
    <row r="2383" spans="1:17" x14ac:dyDescent="0.3">
      <c r="A2383" t="s">
        <v>4729</v>
      </c>
      <c r="B2383" t="str">
        <f>"000587"</f>
        <v>000587</v>
      </c>
      <c r="C2383" t="s">
        <v>5093</v>
      </c>
      <c r="D2383" t="s">
        <v>1238</v>
      </c>
      <c r="F2383">
        <v>99325393</v>
      </c>
      <c r="G2383">
        <v>377949987</v>
      </c>
      <c r="H2383">
        <v>4233894763</v>
      </c>
      <c r="I2383">
        <v>10479522067</v>
      </c>
      <c r="J2383">
        <v>11697510002</v>
      </c>
      <c r="K2383">
        <v>10564256235</v>
      </c>
      <c r="L2383">
        <v>9923156252</v>
      </c>
      <c r="M2383">
        <v>10332527740</v>
      </c>
      <c r="N2383">
        <v>8831383233</v>
      </c>
      <c r="O2383">
        <v>6426822247</v>
      </c>
      <c r="P2383">
        <v>114</v>
      </c>
      <c r="Q2383" t="s">
        <v>5094</v>
      </c>
    </row>
    <row r="2384" spans="1:17" x14ac:dyDescent="0.3">
      <c r="A2384" t="s">
        <v>4729</v>
      </c>
      <c r="B2384" t="str">
        <f>"000588"</f>
        <v>000588</v>
      </c>
      <c r="C2384" t="s">
        <v>5095</v>
      </c>
      <c r="K2384">
        <v>117450286.06</v>
      </c>
      <c r="L2384">
        <v>29994448.18</v>
      </c>
      <c r="M2384">
        <v>26126077.850000001</v>
      </c>
      <c r="P2384">
        <v>5</v>
      </c>
      <c r="Q2384" t="s">
        <v>5096</v>
      </c>
    </row>
    <row r="2385" spans="1:17" x14ac:dyDescent="0.3">
      <c r="A2385" t="s">
        <v>4729</v>
      </c>
      <c r="B2385" t="str">
        <f>"000589"</f>
        <v>000589</v>
      </c>
      <c r="C2385" t="s">
        <v>5097</v>
      </c>
      <c r="D2385" t="s">
        <v>422</v>
      </c>
      <c r="F2385">
        <v>7339279211</v>
      </c>
      <c r="G2385">
        <v>6808729456</v>
      </c>
      <c r="H2385">
        <v>6458337889</v>
      </c>
      <c r="I2385">
        <v>6825324936</v>
      </c>
      <c r="J2385">
        <v>6959609093</v>
      </c>
      <c r="K2385">
        <v>5587292293</v>
      </c>
      <c r="L2385">
        <v>4733467523</v>
      </c>
      <c r="M2385">
        <v>5563482024</v>
      </c>
      <c r="N2385">
        <v>6477666652</v>
      </c>
      <c r="O2385">
        <v>6596599409</v>
      </c>
      <c r="P2385">
        <v>208</v>
      </c>
      <c r="Q2385" t="s">
        <v>5098</v>
      </c>
    </row>
    <row r="2386" spans="1:17" x14ac:dyDescent="0.3">
      <c r="A2386" t="s">
        <v>4729</v>
      </c>
      <c r="B2386" t="str">
        <f>"000590"</f>
        <v>000590</v>
      </c>
      <c r="C2386" t="s">
        <v>5099</v>
      </c>
      <c r="D2386" t="s">
        <v>188</v>
      </c>
      <c r="F2386">
        <v>300774613</v>
      </c>
      <c r="G2386">
        <v>275090121</v>
      </c>
      <c r="H2386">
        <v>315034458</v>
      </c>
      <c r="I2386">
        <v>185811016</v>
      </c>
      <c r="J2386">
        <v>343539199</v>
      </c>
      <c r="K2386">
        <v>317410504</v>
      </c>
      <c r="L2386">
        <v>294719555</v>
      </c>
      <c r="M2386">
        <v>203122000</v>
      </c>
      <c r="N2386">
        <v>256000679</v>
      </c>
      <c r="O2386">
        <v>363420445</v>
      </c>
      <c r="P2386">
        <v>148</v>
      </c>
      <c r="Q2386" t="s">
        <v>5100</v>
      </c>
    </row>
    <row r="2387" spans="1:17" x14ac:dyDescent="0.3">
      <c r="A2387" t="s">
        <v>4729</v>
      </c>
      <c r="B2387" t="str">
        <f>"000591"</f>
        <v>000591</v>
      </c>
      <c r="C2387" t="s">
        <v>5101</v>
      </c>
      <c r="D2387" t="s">
        <v>86</v>
      </c>
      <c r="F2387">
        <v>7015771853</v>
      </c>
      <c r="G2387">
        <v>5305005726</v>
      </c>
      <c r="H2387">
        <v>5011085319</v>
      </c>
      <c r="I2387">
        <v>5036974038</v>
      </c>
      <c r="J2387">
        <v>5204763961</v>
      </c>
      <c r="K2387">
        <v>4333480305</v>
      </c>
      <c r="L2387">
        <v>3630280648</v>
      </c>
      <c r="M2387">
        <v>4748778301</v>
      </c>
      <c r="N2387">
        <v>4635308225</v>
      </c>
      <c r="O2387">
        <v>4708284779</v>
      </c>
      <c r="P2387">
        <v>664</v>
      </c>
      <c r="Q2387" t="s">
        <v>5102</v>
      </c>
    </row>
    <row r="2388" spans="1:17" x14ac:dyDescent="0.3">
      <c r="A2388" t="s">
        <v>4729</v>
      </c>
      <c r="B2388" t="str">
        <f>"000592"</f>
        <v>000592</v>
      </c>
      <c r="C2388" t="s">
        <v>5103</v>
      </c>
      <c r="D2388" t="s">
        <v>603</v>
      </c>
      <c r="F2388">
        <v>1606512562</v>
      </c>
      <c r="G2388">
        <v>1234263309</v>
      </c>
      <c r="H2388">
        <v>966397217</v>
      </c>
      <c r="I2388">
        <v>935428619</v>
      </c>
      <c r="J2388">
        <v>848387666</v>
      </c>
      <c r="K2388">
        <v>786230627</v>
      </c>
      <c r="L2388">
        <v>963181720</v>
      </c>
      <c r="M2388">
        <v>864754093</v>
      </c>
      <c r="N2388">
        <v>857860505</v>
      </c>
      <c r="O2388">
        <v>727285126</v>
      </c>
      <c r="P2388">
        <v>150</v>
      </c>
      <c r="Q2388" t="s">
        <v>5104</v>
      </c>
    </row>
    <row r="2389" spans="1:17" x14ac:dyDescent="0.3">
      <c r="A2389" t="s">
        <v>4729</v>
      </c>
      <c r="B2389" t="str">
        <f>"000593"</f>
        <v>000593</v>
      </c>
      <c r="C2389" t="s">
        <v>5105</v>
      </c>
      <c r="D2389" t="s">
        <v>749</v>
      </c>
      <c r="F2389">
        <v>1507498714</v>
      </c>
      <c r="G2389">
        <v>1275434693</v>
      </c>
      <c r="H2389">
        <v>1037957543</v>
      </c>
      <c r="I2389">
        <v>630964896</v>
      </c>
      <c r="J2389">
        <v>485589664</v>
      </c>
      <c r="K2389">
        <v>473502647</v>
      </c>
      <c r="L2389">
        <v>421369385</v>
      </c>
      <c r="M2389">
        <v>442890181</v>
      </c>
      <c r="N2389">
        <v>459968229</v>
      </c>
      <c r="O2389">
        <v>450426627</v>
      </c>
      <c r="P2389">
        <v>80</v>
      </c>
      <c r="Q2389" t="s">
        <v>5106</v>
      </c>
    </row>
    <row r="2390" spans="1:17" x14ac:dyDescent="0.3">
      <c r="A2390" t="s">
        <v>4729</v>
      </c>
      <c r="B2390" t="str">
        <f>"000594"</f>
        <v>000594</v>
      </c>
      <c r="C2390" t="s">
        <v>5107</v>
      </c>
      <c r="L2390">
        <v>7779032.5</v>
      </c>
      <c r="M2390">
        <v>7831678</v>
      </c>
      <c r="N2390">
        <v>419794880.72000003</v>
      </c>
      <c r="O2390">
        <v>871409529.39999998</v>
      </c>
      <c r="P2390">
        <v>3</v>
      </c>
      <c r="Q2390" t="s">
        <v>5108</v>
      </c>
    </row>
    <row r="2391" spans="1:17" x14ac:dyDescent="0.3">
      <c r="A2391" t="s">
        <v>4729</v>
      </c>
      <c r="B2391" t="str">
        <f>"000595"</f>
        <v>000595</v>
      </c>
      <c r="C2391" t="s">
        <v>5109</v>
      </c>
      <c r="D2391" t="s">
        <v>274</v>
      </c>
      <c r="F2391">
        <v>174767014</v>
      </c>
      <c r="G2391">
        <v>204908811</v>
      </c>
      <c r="H2391">
        <v>311233895</v>
      </c>
      <c r="I2391">
        <v>432317737</v>
      </c>
      <c r="J2391">
        <v>435761930</v>
      </c>
      <c r="K2391">
        <v>355699119</v>
      </c>
      <c r="L2391">
        <v>261571808</v>
      </c>
      <c r="M2391">
        <v>444995823</v>
      </c>
      <c r="N2391">
        <v>324873629</v>
      </c>
      <c r="O2391">
        <v>373677479</v>
      </c>
      <c r="P2391">
        <v>98</v>
      </c>
      <c r="Q2391" t="s">
        <v>5110</v>
      </c>
    </row>
    <row r="2392" spans="1:17" x14ac:dyDescent="0.3">
      <c r="A2392" t="s">
        <v>4729</v>
      </c>
      <c r="B2392" t="str">
        <f>"000596"</f>
        <v>000596</v>
      </c>
      <c r="C2392" t="s">
        <v>5111</v>
      </c>
      <c r="D2392" t="s">
        <v>458</v>
      </c>
      <c r="F2392">
        <v>13269826266</v>
      </c>
      <c r="G2392">
        <v>10292064534</v>
      </c>
      <c r="H2392">
        <v>10416961584</v>
      </c>
      <c r="I2392">
        <v>8686140337</v>
      </c>
      <c r="J2392">
        <v>6968325049</v>
      </c>
      <c r="K2392">
        <v>6017143661</v>
      </c>
      <c r="L2392">
        <v>5253411479</v>
      </c>
      <c r="M2392">
        <v>4650855882</v>
      </c>
      <c r="N2392">
        <v>4580575655</v>
      </c>
      <c r="O2392">
        <v>4197057315</v>
      </c>
      <c r="P2392">
        <v>53674</v>
      </c>
      <c r="Q2392" t="s">
        <v>5112</v>
      </c>
    </row>
    <row r="2393" spans="1:17" x14ac:dyDescent="0.3">
      <c r="A2393" t="s">
        <v>4729</v>
      </c>
      <c r="B2393" t="str">
        <f>"000597"</f>
        <v>000597</v>
      </c>
      <c r="C2393" t="s">
        <v>5113</v>
      </c>
      <c r="D2393" t="s">
        <v>143</v>
      </c>
      <c r="F2393">
        <v>8145117457</v>
      </c>
      <c r="G2393">
        <v>7384354376</v>
      </c>
      <c r="H2393">
        <v>8220102898</v>
      </c>
      <c r="I2393">
        <v>7466555237</v>
      </c>
      <c r="J2393">
        <v>5676351555</v>
      </c>
      <c r="K2393">
        <v>4814401660</v>
      </c>
      <c r="L2393">
        <v>3834432031</v>
      </c>
      <c r="M2393">
        <v>4333321644</v>
      </c>
      <c r="N2393">
        <v>3870591228</v>
      </c>
      <c r="O2393">
        <v>3864913100</v>
      </c>
      <c r="P2393">
        <v>131</v>
      </c>
      <c r="Q2393" t="s">
        <v>5114</v>
      </c>
    </row>
    <row r="2394" spans="1:17" x14ac:dyDescent="0.3">
      <c r="A2394" t="s">
        <v>4729</v>
      </c>
      <c r="B2394" t="str">
        <f>"000598"</f>
        <v>000598</v>
      </c>
      <c r="C2394" t="s">
        <v>5115</v>
      </c>
      <c r="D2394" t="s">
        <v>33</v>
      </c>
      <c r="F2394">
        <v>6732361618</v>
      </c>
      <c r="G2394">
        <v>5370614279</v>
      </c>
      <c r="H2394">
        <v>4838024958</v>
      </c>
      <c r="I2394">
        <v>4159649976</v>
      </c>
      <c r="J2394">
        <v>3731338949</v>
      </c>
      <c r="K2394">
        <v>3058335516</v>
      </c>
      <c r="L2394">
        <v>3062487116</v>
      </c>
      <c r="M2394">
        <v>2724256441</v>
      </c>
      <c r="N2394">
        <v>2416650031</v>
      </c>
      <c r="O2394">
        <v>2151845762</v>
      </c>
      <c r="P2394">
        <v>444</v>
      </c>
      <c r="Q2394" t="s">
        <v>5116</v>
      </c>
    </row>
    <row r="2395" spans="1:17" x14ac:dyDescent="0.3">
      <c r="A2395" t="s">
        <v>4729</v>
      </c>
      <c r="B2395" t="str">
        <f>"000599"</f>
        <v>000599</v>
      </c>
      <c r="C2395" t="s">
        <v>5117</v>
      </c>
      <c r="D2395" t="s">
        <v>422</v>
      </c>
      <c r="F2395">
        <v>3924521010</v>
      </c>
      <c r="G2395">
        <v>4420681414</v>
      </c>
      <c r="H2395">
        <v>4123789731</v>
      </c>
      <c r="I2395">
        <v>3745414514</v>
      </c>
      <c r="J2395">
        <v>3997767665</v>
      </c>
      <c r="K2395">
        <v>4927726205</v>
      </c>
      <c r="L2395">
        <v>2993705265</v>
      </c>
      <c r="M2395">
        <v>3977990679</v>
      </c>
      <c r="N2395">
        <v>5271772960</v>
      </c>
      <c r="O2395">
        <v>5908510699</v>
      </c>
      <c r="P2395">
        <v>119</v>
      </c>
      <c r="Q2395" t="s">
        <v>5118</v>
      </c>
    </row>
    <row r="2396" spans="1:17" x14ac:dyDescent="0.3">
      <c r="A2396" t="s">
        <v>4729</v>
      </c>
      <c r="B2396" t="str">
        <f>"000600"</f>
        <v>000600</v>
      </c>
      <c r="C2396" t="s">
        <v>5119</v>
      </c>
      <c r="D2396" t="s">
        <v>41</v>
      </c>
      <c r="F2396">
        <v>15040803081</v>
      </c>
      <c r="G2396">
        <v>14219347121</v>
      </c>
      <c r="H2396">
        <v>13963722825</v>
      </c>
      <c r="I2396">
        <v>13976286807</v>
      </c>
      <c r="J2396">
        <v>10537678443</v>
      </c>
      <c r="K2396">
        <v>9453135968</v>
      </c>
      <c r="L2396">
        <v>9625906980</v>
      </c>
      <c r="M2396">
        <v>10891135521</v>
      </c>
      <c r="N2396">
        <v>8701750687</v>
      </c>
      <c r="O2396">
        <v>6420096554</v>
      </c>
      <c r="P2396">
        <v>312</v>
      </c>
      <c r="Q2396" t="s">
        <v>5120</v>
      </c>
    </row>
    <row r="2397" spans="1:17" x14ac:dyDescent="0.3">
      <c r="A2397" t="s">
        <v>4729</v>
      </c>
      <c r="B2397" t="str">
        <f>"000601"</f>
        <v>000601</v>
      </c>
      <c r="C2397" t="s">
        <v>5121</v>
      </c>
      <c r="D2397" t="s">
        <v>66</v>
      </c>
      <c r="F2397">
        <v>3966084622</v>
      </c>
      <c r="G2397">
        <v>4959273053</v>
      </c>
      <c r="H2397">
        <v>4306246218</v>
      </c>
      <c r="I2397">
        <v>3428310143</v>
      </c>
      <c r="J2397">
        <v>3594104127</v>
      </c>
      <c r="K2397">
        <v>3198765337</v>
      </c>
      <c r="L2397">
        <v>3007221780</v>
      </c>
      <c r="M2397">
        <v>3009520819</v>
      </c>
      <c r="N2397">
        <v>2339664458</v>
      </c>
      <c r="O2397">
        <v>2148907367</v>
      </c>
      <c r="P2397">
        <v>215</v>
      </c>
      <c r="Q2397" t="s">
        <v>5122</v>
      </c>
    </row>
    <row r="2398" spans="1:17" x14ac:dyDescent="0.3">
      <c r="A2398" t="s">
        <v>4729</v>
      </c>
      <c r="B2398" t="str">
        <f>"000602"</f>
        <v>000602</v>
      </c>
      <c r="C2398" t="s">
        <v>5123</v>
      </c>
      <c r="O2398">
        <v>4791575028.2600002</v>
      </c>
      <c r="P2398">
        <v>5</v>
      </c>
      <c r="Q2398" t="s">
        <v>5124</v>
      </c>
    </row>
    <row r="2399" spans="1:17" x14ac:dyDescent="0.3">
      <c r="A2399" t="s">
        <v>4729</v>
      </c>
      <c r="B2399" t="str">
        <f>"000603"</f>
        <v>000603</v>
      </c>
      <c r="C2399" t="s">
        <v>5125</v>
      </c>
      <c r="D2399" t="s">
        <v>744</v>
      </c>
      <c r="F2399">
        <v>1638010325</v>
      </c>
      <c r="G2399">
        <v>1637777143</v>
      </c>
      <c r="H2399">
        <v>2900686684</v>
      </c>
      <c r="I2399">
        <v>2401820095</v>
      </c>
      <c r="J2399">
        <v>1096020556</v>
      </c>
      <c r="K2399">
        <v>686381695</v>
      </c>
      <c r="L2399">
        <v>824339513</v>
      </c>
      <c r="M2399">
        <v>741216250</v>
      </c>
      <c r="N2399">
        <v>842999312</v>
      </c>
      <c r="O2399">
        <v>922846493</v>
      </c>
      <c r="P2399">
        <v>351</v>
      </c>
      <c r="Q2399" t="s">
        <v>5126</v>
      </c>
    </row>
    <row r="2400" spans="1:17" x14ac:dyDescent="0.3">
      <c r="A2400" t="s">
        <v>4729</v>
      </c>
      <c r="B2400" t="str">
        <f>"000605"</f>
        <v>000605</v>
      </c>
      <c r="C2400" t="s">
        <v>5127</v>
      </c>
      <c r="D2400" t="s">
        <v>33</v>
      </c>
      <c r="F2400">
        <v>1812227480</v>
      </c>
      <c r="G2400">
        <v>1887061360</v>
      </c>
      <c r="H2400">
        <v>1898551962</v>
      </c>
      <c r="I2400">
        <v>1566740893</v>
      </c>
      <c r="J2400">
        <v>1662946089</v>
      </c>
      <c r="K2400">
        <v>798784320</v>
      </c>
      <c r="L2400">
        <v>761240715</v>
      </c>
      <c r="M2400">
        <v>728249273</v>
      </c>
      <c r="N2400">
        <v>71449169</v>
      </c>
      <c r="O2400">
        <v>58239754</v>
      </c>
      <c r="P2400">
        <v>85</v>
      </c>
      <c r="Q2400" t="s">
        <v>5128</v>
      </c>
    </row>
    <row r="2401" spans="1:17" x14ac:dyDescent="0.3">
      <c r="A2401" t="s">
        <v>4729</v>
      </c>
      <c r="B2401" t="str">
        <f>"000606"</f>
        <v>000606</v>
      </c>
      <c r="C2401" t="s">
        <v>5129</v>
      </c>
      <c r="D2401" t="s">
        <v>316</v>
      </c>
      <c r="F2401">
        <v>199648347</v>
      </c>
      <c r="G2401">
        <v>774504022</v>
      </c>
      <c r="H2401">
        <v>2025037869</v>
      </c>
      <c r="I2401">
        <v>735139995</v>
      </c>
      <c r="J2401">
        <v>515934485</v>
      </c>
      <c r="K2401">
        <v>411857725</v>
      </c>
      <c r="L2401">
        <v>268902779</v>
      </c>
      <c r="M2401">
        <v>358771270</v>
      </c>
      <c r="N2401">
        <v>376400028</v>
      </c>
      <c r="O2401">
        <v>315068457</v>
      </c>
      <c r="P2401">
        <v>99</v>
      </c>
      <c r="Q2401" t="s">
        <v>5130</v>
      </c>
    </row>
    <row r="2402" spans="1:17" x14ac:dyDescent="0.3">
      <c r="A2402" t="s">
        <v>4729</v>
      </c>
      <c r="B2402" t="str">
        <f>"000607"</f>
        <v>000607</v>
      </c>
      <c r="C2402" t="s">
        <v>5131</v>
      </c>
      <c r="D2402" t="s">
        <v>5132</v>
      </c>
      <c r="F2402">
        <v>1965123582</v>
      </c>
      <c r="G2402">
        <v>1666381187</v>
      </c>
      <c r="H2402">
        <v>1822062333</v>
      </c>
      <c r="I2402">
        <v>1749518997</v>
      </c>
      <c r="J2402">
        <v>1832268001</v>
      </c>
      <c r="K2402">
        <v>1832144605</v>
      </c>
      <c r="L2402">
        <v>1554030721</v>
      </c>
      <c r="M2402">
        <v>1485240217</v>
      </c>
      <c r="N2402">
        <v>2250957999</v>
      </c>
      <c r="O2402">
        <v>1767888581</v>
      </c>
      <c r="P2402">
        <v>109</v>
      </c>
      <c r="Q2402" t="s">
        <v>5133</v>
      </c>
    </row>
    <row r="2403" spans="1:17" x14ac:dyDescent="0.3">
      <c r="A2403" t="s">
        <v>4729</v>
      </c>
      <c r="B2403" t="str">
        <f>"000608"</f>
        <v>000608</v>
      </c>
      <c r="C2403" t="s">
        <v>5134</v>
      </c>
      <c r="D2403" t="s">
        <v>30</v>
      </c>
      <c r="F2403">
        <v>567554916</v>
      </c>
      <c r="G2403">
        <v>570162656</v>
      </c>
      <c r="H2403">
        <v>242774000</v>
      </c>
      <c r="I2403">
        <v>288849000</v>
      </c>
      <c r="J2403">
        <v>534420000</v>
      </c>
      <c r="K2403">
        <v>639555000</v>
      </c>
      <c r="L2403">
        <v>647600000</v>
      </c>
      <c r="M2403">
        <v>1358598000</v>
      </c>
      <c r="N2403">
        <v>689851000</v>
      </c>
      <c r="O2403">
        <v>545978000</v>
      </c>
      <c r="P2403">
        <v>102</v>
      </c>
      <c r="Q2403" t="s">
        <v>5135</v>
      </c>
    </row>
    <row r="2404" spans="1:17" x14ac:dyDescent="0.3">
      <c r="A2404" t="s">
        <v>4729</v>
      </c>
      <c r="B2404" t="str">
        <f>"000609"</f>
        <v>000609</v>
      </c>
      <c r="C2404" t="s">
        <v>5136</v>
      </c>
      <c r="D2404" t="s">
        <v>104</v>
      </c>
      <c r="F2404">
        <v>784646415</v>
      </c>
      <c r="G2404">
        <v>106197700</v>
      </c>
      <c r="H2404">
        <v>547908255</v>
      </c>
      <c r="I2404">
        <v>29492663</v>
      </c>
      <c r="J2404">
        <v>271220986</v>
      </c>
      <c r="K2404">
        <v>131498588</v>
      </c>
      <c r="L2404">
        <v>454676146</v>
      </c>
      <c r="M2404">
        <v>618674278</v>
      </c>
      <c r="N2404">
        <v>313953023</v>
      </c>
      <c r="O2404">
        <v>166957524</v>
      </c>
      <c r="P2404">
        <v>95</v>
      </c>
      <c r="Q2404" t="s">
        <v>5137</v>
      </c>
    </row>
    <row r="2405" spans="1:17" x14ac:dyDescent="0.3">
      <c r="A2405" t="s">
        <v>4729</v>
      </c>
      <c r="B2405" t="str">
        <f>"000610"</f>
        <v>000610</v>
      </c>
      <c r="C2405" t="s">
        <v>5138</v>
      </c>
      <c r="D2405" t="s">
        <v>590</v>
      </c>
      <c r="F2405">
        <v>560654445</v>
      </c>
      <c r="G2405">
        <v>299367471</v>
      </c>
      <c r="H2405">
        <v>863920273</v>
      </c>
      <c r="I2405">
        <v>885848812</v>
      </c>
      <c r="J2405">
        <v>729728210</v>
      </c>
      <c r="K2405">
        <v>800363647</v>
      </c>
      <c r="L2405">
        <v>760402742</v>
      </c>
      <c r="M2405">
        <v>698860138</v>
      </c>
      <c r="N2405">
        <v>671029575</v>
      </c>
      <c r="O2405">
        <v>851729863</v>
      </c>
      <c r="P2405">
        <v>152</v>
      </c>
      <c r="Q2405" t="s">
        <v>5139</v>
      </c>
    </row>
    <row r="2406" spans="1:17" x14ac:dyDescent="0.3">
      <c r="A2406" t="s">
        <v>4729</v>
      </c>
      <c r="B2406" t="str">
        <f>"000611"</f>
        <v>000611</v>
      </c>
      <c r="C2406" t="s">
        <v>5140</v>
      </c>
      <c r="D2406" t="s">
        <v>292</v>
      </c>
      <c r="F2406">
        <v>132942969</v>
      </c>
      <c r="G2406">
        <v>7395023</v>
      </c>
      <c r="H2406">
        <v>46547339</v>
      </c>
      <c r="I2406">
        <v>18670072</v>
      </c>
      <c r="J2406">
        <v>40779335</v>
      </c>
      <c r="K2406">
        <v>29829250</v>
      </c>
      <c r="L2406">
        <v>33914247</v>
      </c>
      <c r="M2406">
        <v>67177065</v>
      </c>
      <c r="N2406">
        <v>1153689395</v>
      </c>
      <c r="O2406">
        <v>183101319</v>
      </c>
      <c r="P2406">
        <v>68</v>
      </c>
      <c r="Q2406" t="s">
        <v>5141</v>
      </c>
    </row>
    <row r="2407" spans="1:17" x14ac:dyDescent="0.3">
      <c r="A2407" t="s">
        <v>4729</v>
      </c>
      <c r="B2407" t="str">
        <f>"000612"</f>
        <v>000612</v>
      </c>
      <c r="C2407" t="s">
        <v>5142</v>
      </c>
      <c r="D2407" t="s">
        <v>504</v>
      </c>
      <c r="F2407">
        <v>4917909772</v>
      </c>
      <c r="G2407">
        <v>4744064718</v>
      </c>
      <c r="H2407">
        <v>4761183623</v>
      </c>
      <c r="I2407">
        <v>4908824942</v>
      </c>
      <c r="J2407">
        <v>5016764070</v>
      </c>
      <c r="K2407">
        <v>3926000567</v>
      </c>
      <c r="L2407">
        <v>4658342704</v>
      </c>
      <c r="M2407">
        <v>5249648590</v>
      </c>
      <c r="N2407">
        <v>5615661294</v>
      </c>
      <c r="O2407">
        <v>6123802715</v>
      </c>
      <c r="P2407">
        <v>199</v>
      </c>
      <c r="Q2407" t="s">
        <v>5143</v>
      </c>
    </row>
    <row r="2408" spans="1:17" x14ac:dyDescent="0.3">
      <c r="A2408" t="s">
        <v>4729</v>
      </c>
      <c r="B2408" t="str">
        <f>"000613"</f>
        <v>000613</v>
      </c>
      <c r="C2408" t="s">
        <v>5144</v>
      </c>
      <c r="D2408" t="s">
        <v>590</v>
      </c>
      <c r="F2408">
        <v>30234469</v>
      </c>
      <c r="G2408">
        <v>15511989</v>
      </c>
      <c r="H2408">
        <v>25935405</v>
      </c>
      <c r="I2408">
        <v>29515592</v>
      </c>
      <c r="J2408">
        <v>27906564</v>
      </c>
      <c r="K2408">
        <v>21708884</v>
      </c>
      <c r="L2408">
        <v>15885923</v>
      </c>
      <c r="M2408">
        <v>20202134</v>
      </c>
      <c r="N2408">
        <v>23660780</v>
      </c>
      <c r="O2408">
        <v>32184701</v>
      </c>
      <c r="P2408">
        <v>100</v>
      </c>
      <c r="Q2408" t="s">
        <v>5145</v>
      </c>
    </row>
    <row r="2409" spans="1:17" x14ac:dyDescent="0.3">
      <c r="A2409" t="s">
        <v>4729</v>
      </c>
      <c r="B2409" t="str">
        <f>"000615"</f>
        <v>000615</v>
      </c>
      <c r="C2409" t="s">
        <v>5146</v>
      </c>
      <c r="D2409" t="s">
        <v>5147</v>
      </c>
      <c r="F2409">
        <v>1538671100</v>
      </c>
      <c r="G2409">
        <v>1987344106</v>
      </c>
      <c r="H2409">
        <v>3150404424</v>
      </c>
      <c r="I2409">
        <v>2888554718</v>
      </c>
      <c r="J2409">
        <v>2795030580</v>
      </c>
      <c r="K2409">
        <v>4242616852</v>
      </c>
      <c r="L2409">
        <v>2413281319</v>
      </c>
      <c r="M2409">
        <v>694885829</v>
      </c>
      <c r="N2409">
        <v>643919203</v>
      </c>
      <c r="O2409">
        <v>730148636</v>
      </c>
      <c r="P2409">
        <v>188</v>
      </c>
      <c r="Q2409" t="s">
        <v>5148</v>
      </c>
    </row>
    <row r="2410" spans="1:17" x14ac:dyDescent="0.3">
      <c r="A2410" t="s">
        <v>4729</v>
      </c>
      <c r="B2410" t="str">
        <f>"000616"</f>
        <v>000616</v>
      </c>
      <c r="C2410" t="s">
        <v>5149</v>
      </c>
      <c r="D2410" t="s">
        <v>104</v>
      </c>
      <c r="F2410">
        <v>35520188</v>
      </c>
      <c r="G2410">
        <v>1254775377</v>
      </c>
      <c r="H2410">
        <v>213484096</v>
      </c>
      <c r="I2410">
        <v>269902657</v>
      </c>
      <c r="J2410">
        <v>96707290</v>
      </c>
      <c r="K2410">
        <v>286683728</v>
      </c>
      <c r="L2410">
        <v>1231346298</v>
      </c>
      <c r="M2410">
        <v>2000633776</v>
      </c>
      <c r="N2410">
        <v>2591951176</v>
      </c>
      <c r="O2410">
        <v>2555963292</v>
      </c>
      <c r="P2410">
        <v>140</v>
      </c>
      <c r="Q2410" t="s">
        <v>5150</v>
      </c>
    </row>
    <row r="2411" spans="1:17" x14ac:dyDescent="0.3">
      <c r="A2411" t="s">
        <v>4729</v>
      </c>
      <c r="B2411" t="str">
        <f>"000617"</f>
        <v>000617</v>
      </c>
      <c r="C2411" t="s">
        <v>5151</v>
      </c>
      <c r="D2411" t="s">
        <v>140</v>
      </c>
      <c r="F2411">
        <v>738524708</v>
      </c>
      <c r="G2411">
        <v>819256875</v>
      </c>
      <c r="H2411">
        <v>794507497</v>
      </c>
      <c r="I2411">
        <v>627329985</v>
      </c>
      <c r="J2411">
        <v>376051393</v>
      </c>
      <c r="K2411">
        <v>746103772</v>
      </c>
      <c r="L2411">
        <v>901787760</v>
      </c>
      <c r="M2411">
        <v>929518744</v>
      </c>
      <c r="N2411">
        <v>1624727210</v>
      </c>
      <c r="O2411">
        <v>1550635406</v>
      </c>
      <c r="P2411">
        <v>232</v>
      </c>
      <c r="Q2411" t="s">
        <v>5152</v>
      </c>
    </row>
    <row r="2412" spans="1:17" x14ac:dyDescent="0.3">
      <c r="A2412" t="s">
        <v>4729</v>
      </c>
      <c r="B2412" t="str">
        <f>"000619"</f>
        <v>000619</v>
      </c>
      <c r="C2412" t="s">
        <v>5153</v>
      </c>
      <c r="D2412" t="s">
        <v>722</v>
      </c>
      <c r="F2412">
        <v>4853585317</v>
      </c>
      <c r="G2412">
        <v>3907963514</v>
      </c>
      <c r="H2412">
        <v>3614279528</v>
      </c>
      <c r="I2412">
        <v>3090340154</v>
      </c>
      <c r="J2412">
        <v>3087657816</v>
      </c>
      <c r="K2412">
        <v>3184514747</v>
      </c>
      <c r="L2412">
        <v>3429096415</v>
      </c>
      <c r="M2412">
        <v>3903965120</v>
      </c>
      <c r="N2412">
        <v>4052654656</v>
      </c>
      <c r="O2412">
        <v>4196439087</v>
      </c>
      <c r="P2412">
        <v>98</v>
      </c>
      <c r="Q2412" t="s">
        <v>5154</v>
      </c>
    </row>
    <row r="2413" spans="1:17" x14ac:dyDescent="0.3">
      <c r="A2413" t="s">
        <v>4729</v>
      </c>
      <c r="B2413" t="str">
        <f>"000620"</f>
        <v>000620</v>
      </c>
      <c r="C2413" t="s">
        <v>5155</v>
      </c>
      <c r="D2413" t="s">
        <v>104</v>
      </c>
      <c r="F2413">
        <v>8598781556</v>
      </c>
      <c r="G2413">
        <v>7083884205</v>
      </c>
      <c r="H2413">
        <v>11988457548</v>
      </c>
      <c r="I2413">
        <v>14001004940</v>
      </c>
      <c r="J2413">
        <v>7441404785</v>
      </c>
      <c r="K2413">
        <v>7515811119</v>
      </c>
      <c r="L2413">
        <v>4646683452</v>
      </c>
      <c r="M2413">
        <v>3501024209</v>
      </c>
      <c r="N2413">
        <v>2601176915</v>
      </c>
      <c r="O2413">
        <v>2462562896</v>
      </c>
      <c r="P2413">
        <v>298</v>
      </c>
      <c r="Q2413" t="s">
        <v>5156</v>
      </c>
    </row>
    <row r="2414" spans="1:17" x14ac:dyDescent="0.3">
      <c r="A2414" t="s">
        <v>4729</v>
      </c>
      <c r="B2414" t="str">
        <f>"000622"</f>
        <v>000622</v>
      </c>
      <c r="C2414" t="s">
        <v>5157</v>
      </c>
      <c r="D2414" t="s">
        <v>110</v>
      </c>
      <c r="F2414">
        <v>353714059</v>
      </c>
      <c r="G2414">
        <v>343192052</v>
      </c>
      <c r="H2414">
        <v>345616128</v>
      </c>
      <c r="I2414">
        <v>195407098</v>
      </c>
      <c r="J2414">
        <v>58733082</v>
      </c>
      <c r="K2414">
        <v>41869686</v>
      </c>
      <c r="L2414">
        <v>47042013</v>
      </c>
      <c r="M2414">
        <v>54731652</v>
      </c>
      <c r="N2414">
        <v>183080852</v>
      </c>
      <c r="O2414">
        <v>128858192</v>
      </c>
      <c r="P2414">
        <v>101</v>
      </c>
      <c r="Q2414" t="s">
        <v>5158</v>
      </c>
    </row>
    <row r="2415" spans="1:17" x14ac:dyDescent="0.3">
      <c r="A2415" t="s">
        <v>4729</v>
      </c>
      <c r="B2415" t="str">
        <f>"000623"</f>
        <v>000623</v>
      </c>
      <c r="C2415" t="s">
        <v>5159</v>
      </c>
      <c r="D2415" t="s">
        <v>143</v>
      </c>
      <c r="F2415">
        <v>2303763764</v>
      </c>
      <c r="G2415">
        <v>2251650950</v>
      </c>
      <c r="H2415">
        <v>3088379592</v>
      </c>
      <c r="I2415">
        <v>3324078266</v>
      </c>
      <c r="J2415">
        <v>2976771645</v>
      </c>
      <c r="K2415">
        <v>2736697077</v>
      </c>
      <c r="L2415">
        <v>2334760837</v>
      </c>
      <c r="M2415">
        <v>2240099344</v>
      </c>
      <c r="N2415">
        <v>1956861171</v>
      </c>
      <c r="O2415">
        <v>1445463170</v>
      </c>
      <c r="P2415">
        <v>671</v>
      </c>
      <c r="Q2415" t="s">
        <v>5160</v>
      </c>
    </row>
    <row r="2416" spans="1:17" x14ac:dyDescent="0.3">
      <c r="A2416" t="s">
        <v>4729</v>
      </c>
      <c r="B2416" t="str">
        <f>"000625"</f>
        <v>000625</v>
      </c>
      <c r="C2416" t="s">
        <v>5161</v>
      </c>
      <c r="D2416" t="s">
        <v>247</v>
      </c>
      <c r="F2416">
        <v>105141877237</v>
      </c>
      <c r="G2416">
        <v>84565544147</v>
      </c>
      <c r="H2416">
        <v>70595245133</v>
      </c>
      <c r="I2416">
        <v>66298270390</v>
      </c>
      <c r="J2416">
        <v>80012205182</v>
      </c>
      <c r="K2416">
        <v>78542441757</v>
      </c>
      <c r="L2416">
        <v>66771580528</v>
      </c>
      <c r="M2416">
        <v>52913332101</v>
      </c>
      <c r="N2416">
        <v>38481862262</v>
      </c>
      <c r="O2416">
        <v>29462588754</v>
      </c>
      <c r="P2416">
        <v>3098</v>
      </c>
      <c r="Q2416" t="s">
        <v>5162</v>
      </c>
    </row>
    <row r="2417" spans="1:17" x14ac:dyDescent="0.3">
      <c r="A2417" t="s">
        <v>4729</v>
      </c>
      <c r="B2417" t="str">
        <f>"000626"</f>
        <v>000626</v>
      </c>
      <c r="C2417" t="s">
        <v>5163</v>
      </c>
      <c r="D2417" t="s">
        <v>128</v>
      </c>
      <c r="F2417">
        <v>81561908376</v>
      </c>
      <c r="G2417">
        <v>59041455358</v>
      </c>
      <c r="H2417">
        <v>67754168436</v>
      </c>
      <c r="I2417">
        <v>66026916003</v>
      </c>
      <c r="J2417">
        <v>101525281035</v>
      </c>
      <c r="K2417">
        <v>75752128778</v>
      </c>
      <c r="L2417">
        <v>55366237955</v>
      </c>
      <c r="M2417">
        <v>45638531783</v>
      </c>
      <c r="N2417">
        <v>45194824224</v>
      </c>
      <c r="O2417">
        <v>36307699656</v>
      </c>
      <c r="P2417">
        <v>125</v>
      </c>
      <c r="Q2417" t="s">
        <v>5164</v>
      </c>
    </row>
    <row r="2418" spans="1:17" x14ac:dyDescent="0.3">
      <c r="A2418" t="s">
        <v>4729</v>
      </c>
      <c r="B2418" t="str">
        <f>"000627"</f>
        <v>000627</v>
      </c>
      <c r="C2418" t="s">
        <v>5165</v>
      </c>
      <c r="D2418" t="s">
        <v>660</v>
      </c>
      <c r="H2418">
        <v>50192084322</v>
      </c>
      <c r="I2418">
        <v>574838991</v>
      </c>
      <c r="J2418">
        <v>519632787</v>
      </c>
      <c r="K2418">
        <v>481326237</v>
      </c>
      <c r="L2418">
        <v>541107137</v>
      </c>
      <c r="M2418">
        <v>806442682</v>
      </c>
      <c r="N2418">
        <v>967950657</v>
      </c>
      <c r="O2418">
        <v>779736170</v>
      </c>
      <c r="P2418">
        <v>288</v>
      </c>
      <c r="Q2418" t="s">
        <v>5166</v>
      </c>
    </row>
    <row r="2419" spans="1:17" x14ac:dyDescent="0.3">
      <c r="A2419" t="s">
        <v>4729</v>
      </c>
      <c r="B2419" t="str">
        <f>"000628"</f>
        <v>000628</v>
      </c>
      <c r="C2419" t="s">
        <v>5167</v>
      </c>
      <c r="D2419" t="s">
        <v>398</v>
      </c>
      <c r="F2419">
        <v>6611796782</v>
      </c>
      <c r="G2419">
        <v>5533078837</v>
      </c>
      <c r="H2419">
        <v>3310871525</v>
      </c>
      <c r="I2419">
        <v>953240914</v>
      </c>
      <c r="J2419">
        <v>572608640</v>
      </c>
      <c r="K2419">
        <v>1113763304</v>
      </c>
      <c r="L2419">
        <v>1770758263</v>
      </c>
      <c r="M2419">
        <v>1952807555</v>
      </c>
      <c r="N2419">
        <v>2078407149</v>
      </c>
      <c r="O2419">
        <v>1406710288</v>
      </c>
      <c r="P2419">
        <v>127</v>
      </c>
      <c r="Q2419" t="s">
        <v>5168</v>
      </c>
    </row>
    <row r="2420" spans="1:17" x14ac:dyDescent="0.3">
      <c r="A2420" t="s">
        <v>4729</v>
      </c>
      <c r="B2420" t="str">
        <f>"000629"</f>
        <v>000629</v>
      </c>
      <c r="C2420" t="s">
        <v>5169</v>
      </c>
      <c r="D2420" t="s">
        <v>669</v>
      </c>
      <c r="F2420">
        <v>14060273803</v>
      </c>
      <c r="G2420">
        <v>10578911805</v>
      </c>
      <c r="H2420">
        <v>13158669728</v>
      </c>
      <c r="I2420">
        <v>15161401767</v>
      </c>
      <c r="J2420">
        <v>9435750846</v>
      </c>
      <c r="K2420">
        <v>10610005855</v>
      </c>
      <c r="L2420">
        <v>11417447171</v>
      </c>
      <c r="M2420">
        <v>16779307965</v>
      </c>
      <c r="N2420">
        <v>15601882600</v>
      </c>
      <c r="O2420">
        <v>15602599736</v>
      </c>
      <c r="P2420">
        <v>335</v>
      </c>
      <c r="Q2420" t="s">
        <v>5170</v>
      </c>
    </row>
    <row r="2421" spans="1:17" x14ac:dyDescent="0.3">
      <c r="A2421" t="s">
        <v>4729</v>
      </c>
      <c r="B2421" t="str">
        <f>"000630"</f>
        <v>000630</v>
      </c>
      <c r="C2421" t="s">
        <v>5171</v>
      </c>
      <c r="D2421" t="s">
        <v>263</v>
      </c>
      <c r="F2421">
        <v>131033652130</v>
      </c>
      <c r="G2421">
        <v>99438069611</v>
      </c>
      <c r="H2421">
        <v>92915235943</v>
      </c>
      <c r="I2421">
        <v>84589124365</v>
      </c>
      <c r="J2421">
        <v>82430251265</v>
      </c>
      <c r="K2421">
        <v>86674103278</v>
      </c>
      <c r="L2421">
        <v>86896604108</v>
      </c>
      <c r="M2421">
        <v>88818485808</v>
      </c>
      <c r="N2421">
        <v>76164734294</v>
      </c>
      <c r="O2421">
        <v>77258770499</v>
      </c>
      <c r="P2421">
        <v>464</v>
      </c>
      <c r="Q2421" t="s">
        <v>5172</v>
      </c>
    </row>
    <row r="2422" spans="1:17" x14ac:dyDescent="0.3">
      <c r="A2422" t="s">
        <v>4729</v>
      </c>
      <c r="B2422" t="str">
        <f>"000631"</f>
        <v>000631</v>
      </c>
      <c r="C2422" t="s">
        <v>5173</v>
      </c>
      <c r="D2422" t="s">
        <v>104</v>
      </c>
      <c r="F2422">
        <v>271980038</v>
      </c>
      <c r="G2422">
        <v>581138355</v>
      </c>
      <c r="H2422">
        <v>1648829584</v>
      </c>
      <c r="I2422">
        <v>2715717578</v>
      </c>
      <c r="J2422">
        <v>6681695222</v>
      </c>
      <c r="K2422">
        <v>3635318885</v>
      </c>
      <c r="L2422">
        <v>3474115189</v>
      </c>
      <c r="M2422">
        <v>4906872837</v>
      </c>
      <c r="N2422">
        <v>2808056416</v>
      </c>
      <c r="O2422">
        <v>2766119999</v>
      </c>
      <c r="P2422">
        <v>359</v>
      </c>
      <c r="Q2422" t="s">
        <v>5174</v>
      </c>
    </row>
    <row r="2423" spans="1:17" x14ac:dyDescent="0.3">
      <c r="A2423" t="s">
        <v>4729</v>
      </c>
      <c r="B2423" t="str">
        <f>"000632"</f>
        <v>000632</v>
      </c>
      <c r="C2423" t="s">
        <v>5175</v>
      </c>
      <c r="D2423" t="s">
        <v>110</v>
      </c>
      <c r="F2423">
        <v>8600486943</v>
      </c>
      <c r="G2423">
        <v>8439070919</v>
      </c>
      <c r="H2423">
        <v>6376854691</v>
      </c>
      <c r="I2423">
        <v>7012565072</v>
      </c>
      <c r="J2423">
        <v>6661347797</v>
      </c>
      <c r="K2423">
        <v>4919076571</v>
      </c>
      <c r="L2423">
        <v>4623086322</v>
      </c>
      <c r="M2423">
        <v>4358659701</v>
      </c>
      <c r="N2423">
        <v>5227712487</v>
      </c>
      <c r="O2423">
        <v>4671899278</v>
      </c>
      <c r="P2423">
        <v>69</v>
      </c>
      <c r="Q2423" t="s">
        <v>5176</v>
      </c>
    </row>
    <row r="2424" spans="1:17" x14ac:dyDescent="0.3">
      <c r="A2424" t="s">
        <v>4729</v>
      </c>
      <c r="B2424" t="str">
        <f>"000633"</f>
        <v>000633</v>
      </c>
      <c r="C2424" t="s">
        <v>5177</v>
      </c>
      <c r="D2424" t="s">
        <v>581</v>
      </c>
      <c r="F2424">
        <v>164557989</v>
      </c>
      <c r="G2424">
        <v>131431254</v>
      </c>
      <c r="H2424">
        <v>99665119</v>
      </c>
      <c r="I2424">
        <v>111081751</v>
      </c>
      <c r="J2424">
        <v>66457739</v>
      </c>
      <c r="K2424">
        <v>52007023</v>
      </c>
      <c r="L2424">
        <v>44816200</v>
      </c>
      <c r="M2424">
        <v>87496948</v>
      </c>
      <c r="N2424">
        <v>130594138</v>
      </c>
      <c r="O2424">
        <v>161496143</v>
      </c>
      <c r="P2424">
        <v>72</v>
      </c>
      <c r="Q2424" t="s">
        <v>5178</v>
      </c>
    </row>
    <row r="2425" spans="1:17" x14ac:dyDescent="0.3">
      <c r="A2425" t="s">
        <v>4729</v>
      </c>
      <c r="B2425" t="str">
        <f>"000635"</f>
        <v>000635</v>
      </c>
      <c r="C2425" t="s">
        <v>5179</v>
      </c>
      <c r="D2425" t="s">
        <v>175</v>
      </c>
      <c r="F2425">
        <v>2294978166</v>
      </c>
      <c r="G2425">
        <v>1955140586</v>
      </c>
      <c r="H2425">
        <v>2087210112</v>
      </c>
      <c r="I2425">
        <v>1987152734</v>
      </c>
      <c r="J2425">
        <v>1965188492</v>
      </c>
      <c r="K2425">
        <v>1596051258</v>
      </c>
      <c r="L2425">
        <v>1695816702</v>
      </c>
      <c r="M2425">
        <v>1932645355</v>
      </c>
      <c r="N2425">
        <v>2739949306</v>
      </c>
      <c r="O2425">
        <v>2720684906</v>
      </c>
      <c r="P2425">
        <v>135</v>
      </c>
      <c r="Q2425" t="s">
        <v>5180</v>
      </c>
    </row>
    <row r="2426" spans="1:17" x14ac:dyDescent="0.3">
      <c r="A2426" t="s">
        <v>4729</v>
      </c>
      <c r="B2426" t="str">
        <f>"000636"</f>
        <v>000636</v>
      </c>
      <c r="C2426" t="s">
        <v>5181</v>
      </c>
      <c r="D2426" t="s">
        <v>546</v>
      </c>
      <c r="F2426">
        <v>5055059923</v>
      </c>
      <c r="G2426">
        <v>4331979622</v>
      </c>
      <c r="H2426">
        <v>3293174130</v>
      </c>
      <c r="I2426">
        <v>4580200601</v>
      </c>
      <c r="J2426">
        <v>3355189485</v>
      </c>
      <c r="K2426">
        <v>2774347241</v>
      </c>
      <c r="L2426">
        <v>1939572499</v>
      </c>
      <c r="M2426">
        <v>2247919536</v>
      </c>
      <c r="N2426">
        <v>2230701464</v>
      </c>
      <c r="O2426">
        <v>2084568003</v>
      </c>
      <c r="P2426">
        <v>896</v>
      </c>
      <c r="Q2426" t="s">
        <v>5182</v>
      </c>
    </row>
    <row r="2427" spans="1:17" x14ac:dyDescent="0.3">
      <c r="A2427" t="s">
        <v>4729</v>
      </c>
      <c r="B2427" t="str">
        <f>"000637"</f>
        <v>000637</v>
      </c>
      <c r="C2427" t="s">
        <v>5183</v>
      </c>
      <c r="D2427" t="s">
        <v>1617</v>
      </c>
      <c r="F2427">
        <v>5572424947</v>
      </c>
      <c r="G2427">
        <v>3997922192</v>
      </c>
      <c r="H2427">
        <v>4298162317</v>
      </c>
      <c r="I2427">
        <v>4319899403</v>
      </c>
      <c r="J2427">
        <v>4407686774</v>
      </c>
      <c r="K2427">
        <v>2960250770</v>
      </c>
      <c r="L2427">
        <v>3066973850</v>
      </c>
      <c r="M2427">
        <v>4014692354</v>
      </c>
      <c r="N2427">
        <v>3244502742</v>
      </c>
      <c r="O2427">
        <v>3538162413</v>
      </c>
      <c r="P2427">
        <v>93</v>
      </c>
      <c r="Q2427" t="s">
        <v>5184</v>
      </c>
    </row>
    <row r="2428" spans="1:17" x14ac:dyDescent="0.3">
      <c r="A2428" t="s">
        <v>4729</v>
      </c>
      <c r="B2428" t="str">
        <f>"000638"</f>
        <v>000638</v>
      </c>
      <c r="C2428" t="s">
        <v>5185</v>
      </c>
      <c r="D2428" t="s">
        <v>316</v>
      </c>
      <c r="F2428">
        <v>327024966</v>
      </c>
      <c r="G2428">
        <v>110993350</v>
      </c>
      <c r="H2428">
        <v>115683338</v>
      </c>
      <c r="I2428">
        <v>118788736</v>
      </c>
      <c r="J2428">
        <v>128469841</v>
      </c>
      <c r="K2428">
        <v>156171865</v>
      </c>
      <c r="L2428">
        <v>239484202</v>
      </c>
      <c r="M2428">
        <v>193150416</v>
      </c>
      <c r="N2428">
        <v>99509507</v>
      </c>
      <c r="O2428">
        <v>48556618</v>
      </c>
      <c r="P2428">
        <v>87</v>
      </c>
      <c r="Q2428" t="s">
        <v>5186</v>
      </c>
    </row>
    <row r="2429" spans="1:17" x14ac:dyDescent="0.3">
      <c r="A2429" t="s">
        <v>4729</v>
      </c>
      <c r="B2429" t="str">
        <f>"000639"</f>
        <v>000639</v>
      </c>
      <c r="C2429" t="s">
        <v>5187</v>
      </c>
      <c r="D2429" t="s">
        <v>306</v>
      </c>
      <c r="F2429">
        <v>6354734814</v>
      </c>
      <c r="G2429">
        <v>5779674622</v>
      </c>
      <c r="H2429">
        <v>5727004024</v>
      </c>
      <c r="I2429">
        <v>5845040221</v>
      </c>
      <c r="J2429">
        <v>5618341324</v>
      </c>
      <c r="K2429">
        <v>3375222286</v>
      </c>
      <c r="L2429">
        <v>2243780980</v>
      </c>
      <c r="M2429">
        <v>1870322750</v>
      </c>
      <c r="N2429">
        <v>2427329779</v>
      </c>
      <c r="O2429">
        <v>2480459658</v>
      </c>
      <c r="P2429">
        <v>328</v>
      </c>
      <c r="Q2429" t="s">
        <v>5188</v>
      </c>
    </row>
    <row r="2430" spans="1:17" x14ac:dyDescent="0.3">
      <c r="A2430" t="s">
        <v>4729</v>
      </c>
      <c r="B2430" t="str">
        <f>"000650"</f>
        <v>000650</v>
      </c>
      <c r="C2430" t="s">
        <v>5189</v>
      </c>
      <c r="D2430" t="s">
        <v>188</v>
      </c>
      <c r="F2430">
        <v>4935755209</v>
      </c>
      <c r="G2430">
        <v>4106104188</v>
      </c>
      <c r="H2430">
        <v>4581171579</v>
      </c>
      <c r="I2430">
        <v>4403423475</v>
      </c>
      <c r="J2430">
        <v>3843771351</v>
      </c>
      <c r="K2430">
        <v>3567078260</v>
      </c>
      <c r="L2430">
        <v>2523842664</v>
      </c>
      <c r="M2430">
        <v>2253212436</v>
      </c>
      <c r="N2430">
        <v>1799375836</v>
      </c>
      <c r="O2430">
        <v>2087519162</v>
      </c>
      <c r="P2430">
        <v>888</v>
      </c>
      <c r="Q2430" t="s">
        <v>5190</v>
      </c>
    </row>
    <row r="2431" spans="1:17" x14ac:dyDescent="0.3">
      <c r="A2431" t="s">
        <v>4729</v>
      </c>
      <c r="B2431" t="str">
        <f>"000651"</f>
        <v>000651</v>
      </c>
      <c r="C2431" t="s">
        <v>5191</v>
      </c>
      <c r="D2431" t="s">
        <v>1727</v>
      </c>
      <c r="F2431">
        <v>187868874893</v>
      </c>
      <c r="G2431">
        <v>168199204405</v>
      </c>
      <c r="H2431">
        <v>198153027540</v>
      </c>
      <c r="I2431">
        <v>198123177057</v>
      </c>
      <c r="J2431">
        <v>148286450009</v>
      </c>
      <c r="K2431">
        <v>108302565294</v>
      </c>
      <c r="L2431">
        <v>97745137194</v>
      </c>
      <c r="M2431">
        <v>137750358396</v>
      </c>
      <c r="N2431">
        <v>118627948209</v>
      </c>
      <c r="O2431">
        <v>99316196265</v>
      </c>
      <c r="P2431">
        <v>55058</v>
      </c>
      <c r="Q2431" t="s">
        <v>5192</v>
      </c>
    </row>
    <row r="2432" spans="1:17" x14ac:dyDescent="0.3">
      <c r="A2432" t="s">
        <v>4729</v>
      </c>
      <c r="B2432" t="str">
        <f>"000652"</f>
        <v>000652</v>
      </c>
      <c r="C2432" t="s">
        <v>5193</v>
      </c>
      <c r="D2432" t="s">
        <v>110</v>
      </c>
      <c r="F2432">
        <v>21175736904</v>
      </c>
      <c r="G2432">
        <v>18834712130</v>
      </c>
      <c r="H2432">
        <v>20161399532</v>
      </c>
      <c r="I2432">
        <v>19231553913</v>
      </c>
      <c r="J2432">
        <v>19023447991</v>
      </c>
      <c r="K2432">
        <v>15631806255</v>
      </c>
      <c r="L2432">
        <v>9655564678</v>
      </c>
      <c r="M2432">
        <v>6443710325</v>
      </c>
      <c r="N2432">
        <v>8552921260</v>
      </c>
      <c r="O2432">
        <v>5952537075</v>
      </c>
      <c r="P2432">
        <v>196</v>
      </c>
      <c r="Q2432" t="s">
        <v>5194</v>
      </c>
    </row>
    <row r="2433" spans="1:17" x14ac:dyDescent="0.3">
      <c r="A2433" t="s">
        <v>4729</v>
      </c>
      <c r="B2433" t="str">
        <f>"000655"</f>
        <v>000655</v>
      </c>
      <c r="C2433" t="s">
        <v>5195</v>
      </c>
      <c r="D2433" t="s">
        <v>2376</v>
      </c>
      <c r="F2433">
        <v>1822704730</v>
      </c>
      <c r="G2433">
        <v>1434847049</v>
      </c>
      <c r="H2433">
        <v>1335920163</v>
      </c>
      <c r="I2433">
        <v>1041278829</v>
      </c>
      <c r="J2433">
        <v>1043825925</v>
      </c>
      <c r="K2433">
        <v>625925212</v>
      </c>
      <c r="L2433">
        <v>786416932</v>
      </c>
      <c r="M2433">
        <v>1539792556</v>
      </c>
      <c r="N2433">
        <v>1637227534</v>
      </c>
      <c r="O2433">
        <v>1317517522</v>
      </c>
      <c r="P2433">
        <v>145</v>
      </c>
      <c r="Q2433" t="s">
        <v>5196</v>
      </c>
    </row>
    <row r="2434" spans="1:17" x14ac:dyDescent="0.3">
      <c r="A2434" t="s">
        <v>4729</v>
      </c>
      <c r="B2434" t="str">
        <f>"000656"</f>
        <v>000656</v>
      </c>
      <c r="C2434" t="s">
        <v>5197</v>
      </c>
      <c r="D2434" t="s">
        <v>104</v>
      </c>
      <c r="F2434">
        <v>112309671076</v>
      </c>
      <c r="G2434">
        <v>87704409983</v>
      </c>
      <c r="H2434">
        <v>67773374520</v>
      </c>
      <c r="I2434">
        <v>41233676425</v>
      </c>
      <c r="J2434">
        <v>34757623118</v>
      </c>
      <c r="K2434">
        <v>32235441627</v>
      </c>
      <c r="L2434">
        <v>19398573321</v>
      </c>
      <c r="M2434">
        <v>17323507266</v>
      </c>
      <c r="N2434">
        <v>16069615179</v>
      </c>
      <c r="O2434">
        <v>10348655745</v>
      </c>
      <c r="P2434">
        <v>1065</v>
      </c>
      <c r="Q2434" t="s">
        <v>5198</v>
      </c>
    </row>
    <row r="2435" spans="1:17" x14ac:dyDescent="0.3">
      <c r="A2435" t="s">
        <v>4729</v>
      </c>
      <c r="B2435" t="str">
        <f>"000657"</f>
        <v>000657</v>
      </c>
      <c r="C2435" t="s">
        <v>5199</v>
      </c>
      <c r="D2435" t="s">
        <v>1110</v>
      </c>
      <c r="F2435">
        <v>12093580293</v>
      </c>
      <c r="G2435">
        <v>9919458028</v>
      </c>
      <c r="H2435">
        <v>8084642493</v>
      </c>
      <c r="I2435">
        <v>8176520502</v>
      </c>
      <c r="J2435">
        <v>6540814741</v>
      </c>
      <c r="K2435">
        <v>5196045095</v>
      </c>
      <c r="L2435">
        <v>5857396543</v>
      </c>
      <c r="M2435">
        <v>8379788728</v>
      </c>
      <c r="N2435">
        <v>11237296707</v>
      </c>
      <c r="O2435">
        <v>1595630282</v>
      </c>
      <c r="P2435">
        <v>177</v>
      </c>
      <c r="Q2435" t="s">
        <v>5200</v>
      </c>
    </row>
    <row r="2436" spans="1:17" x14ac:dyDescent="0.3">
      <c r="A2436" t="s">
        <v>4729</v>
      </c>
      <c r="B2436" t="str">
        <f>"000658"</f>
        <v>000658</v>
      </c>
      <c r="C2436" t="s">
        <v>5201</v>
      </c>
      <c r="K2436">
        <v>852742.72</v>
      </c>
      <c r="L2436">
        <v>3600</v>
      </c>
      <c r="M2436">
        <v>294750</v>
      </c>
      <c r="N2436">
        <v>287730</v>
      </c>
      <c r="O2436">
        <v>290730</v>
      </c>
      <c r="P2436">
        <v>5</v>
      </c>
      <c r="Q2436" t="s">
        <v>5202</v>
      </c>
    </row>
    <row r="2437" spans="1:17" x14ac:dyDescent="0.3">
      <c r="A2437" t="s">
        <v>4729</v>
      </c>
      <c r="B2437" t="str">
        <f>"000659"</f>
        <v>000659</v>
      </c>
      <c r="C2437" t="s">
        <v>5203</v>
      </c>
      <c r="D2437" t="s">
        <v>485</v>
      </c>
      <c r="F2437">
        <v>1446304508</v>
      </c>
      <c r="G2437">
        <v>1260540368</v>
      </c>
      <c r="H2437">
        <v>1558030856</v>
      </c>
      <c r="I2437">
        <v>1618701058</v>
      </c>
      <c r="J2437">
        <v>1614849088</v>
      </c>
      <c r="K2437">
        <v>1619568369</v>
      </c>
      <c r="L2437">
        <v>1874981427</v>
      </c>
      <c r="M2437">
        <v>2370808855</v>
      </c>
      <c r="N2437">
        <v>2795623322</v>
      </c>
      <c r="O2437">
        <v>3113589035</v>
      </c>
      <c r="P2437">
        <v>77</v>
      </c>
      <c r="Q2437" t="s">
        <v>5204</v>
      </c>
    </row>
    <row r="2438" spans="1:17" x14ac:dyDescent="0.3">
      <c r="A2438" t="s">
        <v>4729</v>
      </c>
      <c r="B2438" t="str">
        <f>"000660"</f>
        <v>000660</v>
      </c>
      <c r="C2438" t="s">
        <v>5205</v>
      </c>
      <c r="K2438">
        <v>411305890.37</v>
      </c>
      <c r="L2438">
        <v>9858683.5700000003</v>
      </c>
      <c r="N2438">
        <v>10018568.640000001</v>
      </c>
      <c r="O2438">
        <v>17378210.600000001</v>
      </c>
      <c r="P2438">
        <v>6</v>
      </c>
      <c r="Q2438" t="s">
        <v>5206</v>
      </c>
    </row>
    <row r="2439" spans="1:17" x14ac:dyDescent="0.3">
      <c r="A2439" t="s">
        <v>4729</v>
      </c>
      <c r="B2439" t="str">
        <f>"000661"</f>
        <v>000661</v>
      </c>
      <c r="C2439" t="s">
        <v>5207</v>
      </c>
      <c r="D2439" t="s">
        <v>1379</v>
      </c>
      <c r="F2439">
        <v>10746717262</v>
      </c>
      <c r="G2439">
        <v>8576600709</v>
      </c>
      <c r="H2439">
        <v>7373701267</v>
      </c>
      <c r="I2439">
        <v>5374994708</v>
      </c>
      <c r="J2439">
        <v>4102261578</v>
      </c>
      <c r="K2439">
        <v>2897439803</v>
      </c>
      <c r="L2439">
        <v>2402089641</v>
      </c>
      <c r="M2439">
        <v>2262304449</v>
      </c>
      <c r="N2439">
        <v>2048692281</v>
      </c>
      <c r="O2439">
        <v>1761187218</v>
      </c>
      <c r="P2439">
        <v>59930</v>
      </c>
      <c r="Q2439" t="s">
        <v>5208</v>
      </c>
    </row>
    <row r="2440" spans="1:17" x14ac:dyDescent="0.3">
      <c r="A2440" t="s">
        <v>4729</v>
      </c>
      <c r="B2440" t="str">
        <f>"000662"</f>
        <v>000662</v>
      </c>
      <c r="C2440" t="s">
        <v>5209</v>
      </c>
      <c r="H2440">
        <v>15985568</v>
      </c>
      <c r="I2440">
        <v>1091199213</v>
      </c>
      <c r="J2440">
        <v>1665586761</v>
      </c>
      <c r="K2440">
        <v>1277339685</v>
      </c>
      <c r="L2440">
        <v>445990326</v>
      </c>
      <c r="M2440">
        <v>499432001</v>
      </c>
      <c r="N2440">
        <v>506528109</v>
      </c>
      <c r="O2440">
        <v>576815107</v>
      </c>
      <c r="P2440">
        <v>146</v>
      </c>
      <c r="Q2440" t="s">
        <v>5210</v>
      </c>
    </row>
    <row r="2441" spans="1:17" x14ac:dyDescent="0.3">
      <c r="A2441" t="s">
        <v>4729</v>
      </c>
      <c r="B2441" t="str">
        <f>"000663"</f>
        <v>000663</v>
      </c>
      <c r="C2441" t="s">
        <v>5211</v>
      </c>
      <c r="D2441" t="s">
        <v>2664</v>
      </c>
      <c r="F2441">
        <v>506310737</v>
      </c>
      <c r="G2441">
        <v>580791544</v>
      </c>
      <c r="H2441">
        <v>702153144</v>
      </c>
      <c r="I2441">
        <v>754832075</v>
      </c>
      <c r="J2441">
        <v>1191701489</v>
      </c>
      <c r="K2441">
        <v>1553984128</v>
      </c>
      <c r="L2441">
        <v>891661313</v>
      </c>
      <c r="M2441">
        <v>460006220</v>
      </c>
      <c r="N2441">
        <v>458931928</v>
      </c>
      <c r="O2441">
        <v>456898325</v>
      </c>
      <c r="P2441">
        <v>93</v>
      </c>
      <c r="Q2441" t="s">
        <v>5212</v>
      </c>
    </row>
    <row r="2442" spans="1:17" x14ac:dyDescent="0.3">
      <c r="A2442" t="s">
        <v>4729</v>
      </c>
      <c r="B2442" t="str">
        <f>"000665"</f>
        <v>000665</v>
      </c>
      <c r="C2442" t="s">
        <v>5213</v>
      </c>
      <c r="D2442" t="s">
        <v>95</v>
      </c>
      <c r="F2442">
        <v>2171956939</v>
      </c>
      <c r="G2442">
        <v>2383677070</v>
      </c>
      <c r="H2442">
        <v>2624932424</v>
      </c>
      <c r="I2442">
        <v>2748148343</v>
      </c>
      <c r="J2442">
        <v>2612386779</v>
      </c>
      <c r="K2442">
        <v>2482477176</v>
      </c>
      <c r="L2442">
        <v>2408148613</v>
      </c>
      <c r="M2442">
        <v>1781431875</v>
      </c>
      <c r="N2442">
        <v>1153629257</v>
      </c>
      <c r="O2442">
        <v>1061346140</v>
      </c>
      <c r="P2442">
        <v>221</v>
      </c>
      <c r="Q2442" t="s">
        <v>5214</v>
      </c>
    </row>
    <row r="2443" spans="1:17" x14ac:dyDescent="0.3">
      <c r="A2443" t="s">
        <v>4729</v>
      </c>
      <c r="B2443" t="str">
        <f>"000666"</f>
        <v>000666</v>
      </c>
      <c r="C2443" t="s">
        <v>5215</v>
      </c>
      <c r="D2443" t="s">
        <v>1651</v>
      </c>
      <c r="F2443">
        <v>7478239286</v>
      </c>
      <c r="G2443">
        <v>4563912719</v>
      </c>
      <c r="H2443">
        <v>4686686076</v>
      </c>
      <c r="I2443">
        <v>7515127408</v>
      </c>
      <c r="J2443">
        <v>6414202409</v>
      </c>
      <c r="K2443">
        <v>6314044284</v>
      </c>
      <c r="L2443">
        <v>5653674504</v>
      </c>
      <c r="M2443">
        <v>5117652994</v>
      </c>
      <c r="N2443">
        <v>5675484043</v>
      </c>
      <c r="O2443">
        <v>5061930443</v>
      </c>
      <c r="P2443">
        <v>186</v>
      </c>
      <c r="Q2443" t="s">
        <v>5216</v>
      </c>
    </row>
    <row r="2444" spans="1:17" x14ac:dyDescent="0.3">
      <c r="A2444" t="s">
        <v>4729</v>
      </c>
      <c r="B2444" t="str">
        <f>"000667"</f>
        <v>000667</v>
      </c>
      <c r="C2444" t="s">
        <v>5217</v>
      </c>
      <c r="D2444" t="s">
        <v>104</v>
      </c>
      <c r="F2444">
        <v>3559957401</v>
      </c>
      <c r="G2444">
        <v>4206713612</v>
      </c>
      <c r="H2444">
        <v>3659484108</v>
      </c>
      <c r="I2444">
        <v>2520434843</v>
      </c>
      <c r="J2444">
        <v>4438468701</v>
      </c>
      <c r="K2444">
        <v>5204575938</v>
      </c>
      <c r="L2444">
        <v>4678805867</v>
      </c>
      <c r="M2444">
        <v>2105363929</v>
      </c>
      <c r="N2444">
        <v>3465257604</v>
      </c>
      <c r="O2444">
        <v>1772371705</v>
      </c>
      <c r="P2444">
        <v>169</v>
      </c>
      <c r="Q2444" t="s">
        <v>5218</v>
      </c>
    </row>
    <row r="2445" spans="1:17" x14ac:dyDescent="0.3">
      <c r="A2445" t="s">
        <v>4729</v>
      </c>
      <c r="B2445" t="str">
        <f>"000668"</f>
        <v>000668</v>
      </c>
      <c r="C2445" t="s">
        <v>5219</v>
      </c>
      <c r="D2445" t="s">
        <v>104</v>
      </c>
      <c r="F2445">
        <v>252258987</v>
      </c>
      <c r="G2445">
        <v>109583338</v>
      </c>
      <c r="H2445">
        <v>418864407</v>
      </c>
      <c r="I2445">
        <v>248466742</v>
      </c>
      <c r="J2445">
        <v>269986791</v>
      </c>
      <c r="K2445">
        <v>13001936</v>
      </c>
      <c r="L2445">
        <v>106620701</v>
      </c>
      <c r="M2445">
        <v>10823269</v>
      </c>
      <c r="N2445">
        <v>118351875</v>
      </c>
      <c r="O2445">
        <v>70101843</v>
      </c>
      <c r="P2445">
        <v>96</v>
      </c>
      <c r="Q2445" t="s">
        <v>5220</v>
      </c>
    </row>
    <row r="2446" spans="1:17" x14ac:dyDescent="0.3">
      <c r="A2446" t="s">
        <v>4729</v>
      </c>
      <c r="B2446" t="str">
        <f>"000669"</f>
        <v>000669</v>
      </c>
      <c r="C2446" t="s">
        <v>5221</v>
      </c>
      <c r="D2446" t="s">
        <v>749</v>
      </c>
      <c r="F2446">
        <v>1972157130</v>
      </c>
      <c r="G2446">
        <v>2303598969</v>
      </c>
      <c r="H2446">
        <v>3727926101</v>
      </c>
      <c r="I2446">
        <v>4429024624</v>
      </c>
      <c r="J2446">
        <v>3764721320</v>
      </c>
      <c r="K2446">
        <v>2471143029</v>
      </c>
      <c r="L2446">
        <v>2573031895</v>
      </c>
      <c r="M2446">
        <v>2710968624</v>
      </c>
      <c r="N2446">
        <v>1677007323</v>
      </c>
      <c r="O2446">
        <v>1313572213</v>
      </c>
      <c r="P2446">
        <v>83</v>
      </c>
      <c r="Q2446" t="s">
        <v>5222</v>
      </c>
    </row>
    <row r="2447" spans="1:17" x14ac:dyDescent="0.3">
      <c r="A2447" t="s">
        <v>4729</v>
      </c>
      <c r="B2447" t="str">
        <f>"000670"</f>
        <v>000670</v>
      </c>
      <c r="C2447" t="s">
        <v>5223</v>
      </c>
      <c r="D2447" t="s">
        <v>461</v>
      </c>
      <c r="F2447">
        <v>2890027934</v>
      </c>
      <c r="G2447">
        <v>699966126</v>
      </c>
      <c r="H2447">
        <v>4129631</v>
      </c>
      <c r="I2447">
        <v>102577272</v>
      </c>
      <c r="J2447">
        <v>241073951</v>
      </c>
      <c r="K2447">
        <v>476364098</v>
      </c>
      <c r="L2447">
        <v>344868936</v>
      </c>
      <c r="M2447">
        <v>174915669</v>
      </c>
      <c r="N2447">
        <v>107147449</v>
      </c>
      <c r="O2447">
        <v>117778105</v>
      </c>
      <c r="P2447">
        <v>116</v>
      </c>
      <c r="Q2447" t="s">
        <v>5224</v>
      </c>
    </row>
    <row r="2448" spans="1:17" x14ac:dyDescent="0.3">
      <c r="A2448" t="s">
        <v>4729</v>
      </c>
      <c r="B2448" t="str">
        <f>"000671"</f>
        <v>000671</v>
      </c>
      <c r="C2448" t="s">
        <v>5225</v>
      </c>
      <c r="D2448" t="s">
        <v>104</v>
      </c>
      <c r="F2448">
        <v>42526483703</v>
      </c>
      <c r="G2448">
        <v>82171244467</v>
      </c>
      <c r="H2448">
        <v>61049371313</v>
      </c>
      <c r="I2448">
        <v>56470090684</v>
      </c>
      <c r="J2448">
        <v>33163130245</v>
      </c>
      <c r="K2448">
        <v>19598020110</v>
      </c>
      <c r="L2448">
        <v>22379969159</v>
      </c>
      <c r="M2448">
        <v>13894125702</v>
      </c>
      <c r="N2448">
        <v>7444185001</v>
      </c>
      <c r="O2448">
        <v>5452346275</v>
      </c>
      <c r="P2448">
        <v>1192</v>
      </c>
      <c r="Q2448" t="s">
        <v>5226</v>
      </c>
    </row>
    <row r="2449" spans="1:17" x14ac:dyDescent="0.3">
      <c r="A2449" t="s">
        <v>4729</v>
      </c>
      <c r="B2449" t="str">
        <f>"000672"</f>
        <v>000672</v>
      </c>
      <c r="C2449" t="s">
        <v>5227</v>
      </c>
      <c r="D2449" t="s">
        <v>731</v>
      </c>
      <c r="F2449">
        <v>8314529247</v>
      </c>
      <c r="G2449">
        <v>6432292239</v>
      </c>
      <c r="H2449">
        <v>7412062639</v>
      </c>
      <c r="I2449">
        <v>5304576748</v>
      </c>
      <c r="J2449">
        <v>4587533895</v>
      </c>
      <c r="K2449">
        <v>2916064692</v>
      </c>
      <c r="L2449">
        <v>2025544666</v>
      </c>
      <c r="M2449">
        <v>2736641249</v>
      </c>
      <c r="N2449">
        <v>2543727567</v>
      </c>
      <c r="O2449">
        <v>74011130</v>
      </c>
      <c r="P2449">
        <v>1262</v>
      </c>
      <c r="Q2449" t="s">
        <v>5228</v>
      </c>
    </row>
    <row r="2450" spans="1:17" x14ac:dyDescent="0.3">
      <c r="A2450" t="s">
        <v>4729</v>
      </c>
      <c r="B2450" t="str">
        <f>"000673"</f>
        <v>000673</v>
      </c>
      <c r="C2450" t="s">
        <v>5229</v>
      </c>
      <c r="D2450" t="s">
        <v>113</v>
      </c>
      <c r="F2450">
        <v>175125596</v>
      </c>
      <c r="G2450">
        <v>208306052</v>
      </c>
      <c r="H2450">
        <v>495010481</v>
      </c>
      <c r="I2450">
        <v>776206020</v>
      </c>
      <c r="J2450">
        <v>820254142</v>
      </c>
      <c r="K2450">
        <v>985528211</v>
      </c>
      <c r="L2450">
        <v>492984467</v>
      </c>
      <c r="M2450">
        <v>22400850</v>
      </c>
      <c r="N2450">
        <v>16792187</v>
      </c>
      <c r="O2450">
        <v>16171025</v>
      </c>
      <c r="P2450">
        <v>90</v>
      </c>
      <c r="Q2450" t="s">
        <v>5230</v>
      </c>
    </row>
    <row r="2451" spans="1:17" x14ac:dyDescent="0.3">
      <c r="A2451" t="s">
        <v>4729</v>
      </c>
      <c r="B2451" t="str">
        <f>"000675"</f>
        <v>000675</v>
      </c>
      <c r="C2451" t="s">
        <v>5231</v>
      </c>
      <c r="K2451">
        <v>713340</v>
      </c>
      <c r="P2451">
        <v>5</v>
      </c>
      <c r="Q2451" t="s">
        <v>5232</v>
      </c>
    </row>
    <row r="2452" spans="1:17" x14ac:dyDescent="0.3">
      <c r="A2452" t="s">
        <v>4729</v>
      </c>
      <c r="B2452" t="str">
        <f>"000676"</f>
        <v>000676</v>
      </c>
      <c r="C2452" t="s">
        <v>5233</v>
      </c>
      <c r="D2452" t="s">
        <v>207</v>
      </c>
      <c r="F2452">
        <v>5682085939</v>
      </c>
      <c r="G2452">
        <v>10716328383</v>
      </c>
      <c r="H2452">
        <v>10853215610</v>
      </c>
      <c r="I2452">
        <v>7659568013</v>
      </c>
      <c r="J2452">
        <v>6373794919</v>
      </c>
      <c r="K2452">
        <v>2364007200</v>
      </c>
      <c r="L2452">
        <v>317583187</v>
      </c>
      <c r="M2452">
        <v>373075635</v>
      </c>
      <c r="N2452">
        <v>440411342</v>
      </c>
      <c r="O2452">
        <v>482816072</v>
      </c>
      <c r="P2452">
        <v>215</v>
      </c>
      <c r="Q2452" t="s">
        <v>5234</v>
      </c>
    </row>
    <row r="2453" spans="1:17" x14ac:dyDescent="0.3">
      <c r="A2453" t="s">
        <v>4729</v>
      </c>
      <c r="B2453" t="str">
        <f>"000677"</f>
        <v>000677</v>
      </c>
      <c r="C2453" t="s">
        <v>5235</v>
      </c>
      <c r="D2453" t="s">
        <v>888</v>
      </c>
      <c r="F2453">
        <v>1067515306</v>
      </c>
      <c r="G2453">
        <v>680252665</v>
      </c>
      <c r="H2453">
        <v>790674188</v>
      </c>
      <c r="I2453">
        <v>706819759</v>
      </c>
      <c r="J2453">
        <v>554309106</v>
      </c>
      <c r="K2453">
        <v>486099164</v>
      </c>
      <c r="L2453">
        <v>2070527589</v>
      </c>
      <c r="M2453">
        <v>1803428585</v>
      </c>
      <c r="N2453">
        <v>2359247813</v>
      </c>
      <c r="O2453">
        <v>1060058987</v>
      </c>
      <c r="P2453">
        <v>80</v>
      </c>
      <c r="Q2453" t="s">
        <v>5236</v>
      </c>
    </row>
    <row r="2454" spans="1:17" x14ac:dyDescent="0.3">
      <c r="A2454" t="s">
        <v>4729</v>
      </c>
      <c r="B2454" t="str">
        <f>"000678"</f>
        <v>000678</v>
      </c>
      <c r="C2454" t="s">
        <v>5237</v>
      </c>
      <c r="D2454" t="s">
        <v>348</v>
      </c>
      <c r="F2454">
        <v>1317694927</v>
      </c>
      <c r="G2454">
        <v>1191531470</v>
      </c>
      <c r="H2454">
        <v>1241311236</v>
      </c>
      <c r="I2454">
        <v>1490778671</v>
      </c>
      <c r="J2454">
        <v>1522314374</v>
      </c>
      <c r="K2454">
        <v>1395099474</v>
      </c>
      <c r="L2454">
        <v>1252523366</v>
      </c>
      <c r="M2454">
        <v>1266749129</v>
      </c>
      <c r="N2454">
        <v>919037764</v>
      </c>
      <c r="O2454">
        <v>761355856</v>
      </c>
      <c r="P2454">
        <v>71</v>
      </c>
      <c r="Q2454" t="s">
        <v>5238</v>
      </c>
    </row>
    <row r="2455" spans="1:17" x14ac:dyDescent="0.3">
      <c r="A2455" t="s">
        <v>4729</v>
      </c>
      <c r="B2455" t="str">
        <f>"000679"</f>
        <v>000679</v>
      </c>
      <c r="C2455" t="s">
        <v>5239</v>
      </c>
      <c r="D2455" t="s">
        <v>1404</v>
      </c>
      <c r="F2455">
        <v>176334372</v>
      </c>
      <c r="G2455">
        <v>175772710</v>
      </c>
      <c r="H2455">
        <v>775761839</v>
      </c>
      <c r="I2455">
        <v>1087555948</v>
      </c>
      <c r="J2455">
        <v>1843241506</v>
      </c>
      <c r="K2455">
        <v>1927315664</v>
      </c>
      <c r="L2455">
        <v>2793841158</v>
      </c>
      <c r="M2455">
        <v>3596961778</v>
      </c>
      <c r="N2455">
        <v>3631997682</v>
      </c>
      <c r="O2455">
        <v>3377327433</v>
      </c>
      <c r="P2455">
        <v>83</v>
      </c>
      <c r="Q2455" t="s">
        <v>5240</v>
      </c>
    </row>
    <row r="2456" spans="1:17" x14ac:dyDescent="0.3">
      <c r="A2456" t="s">
        <v>4729</v>
      </c>
      <c r="B2456" t="str">
        <f>"000680"</f>
        <v>000680</v>
      </c>
      <c r="C2456" t="s">
        <v>5241</v>
      </c>
      <c r="D2456" t="s">
        <v>83</v>
      </c>
      <c r="F2456">
        <v>9159943044</v>
      </c>
      <c r="G2456">
        <v>7098162031</v>
      </c>
      <c r="H2456">
        <v>6403114683</v>
      </c>
      <c r="I2456">
        <v>8001726235</v>
      </c>
      <c r="J2456">
        <v>6350799795</v>
      </c>
      <c r="K2456">
        <v>4404461082</v>
      </c>
      <c r="L2456">
        <v>3770740549</v>
      </c>
      <c r="M2456">
        <v>7269453451</v>
      </c>
      <c r="N2456">
        <v>10135371015</v>
      </c>
      <c r="O2456">
        <v>10484746986</v>
      </c>
      <c r="P2456">
        <v>120</v>
      </c>
      <c r="Q2456" t="s">
        <v>5242</v>
      </c>
    </row>
    <row r="2457" spans="1:17" x14ac:dyDescent="0.3">
      <c r="A2457" t="s">
        <v>4729</v>
      </c>
      <c r="B2457" t="str">
        <f>"000681"</f>
        <v>000681</v>
      </c>
      <c r="C2457" t="s">
        <v>5243</v>
      </c>
      <c r="D2457" t="s">
        <v>5244</v>
      </c>
      <c r="F2457">
        <v>657250842</v>
      </c>
      <c r="G2457">
        <v>570451578</v>
      </c>
      <c r="H2457">
        <v>722107029</v>
      </c>
      <c r="I2457">
        <v>987837517</v>
      </c>
      <c r="J2457">
        <v>814570533</v>
      </c>
      <c r="K2457">
        <v>735497005</v>
      </c>
      <c r="L2457">
        <v>542902526</v>
      </c>
      <c r="M2457">
        <v>391092045</v>
      </c>
      <c r="N2457">
        <v>105485912</v>
      </c>
      <c r="O2457">
        <v>36083823</v>
      </c>
      <c r="P2457">
        <v>449</v>
      </c>
      <c r="Q2457" t="s">
        <v>5245</v>
      </c>
    </row>
    <row r="2458" spans="1:17" x14ac:dyDescent="0.3">
      <c r="A2458" t="s">
        <v>4729</v>
      </c>
      <c r="B2458" t="str">
        <f>"000682"</f>
        <v>000682</v>
      </c>
      <c r="C2458" t="s">
        <v>5246</v>
      </c>
      <c r="D2458" t="s">
        <v>610</v>
      </c>
      <c r="F2458">
        <v>4485560202</v>
      </c>
      <c r="G2458">
        <v>3718643539</v>
      </c>
      <c r="H2458">
        <v>3418615326</v>
      </c>
      <c r="I2458">
        <v>3042353725</v>
      </c>
      <c r="J2458">
        <v>2708461876</v>
      </c>
      <c r="K2458">
        <v>2371746907</v>
      </c>
      <c r="L2458">
        <v>2083257569</v>
      </c>
      <c r="M2458">
        <v>1840595193</v>
      </c>
      <c r="N2458">
        <v>1665293968</v>
      </c>
      <c r="O2458">
        <v>1437726423</v>
      </c>
      <c r="P2458">
        <v>156</v>
      </c>
      <c r="Q2458" t="s">
        <v>5247</v>
      </c>
    </row>
    <row r="2459" spans="1:17" x14ac:dyDescent="0.3">
      <c r="A2459" t="s">
        <v>4729</v>
      </c>
      <c r="B2459" t="str">
        <f>"000683"</f>
        <v>000683</v>
      </c>
      <c r="C2459" t="s">
        <v>5248</v>
      </c>
      <c r="D2459" t="s">
        <v>2529</v>
      </c>
      <c r="F2459">
        <v>12148532862</v>
      </c>
      <c r="G2459">
        <v>7698057886</v>
      </c>
      <c r="H2459">
        <v>7693220354</v>
      </c>
      <c r="I2459">
        <v>8923581906</v>
      </c>
      <c r="J2459">
        <v>10303946254</v>
      </c>
      <c r="K2459">
        <v>9135944524</v>
      </c>
      <c r="L2459">
        <v>7318091306</v>
      </c>
      <c r="M2459">
        <v>7199725486</v>
      </c>
      <c r="N2459">
        <v>3399345250</v>
      </c>
      <c r="O2459">
        <v>3662302647</v>
      </c>
      <c r="P2459">
        <v>314</v>
      </c>
      <c r="Q2459" t="s">
        <v>5249</v>
      </c>
    </row>
    <row r="2460" spans="1:17" x14ac:dyDescent="0.3">
      <c r="A2460" t="s">
        <v>4729</v>
      </c>
      <c r="B2460" t="str">
        <f>"000685"</f>
        <v>000685</v>
      </c>
      <c r="C2460" t="s">
        <v>5250</v>
      </c>
      <c r="D2460" t="s">
        <v>33</v>
      </c>
      <c r="F2460">
        <v>2370688423</v>
      </c>
      <c r="G2460">
        <v>2183314220</v>
      </c>
      <c r="H2460">
        <v>2219578463</v>
      </c>
      <c r="I2460">
        <v>2021725305</v>
      </c>
      <c r="J2460">
        <v>1613998896</v>
      </c>
      <c r="K2460">
        <v>1462601740</v>
      </c>
      <c r="L2460">
        <v>1230272341</v>
      </c>
      <c r="M2460">
        <v>1154874930</v>
      </c>
      <c r="N2460">
        <v>867467595</v>
      </c>
      <c r="O2460">
        <v>817706374</v>
      </c>
      <c r="P2460">
        <v>511</v>
      </c>
      <c r="Q2460" t="s">
        <v>5251</v>
      </c>
    </row>
    <row r="2461" spans="1:17" x14ac:dyDescent="0.3">
      <c r="A2461" t="s">
        <v>4729</v>
      </c>
      <c r="B2461" t="str">
        <f>"000686"</f>
        <v>000686</v>
      </c>
      <c r="C2461" t="s">
        <v>5252</v>
      </c>
      <c r="D2461" t="s">
        <v>80</v>
      </c>
      <c r="F2461">
        <v>7477801882</v>
      </c>
      <c r="G2461">
        <v>6609613344</v>
      </c>
      <c r="H2461">
        <v>7968795587</v>
      </c>
      <c r="I2461">
        <v>6780105835</v>
      </c>
      <c r="J2461">
        <v>4926111999</v>
      </c>
      <c r="K2461">
        <v>4481628728</v>
      </c>
      <c r="L2461">
        <v>6745760225</v>
      </c>
      <c r="M2461">
        <v>3090984262</v>
      </c>
      <c r="N2461">
        <v>1767040161</v>
      </c>
      <c r="O2461">
        <v>1200272711</v>
      </c>
      <c r="P2461">
        <v>890</v>
      </c>
      <c r="Q2461" t="s">
        <v>5253</v>
      </c>
    </row>
    <row r="2462" spans="1:17" x14ac:dyDescent="0.3">
      <c r="A2462" t="s">
        <v>4729</v>
      </c>
      <c r="B2462" t="str">
        <f>"000687"</f>
        <v>000687</v>
      </c>
      <c r="C2462" t="s">
        <v>5254</v>
      </c>
      <c r="D2462" t="s">
        <v>98</v>
      </c>
      <c r="F2462">
        <v>35031326</v>
      </c>
      <c r="G2462">
        <v>46695683</v>
      </c>
      <c r="H2462">
        <v>269478362</v>
      </c>
      <c r="I2462">
        <v>1518129359</v>
      </c>
      <c r="J2462">
        <v>1346557252</v>
      </c>
      <c r="K2462">
        <v>1505217125</v>
      </c>
      <c r="L2462">
        <v>877867748</v>
      </c>
      <c r="M2462">
        <v>722566680</v>
      </c>
      <c r="N2462">
        <v>784873073</v>
      </c>
      <c r="O2462">
        <v>866589028</v>
      </c>
      <c r="P2462">
        <v>86</v>
      </c>
      <c r="Q2462" t="s">
        <v>5255</v>
      </c>
    </row>
    <row r="2463" spans="1:17" x14ac:dyDescent="0.3">
      <c r="A2463" t="s">
        <v>4729</v>
      </c>
      <c r="B2463" t="str">
        <f>"000688"</f>
        <v>000688</v>
      </c>
      <c r="C2463" t="s">
        <v>5256</v>
      </c>
      <c r="D2463" t="s">
        <v>744</v>
      </c>
      <c r="F2463">
        <v>1709469529</v>
      </c>
      <c r="G2463">
        <v>907574758</v>
      </c>
      <c r="H2463">
        <v>1020530162</v>
      </c>
      <c r="I2463">
        <v>1225836991</v>
      </c>
      <c r="J2463">
        <v>1240451486</v>
      </c>
      <c r="K2463">
        <v>1114312808</v>
      </c>
      <c r="L2463">
        <v>1090652107</v>
      </c>
      <c r="M2463">
        <v>986921890</v>
      </c>
      <c r="N2463">
        <v>669689204</v>
      </c>
      <c r="O2463">
        <v>17908634</v>
      </c>
      <c r="P2463">
        <v>197</v>
      </c>
      <c r="Q2463" t="s">
        <v>5257</v>
      </c>
    </row>
    <row r="2464" spans="1:17" x14ac:dyDescent="0.3">
      <c r="A2464" t="s">
        <v>4729</v>
      </c>
      <c r="B2464" t="str">
        <f>"000689"</f>
        <v>000689</v>
      </c>
      <c r="C2464" t="s">
        <v>5258</v>
      </c>
      <c r="P2464">
        <v>5</v>
      </c>
      <c r="Q2464" t="s">
        <v>5259</v>
      </c>
    </row>
    <row r="2465" spans="1:17" x14ac:dyDescent="0.3">
      <c r="A2465" t="s">
        <v>4729</v>
      </c>
      <c r="B2465" t="str">
        <f>"000690"</f>
        <v>000690</v>
      </c>
      <c r="C2465" t="s">
        <v>5260</v>
      </c>
      <c r="D2465" t="s">
        <v>41</v>
      </c>
      <c r="F2465">
        <v>9410648533</v>
      </c>
      <c r="G2465">
        <v>7159672230</v>
      </c>
      <c r="H2465">
        <v>5626823268</v>
      </c>
      <c r="I2465">
        <v>3834291614</v>
      </c>
      <c r="J2465">
        <v>2514872094</v>
      </c>
      <c r="K2465">
        <v>3539851233</v>
      </c>
      <c r="L2465">
        <v>3574114397</v>
      </c>
      <c r="M2465">
        <v>4697106693</v>
      </c>
      <c r="N2465">
        <v>5655572709</v>
      </c>
      <c r="O2465">
        <v>3950759722</v>
      </c>
      <c r="P2465">
        <v>643</v>
      </c>
      <c r="Q2465" t="s">
        <v>5261</v>
      </c>
    </row>
    <row r="2466" spans="1:17" x14ac:dyDescent="0.3">
      <c r="A2466" t="s">
        <v>4729</v>
      </c>
      <c r="B2466" t="str">
        <f>"000691"</f>
        <v>000691</v>
      </c>
      <c r="C2466" t="s">
        <v>5262</v>
      </c>
      <c r="D2466" t="s">
        <v>104</v>
      </c>
      <c r="F2466">
        <v>521559904</v>
      </c>
      <c r="G2466">
        <v>265756701</v>
      </c>
      <c r="H2466">
        <v>13911872</v>
      </c>
      <c r="I2466">
        <v>37721516</v>
      </c>
      <c r="J2466">
        <v>46147811</v>
      </c>
      <c r="K2466">
        <v>46243033</v>
      </c>
      <c r="L2466">
        <v>104716076</v>
      </c>
      <c r="M2466">
        <v>13128893</v>
      </c>
      <c r="N2466">
        <v>32384477</v>
      </c>
      <c r="O2466">
        <v>37259226</v>
      </c>
      <c r="P2466">
        <v>91</v>
      </c>
      <c r="Q2466" t="s">
        <v>5263</v>
      </c>
    </row>
    <row r="2467" spans="1:17" x14ac:dyDescent="0.3">
      <c r="A2467" t="s">
        <v>4729</v>
      </c>
      <c r="B2467" t="str">
        <f>"000692"</f>
        <v>000692</v>
      </c>
      <c r="C2467" t="s">
        <v>5264</v>
      </c>
      <c r="D2467" t="s">
        <v>351</v>
      </c>
      <c r="F2467">
        <v>1987280598</v>
      </c>
      <c r="G2467">
        <v>1893801467</v>
      </c>
      <c r="H2467">
        <v>1850660646</v>
      </c>
      <c r="I2467">
        <v>1908428574</v>
      </c>
      <c r="J2467">
        <v>1766202434</v>
      </c>
      <c r="K2467">
        <v>1829976671</v>
      </c>
      <c r="L2467">
        <v>1568992213</v>
      </c>
      <c r="M2467">
        <v>1573201660</v>
      </c>
      <c r="N2467">
        <v>1558196971</v>
      </c>
      <c r="O2467">
        <v>1507528175</v>
      </c>
      <c r="P2467">
        <v>77</v>
      </c>
      <c r="Q2467" t="s">
        <v>5265</v>
      </c>
    </row>
    <row r="2468" spans="1:17" x14ac:dyDescent="0.3">
      <c r="A2468" t="s">
        <v>4729</v>
      </c>
      <c r="B2468" t="str">
        <f>"000693"</f>
        <v>000693</v>
      </c>
      <c r="C2468" t="s">
        <v>5266</v>
      </c>
      <c r="J2468">
        <v>390855935</v>
      </c>
      <c r="K2468">
        <v>2056436408</v>
      </c>
      <c r="L2468">
        <v>8508137089.3000002</v>
      </c>
      <c r="M2468">
        <v>8049169501.71</v>
      </c>
      <c r="N2468">
        <v>4407771927.0799999</v>
      </c>
      <c r="O2468">
        <v>25058492.699999999</v>
      </c>
      <c r="P2468">
        <v>17</v>
      </c>
      <c r="Q2468" t="s">
        <v>5267</v>
      </c>
    </row>
    <row r="2469" spans="1:17" x14ac:dyDescent="0.3">
      <c r="A2469" t="s">
        <v>4729</v>
      </c>
      <c r="B2469" t="str">
        <f>"000695"</f>
        <v>000695</v>
      </c>
      <c r="C2469" t="s">
        <v>5268</v>
      </c>
      <c r="D2469" t="s">
        <v>1694</v>
      </c>
      <c r="F2469">
        <v>491617190</v>
      </c>
      <c r="G2469">
        <v>535218236</v>
      </c>
      <c r="H2469">
        <v>579422667</v>
      </c>
      <c r="I2469">
        <v>1046494904</v>
      </c>
      <c r="J2469">
        <v>1006703553</v>
      </c>
      <c r="K2469">
        <v>604560436</v>
      </c>
      <c r="L2469">
        <v>607393383</v>
      </c>
      <c r="M2469">
        <v>657629786</v>
      </c>
      <c r="N2469">
        <v>728582358</v>
      </c>
      <c r="O2469">
        <v>782877693</v>
      </c>
      <c r="P2469">
        <v>82</v>
      </c>
      <c r="Q2469" t="s">
        <v>5269</v>
      </c>
    </row>
    <row r="2470" spans="1:17" x14ac:dyDescent="0.3">
      <c r="A2470" t="s">
        <v>4729</v>
      </c>
      <c r="B2470" t="str">
        <f>"000697"</f>
        <v>000697</v>
      </c>
      <c r="C2470" t="s">
        <v>5270</v>
      </c>
      <c r="D2470" t="s">
        <v>98</v>
      </c>
      <c r="F2470">
        <v>986010937</v>
      </c>
      <c r="G2470">
        <v>1131484201</v>
      </c>
      <c r="H2470">
        <v>1979862597</v>
      </c>
      <c r="I2470">
        <v>1602519879</v>
      </c>
      <c r="J2470">
        <v>752737594</v>
      </c>
      <c r="K2470">
        <v>12653836</v>
      </c>
      <c r="L2470">
        <v>154959559</v>
      </c>
      <c r="M2470">
        <v>243740191</v>
      </c>
      <c r="N2470">
        <v>226201000</v>
      </c>
      <c r="O2470">
        <v>212032407</v>
      </c>
      <c r="P2470">
        <v>110</v>
      </c>
      <c r="Q2470" t="s">
        <v>5271</v>
      </c>
    </row>
    <row r="2471" spans="1:17" x14ac:dyDescent="0.3">
      <c r="A2471" t="s">
        <v>4729</v>
      </c>
      <c r="B2471" t="str">
        <f>"000698"</f>
        <v>000698</v>
      </c>
      <c r="C2471" t="s">
        <v>5272</v>
      </c>
      <c r="D2471" t="s">
        <v>74</v>
      </c>
      <c r="F2471">
        <v>10131706979</v>
      </c>
      <c r="G2471">
        <v>9571852189</v>
      </c>
      <c r="H2471">
        <v>11019952779</v>
      </c>
      <c r="I2471">
        <v>10790780908</v>
      </c>
      <c r="J2471">
        <v>11908162079</v>
      </c>
      <c r="K2471">
        <v>8846765462</v>
      </c>
      <c r="L2471">
        <v>9663900539</v>
      </c>
      <c r="M2471">
        <v>10534393389</v>
      </c>
      <c r="N2471">
        <v>10531130769</v>
      </c>
      <c r="O2471">
        <v>10260651928</v>
      </c>
      <c r="P2471">
        <v>166</v>
      </c>
      <c r="Q2471" t="s">
        <v>5273</v>
      </c>
    </row>
    <row r="2472" spans="1:17" x14ac:dyDescent="0.3">
      <c r="A2472" t="s">
        <v>4729</v>
      </c>
      <c r="B2472" t="str">
        <f>"000699"</f>
        <v>000699</v>
      </c>
      <c r="C2472" t="s">
        <v>5274</v>
      </c>
      <c r="L2472">
        <v>583196.57999999996</v>
      </c>
      <c r="P2472">
        <v>4</v>
      </c>
      <c r="Q2472" t="s">
        <v>5275</v>
      </c>
    </row>
    <row r="2473" spans="1:17" x14ac:dyDescent="0.3">
      <c r="A2473" t="s">
        <v>4729</v>
      </c>
      <c r="B2473" t="str">
        <f>"000700"</f>
        <v>000700</v>
      </c>
      <c r="C2473" t="s">
        <v>5276</v>
      </c>
      <c r="D2473" t="s">
        <v>191</v>
      </c>
      <c r="F2473">
        <v>7389871100</v>
      </c>
      <c r="G2473">
        <v>6124452567</v>
      </c>
      <c r="H2473">
        <v>5489528085</v>
      </c>
      <c r="I2473">
        <v>4965647397</v>
      </c>
      <c r="J2473">
        <v>4340149793</v>
      </c>
      <c r="K2473">
        <v>3191021809</v>
      </c>
      <c r="L2473">
        <v>3136354121</v>
      </c>
      <c r="M2473">
        <v>3395399749</v>
      </c>
      <c r="N2473">
        <v>2901136042</v>
      </c>
      <c r="O2473">
        <v>2464387798</v>
      </c>
      <c r="P2473">
        <v>259</v>
      </c>
      <c r="Q2473" t="s">
        <v>5277</v>
      </c>
    </row>
    <row r="2474" spans="1:17" x14ac:dyDescent="0.3">
      <c r="A2474" t="s">
        <v>4729</v>
      </c>
      <c r="B2474" t="str">
        <f>"000701"</f>
        <v>000701</v>
      </c>
      <c r="C2474" t="s">
        <v>5278</v>
      </c>
      <c r="D2474" t="s">
        <v>651</v>
      </c>
      <c r="F2474">
        <v>108549348100</v>
      </c>
      <c r="G2474">
        <v>76276334048</v>
      </c>
      <c r="H2474">
        <v>83797941844</v>
      </c>
      <c r="I2474">
        <v>64930711526</v>
      </c>
      <c r="J2474">
        <v>50018137492</v>
      </c>
      <c r="K2474">
        <v>40290753929</v>
      </c>
      <c r="L2474">
        <v>29305081934</v>
      </c>
      <c r="M2474">
        <v>26358552571</v>
      </c>
      <c r="N2474">
        <v>25649469131</v>
      </c>
      <c r="O2474">
        <v>17524635519</v>
      </c>
      <c r="P2474">
        <v>120</v>
      </c>
      <c r="Q2474" t="s">
        <v>5279</v>
      </c>
    </row>
    <row r="2475" spans="1:17" x14ac:dyDescent="0.3">
      <c r="A2475" t="s">
        <v>4729</v>
      </c>
      <c r="B2475" t="str">
        <f>"000702"</f>
        <v>000702</v>
      </c>
      <c r="C2475" t="s">
        <v>5280</v>
      </c>
      <c r="D2475" t="s">
        <v>2886</v>
      </c>
      <c r="F2475">
        <v>1431564907</v>
      </c>
      <c r="G2475">
        <v>1068295560</v>
      </c>
      <c r="H2475">
        <v>1123012451</v>
      </c>
      <c r="I2475">
        <v>1341877250</v>
      </c>
      <c r="J2475">
        <v>1348404085</v>
      </c>
      <c r="K2475">
        <v>1229990208</v>
      </c>
      <c r="L2475">
        <v>1316880092</v>
      </c>
      <c r="M2475">
        <v>1801316971</v>
      </c>
      <c r="N2475">
        <v>2024098384</v>
      </c>
      <c r="O2475">
        <v>1966032593</v>
      </c>
      <c r="P2475">
        <v>127</v>
      </c>
      <c r="Q2475" t="s">
        <v>5281</v>
      </c>
    </row>
    <row r="2476" spans="1:17" x14ac:dyDescent="0.3">
      <c r="A2476" t="s">
        <v>4729</v>
      </c>
      <c r="B2476" t="str">
        <f>"000703"</f>
        <v>000703</v>
      </c>
      <c r="C2476" t="s">
        <v>5282</v>
      </c>
      <c r="D2476" t="s">
        <v>74</v>
      </c>
      <c r="F2476">
        <v>128979539693</v>
      </c>
      <c r="G2476">
        <v>86429630192</v>
      </c>
      <c r="H2476">
        <v>79620543632</v>
      </c>
      <c r="I2476">
        <v>84947688334</v>
      </c>
      <c r="J2476">
        <v>64283848066</v>
      </c>
      <c r="K2476">
        <v>32419339546</v>
      </c>
      <c r="L2476">
        <v>30317706675</v>
      </c>
      <c r="M2476">
        <v>28062542927</v>
      </c>
      <c r="N2476">
        <v>30750609390</v>
      </c>
      <c r="O2476">
        <v>32671628522</v>
      </c>
      <c r="P2476">
        <v>581</v>
      </c>
      <c r="Q2476" t="s">
        <v>5283</v>
      </c>
    </row>
    <row r="2477" spans="1:17" x14ac:dyDescent="0.3">
      <c r="A2477" t="s">
        <v>4729</v>
      </c>
      <c r="B2477" t="str">
        <f>"000705"</f>
        <v>000705</v>
      </c>
      <c r="C2477" t="s">
        <v>5284</v>
      </c>
      <c r="D2477" t="s">
        <v>125</v>
      </c>
      <c r="F2477">
        <v>3612045256</v>
      </c>
      <c r="G2477">
        <v>3439840440</v>
      </c>
      <c r="H2477">
        <v>3243149411</v>
      </c>
      <c r="I2477">
        <v>2858058626</v>
      </c>
      <c r="J2477">
        <v>2577916047</v>
      </c>
      <c r="K2477">
        <v>2440003893</v>
      </c>
      <c r="L2477">
        <v>2163505549</v>
      </c>
      <c r="M2477">
        <v>2081233141</v>
      </c>
      <c r="N2477">
        <v>2018147645</v>
      </c>
      <c r="O2477">
        <v>1812211115</v>
      </c>
      <c r="P2477">
        <v>107</v>
      </c>
      <c r="Q2477" t="s">
        <v>5285</v>
      </c>
    </row>
    <row r="2478" spans="1:17" x14ac:dyDescent="0.3">
      <c r="A2478" t="s">
        <v>4729</v>
      </c>
      <c r="B2478" t="str">
        <f>"000707"</f>
        <v>000707</v>
      </c>
      <c r="C2478" t="s">
        <v>5286</v>
      </c>
      <c r="D2478" t="s">
        <v>2529</v>
      </c>
      <c r="F2478">
        <v>3063760181</v>
      </c>
      <c r="G2478">
        <v>1784818190</v>
      </c>
      <c r="H2478">
        <v>2304589570</v>
      </c>
      <c r="I2478">
        <v>3769945574</v>
      </c>
      <c r="J2478">
        <v>4281607524</v>
      </c>
      <c r="K2478">
        <v>3970627712</v>
      </c>
      <c r="L2478">
        <v>3882785997</v>
      </c>
      <c r="M2478">
        <v>4000610420</v>
      </c>
      <c r="N2478">
        <v>3722069701</v>
      </c>
      <c r="O2478">
        <v>4597249980</v>
      </c>
      <c r="P2478">
        <v>85</v>
      </c>
      <c r="Q2478" t="s">
        <v>5287</v>
      </c>
    </row>
    <row r="2479" spans="1:17" x14ac:dyDescent="0.3">
      <c r="A2479" t="s">
        <v>4729</v>
      </c>
      <c r="B2479" t="str">
        <f>"000708"</f>
        <v>000708</v>
      </c>
      <c r="C2479" t="s">
        <v>5288</v>
      </c>
      <c r="D2479" t="s">
        <v>281</v>
      </c>
      <c r="F2479">
        <v>97332335467</v>
      </c>
      <c r="G2479">
        <v>74728365793</v>
      </c>
      <c r="H2479">
        <v>72619869343</v>
      </c>
      <c r="I2479">
        <v>12573071417</v>
      </c>
      <c r="J2479">
        <v>10227069643</v>
      </c>
      <c r="K2479">
        <v>6392686590</v>
      </c>
      <c r="L2479">
        <v>6197182086</v>
      </c>
      <c r="M2479">
        <v>7352543600</v>
      </c>
      <c r="N2479">
        <v>7437710318</v>
      </c>
      <c r="O2479">
        <v>8122734464</v>
      </c>
      <c r="P2479">
        <v>677</v>
      </c>
      <c r="Q2479" t="s">
        <v>5289</v>
      </c>
    </row>
    <row r="2480" spans="1:17" x14ac:dyDescent="0.3">
      <c r="A2480" t="s">
        <v>4729</v>
      </c>
      <c r="B2480" t="str">
        <f>"000709"</f>
        <v>000709</v>
      </c>
      <c r="C2480" t="s">
        <v>5290</v>
      </c>
      <c r="D2480" t="s">
        <v>38</v>
      </c>
      <c r="F2480">
        <v>149626213824</v>
      </c>
      <c r="G2480">
        <v>107657058670</v>
      </c>
      <c r="H2480">
        <v>121495415325</v>
      </c>
      <c r="I2480">
        <v>120956993300</v>
      </c>
      <c r="J2480">
        <v>108983075198</v>
      </c>
      <c r="K2480">
        <v>74551007518</v>
      </c>
      <c r="L2480">
        <v>73103434380</v>
      </c>
      <c r="M2480">
        <v>98257447070</v>
      </c>
      <c r="N2480">
        <v>110254992166</v>
      </c>
      <c r="O2480">
        <v>111629795720</v>
      </c>
      <c r="P2480">
        <v>524</v>
      </c>
      <c r="Q2480" t="s">
        <v>5291</v>
      </c>
    </row>
    <row r="2481" spans="1:17" x14ac:dyDescent="0.3">
      <c r="A2481" t="s">
        <v>4729</v>
      </c>
      <c r="B2481" t="str">
        <f>"000710"</f>
        <v>000710</v>
      </c>
      <c r="C2481" t="s">
        <v>5292</v>
      </c>
      <c r="D2481" t="s">
        <v>1305</v>
      </c>
      <c r="F2481">
        <v>1422180921</v>
      </c>
      <c r="G2481">
        <v>1540385732</v>
      </c>
      <c r="H2481">
        <v>1617641301</v>
      </c>
      <c r="I2481">
        <v>1439789045</v>
      </c>
      <c r="J2481">
        <v>1171191341</v>
      </c>
      <c r="K2481">
        <v>247380253</v>
      </c>
      <c r="L2481">
        <v>230056809</v>
      </c>
      <c r="M2481">
        <v>273643289</v>
      </c>
      <c r="N2481">
        <v>262234825</v>
      </c>
      <c r="O2481">
        <v>331077628</v>
      </c>
      <c r="P2481">
        <v>460</v>
      </c>
      <c r="Q2481" t="s">
        <v>5293</v>
      </c>
    </row>
    <row r="2482" spans="1:17" x14ac:dyDescent="0.3">
      <c r="A2482" t="s">
        <v>4729</v>
      </c>
      <c r="B2482" t="str">
        <f>"000711"</f>
        <v>000711</v>
      </c>
      <c r="C2482" t="s">
        <v>5294</v>
      </c>
      <c r="D2482" t="s">
        <v>499</v>
      </c>
      <c r="F2482">
        <v>738005002</v>
      </c>
      <c r="G2482">
        <v>1158320512</v>
      </c>
      <c r="H2482">
        <v>1901408714</v>
      </c>
      <c r="I2482">
        <v>2490857778</v>
      </c>
      <c r="J2482">
        <v>1807935669</v>
      </c>
      <c r="K2482">
        <v>460813602</v>
      </c>
      <c r="L2482">
        <v>72088309</v>
      </c>
      <c r="M2482">
        <v>68749309</v>
      </c>
      <c r="N2482">
        <v>63207344</v>
      </c>
      <c r="O2482">
        <v>61264650</v>
      </c>
      <c r="P2482">
        <v>109</v>
      </c>
      <c r="Q2482" t="s">
        <v>5295</v>
      </c>
    </row>
    <row r="2483" spans="1:17" x14ac:dyDescent="0.3">
      <c r="A2483" t="s">
        <v>4729</v>
      </c>
      <c r="B2483" t="str">
        <f>"000712"</f>
        <v>000712</v>
      </c>
      <c r="C2483" t="s">
        <v>5296</v>
      </c>
      <c r="D2483" t="s">
        <v>80</v>
      </c>
      <c r="F2483">
        <v>1006469764</v>
      </c>
      <c r="G2483">
        <v>1673021432</v>
      </c>
      <c r="H2483">
        <v>1519266124</v>
      </c>
      <c r="I2483">
        <v>978554468</v>
      </c>
      <c r="J2483">
        <v>1174810934</v>
      </c>
      <c r="K2483">
        <v>28584086</v>
      </c>
      <c r="L2483">
        <v>26018514.109999999</v>
      </c>
      <c r="M2483">
        <v>40195108.399999999</v>
      </c>
      <c r="N2483">
        <v>129054038.22</v>
      </c>
      <c r="O2483">
        <v>94794465.989999995</v>
      </c>
      <c r="P2483">
        <v>557</v>
      </c>
      <c r="Q2483" t="s">
        <v>5297</v>
      </c>
    </row>
    <row r="2484" spans="1:17" x14ac:dyDescent="0.3">
      <c r="A2484" t="s">
        <v>4729</v>
      </c>
      <c r="B2484" t="str">
        <f>"000713"</f>
        <v>000713</v>
      </c>
      <c r="C2484" t="s">
        <v>5298</v>
      </c>
      <c r="D2484" t="s">
        <v>706</v>
      </c>
      <c r="F2484">
        <v>2617242368</v>
      </c>
      <c r="G2484">
        <v>2456598310</v>
      </c>
      <c r="H2484">
        <v>2403955879</v>
      </c>
      <c r="I2484">
        <v>1927145480</v>
      </c>
      <c r="J2484">
        <v>1446714028</v>
      </c>
      <c r="K2484">
        <v>1217693090</v>
      </c>
      <c r="L2484">
        <v>1112655609</v>
      </c>
      <c r="M2484">
        <v>1378800048</v>
      </c>
      <c r="N2484">
        <v>1693934876</v>
      </c>
      <c r="O2484">
        <v>1843203032</v>
      </c>
      <c r="P2484">
        <v>237</v>
      </c>
      <c r="Q2484" t="s">
        <v>5299</v>
      </c>
    </row>
    <row r="2485" spans="1:17" x14ac:dyDescent="0.3">
      <c r="A2485" t="s">
        <v>4729</v>
      </c>
      <c r="B2485" t="str">
        <f>"000715"</f>
        <v>000715</v>
      </c>
      <c r="C2485" t="s">
        <v>5300</v>
      </c>
      <c r="D2485" t="s">
        <v>633</v>
      </c>
      <c r="F2485">
        <v>867994832</v>
      </c>
      <c r="G2485">
        <v>858484490</v>
      </c>
      <c r="H2485">
        <v>2702172507</v>
      </c>
      <c r="I2485">
        <v>2551465480</v>
      </c>
      <c r="J2485">
        <v>2458694589</v>
      </c>
      <c r="K2485">
        <v>2441495734</v>
      </c>
      <c r="L2485">
        <v>2769640679</v>
      </c>
      <c r="M2485">
        <v>3134352296</v>
      </c>
      <c r="N2485">
        <v>3479505921</v>
      </c>
      <c r="O2485">
        <v>3364761044</v>
      </c>
      <c r="P2485">
        <v>103</v>
      </c>
      <c r="Q2485" t="s">
        <v>5301</v>
      </c>
    </row>
    <row r="2486" spans="1:17" x14ac:dyDescent="0.3">
      <c r="A2486" t="s">
        <v>4729</v>
      </c>
      <c r="B2486" t="str">
        <f>"000716"</f>
        <v>000716</v>
      </c>
      <c r="C2486" t="s">
        <v>5302</v>
      </c>
      <c r="D2486" t="s">
        <v>2488</v>
      </c>
      <c r="F2486">
        <v>4024790088</v>
      </c>
      <c r="G2486">
        <v>3840922700</v>
      </c>
      <c r="H2486">
        <v>4475639684</v>
      </c>
      <c r="I2486">
        <v>3964403000</v>
      </c>
      <c r="J2486">
        <v>2771779926</v>
      </c>
      <c r="K2486">
        <v>2314480665</v>
      </c>
      <c r="L2486">
        <v>1887605893</v>
      </c>
      <c r="M2486">
        <v>1497527960</v>
      </c>
      <c r="N2486">
        <v>1305531280</v>
      </c>
      <c r="O2486">
        <v>641465884</v>
      </c>
      <c r="P2486">
        <v>163</v>
      </c>
      <c r="Q2486" t="s">
        <v>5303</v>
      </c>
    </row>
    <row r="2487" spans="1:17" x14ac:dyDescent="0.3">
      <c r="A2487" t="s">
        <v>4729</v>
      </c>
      <c r="B2487" t="str">
        <f>"000717"</f>
        <v>000717</v>
      </c>
      <c r="C2487" t="s">
        <v>5304</v>
      </c>
      <c r="D2487" t="s">
        <v>531</v>
      </c>
      <c r="F2487">
        <v>45482381970</v>
      </c>
      <c r="G2487">
        <v>31555537746</v>
      </c>
      <c r="H2487">
        <v>29143183753</v>
      </c>
      <c r="I2487">
        <v>27112484025</v>
      </c>
      <c r="J2487">
        <v>26038268339</v>
      </c>
      <c r="K2487">
        <v>13972867050</v>
      </c>
      <c r="L2487">
        <v>11144587539</v>
      </c>
      <c r="M2487">
        <v>19496616822</v>
      </c>
      <c r="N2487">
        <v>19171033997</v>
      </c>
      <c r="O2487">
        <v>19259844563</v>
      </c>
      <c r="P2487">
        <v>681</v>
      </c>
      <c r="Q2487" t="s">
        <v>5305</v>
      </c>
    </row>
    <row r="2488" spans="1:17" x14ac:dyDescent="0.3">
      <c r="A2488" t="s">
        <v>4729</v>
      </c>
      <c r="B2488" t="str">
        <f>"000718"</f>
        <v>000718</v>
      </c>
      <c r="C2488" t="s">
        <v>5306</v>
      </c>
      <c r="D2488" t="s">
        <v>104</v>
      </c>
      <c r="F2488">
        <v>2993844726</v>
      </c>
      <c r="G2488">
        <v>4287442671</v>
      </c>
      <c r="H2488">
        <v>3924284104</v>
      </c>
      <c r="I2488">
        <v>3243794334</v>
      </c>
      <c r="J2488">
        <v>5767980961</v>
      </c>
      <c r="K2488">
        <v>8246527311</v>
      </c>
      <c r="L2488">
        <v>7375183844</v>
      </c>
      <c r="M2488">
        <v>5456601810</v>
      </c>
      <c r="N2488">
        <v>6720564495</v>
      </c>
      <c r="O2488">
        <v>4406134007</v>
      </c>
      <c r="P2488">
        <v>659</v>
      </c>
      <c r="Q2488" t="s">
        <v>5307</v>
      </c>
    </row>
    <row r="2489" spans="1:17" x14ac:dyDescent="0.3">
      <c r="A2489" t="s">
        <v>4729</v>
      </c>
      <c r="B2489" t="str">
        <f>"000719"</f>
        <v>000719</v>
      </c>
      <c r="C2489" t="s">
        <v>5308</v>
      </c>
      <c r="D2489" t="s">
        <v>525</v>
      </c>
      <c r="F2489">
        <v>9261018631</v>
      </c>
      <c r="G2489">
        <v>9590322571</v>
      </c>
      <c r="H2489">
        <v>9498392751</v>
      </c>
      <c r="I2489">
        <v>9001120068</v>
      </c>
      <c r="J2489">
        <v>8174468670</v>
      </c>
      <c r="K2489">
        <v>7889679238</v>
      </c>
      <c r="L2489">
        <v>7138610610</v>
      </c>
      <c r="M2489">
        <v>7102547458</v>
      </c>
      <c r="N2489">
        <v>2885321108</v>
      </c>
      <c r="O2489">
        <v>2271518383</v>
      </c>
      <c r="P2489">
        <v>697</v>
      </c>
      <c r="Q2489" t="s">
        <v>5309</v>
      </c>
    </row>
    <row r="2490" spans="1:17" x14ac:dyDescent="0.3">
      <c r="A2490" t="s">
        <v>4729</v>
      </c>
      <c r="B2490" t="str">
        <f>"000720"</f>
        <v>000720</v>
      </c>
      <c r="C2490" t="s">
        <v>5310</v>
      </c>
      <c r="D2490" t="s">
        <v>194</v>
      </c>
      <c r="F2490">
        <v>4180744571</v>
      </c>
      <c r="G2490">
        <v>3853086549</v>
      </c>
      <c r="H2490">
        <v>3580387753</v>
      </c>
      <c r="I2490">
        <v>2602783537</v>
      </c>
      <c r="J2490">
        <v>2744591630</v>
      </c>
      <c r="K2490">
        <v>2485802501</v>
      </c>
      <c r="L2490">
        <v>3293168975</v>
      </c>
      <c r="M2490">
        <v>3145645255</v>
      </c>
      <c r="N2490">
        <v>2901885954</v>
      </c>
      <c r="O2490">
        <v>3045572823</v>
      </c>
      <c r="P2490">
        <v>122</v>
      </c>
      <c r="Q2490" t="s">
        <v>5311</v>
      </c>
    </row>
    <row r="2491" spans="1:17" x14ac:dyDescent="0.3">
      <c r="A2491" t="s">
        <v>4729</v>
      </c>
      <c r="B2491" t="str">
        <f>"000721"</f>
        <v>000721</v>
      </c>
      <c r="C2491" t="s">
        <v>5312</v>
      </c>
      <c r="D2491" t="s">
        <v>3598</v>
      </c>
      <c r="F2491">
        <v>519291157</v>
      </c>
      <c r="G2491">
        <v>410865232</v>
      </c>
      <c r="H2491">
        <v>500457532</v>
      </c>
      <c r="I2491">
        <v>496037287</v>
      </c>
      <c r="J2491">
        <v>493792199</v>
      </c>
      <c r="K2491">
        <v>500549360</v>
      </c>
      <c r="L2491">
        <v>499001567</v>
      </c>
      <c r="M2491">
        <v>545776064</v>
      </c>
      <c r="N2491">
        <v>586167482</v>
      </c>
      <c r="O2491">
        <v>658597379</v>
      </c>
      <c r="P2491">
        <v>130</v>
      </c>
      <c r="Q2491" t="s">
        <v>5313</v>
      </c>
    </row>
    <row r="2492" spans="1:17" x14ac:dyDescent="0.3">
      <c r="A2492" t="s">
        <v>4729</v>
      </c>
      <c r="B2492" t="str">
        <f>"000722"</f>
        <v>000722</v>
      </c>
      <c r="C2492" t="s">
        <v>5314</v>
      </c>
      <c r="D2492" t="s">
        <v>66</v>
      </c>
      <c r="F2492">
        <v>478395473</v>
      </c>
      <c r="G2492">
        <v>310885895</v>
      </c>
      <c r="H2492">
        <v>243872615</v>
      </c>
      <c r="I2492">
        <v>266711375</v>
      </c>
      <c r="J2492">
        <v>244487723</v>
      </c>
      <c r="K2492">
        <v>281712049</v>
      </c>
      <c r="L2492">
        <v>276095857</v>
      </c>
      <c r="M2492">
        <v>271231118</v>
      </c>
      <c r="N2492">
        <v>240185099</v>
      </c>
      <c r="O2492">
        <v>257604568</v>
      </c>
      <c r="P2492">
        <v>104</v>
      </c>
      <c r="Q2492" t="s">
        <v>5315</v>
      </c>
    </row>
    <row r="2493" spans="1:17" x14ac:dyDescent="0.3">
      <c r="A2493" t="s">
        <v>4729</v>
      </c>
      <c r="B2493" t="str">
        <f>"000723"</f>
        <v>000723</v>
      </c>
      <c r="C2493" t="s">
        <v>5316</v>
      </c>
      <c r="D2493" t="s">
        <v>885</v>
      </c>
      <c r="F2493">
        <v>21287684377</v>
      </c>
      <c r="G2493">
        <v>12846280126</v>
      </c>
      <c r="H2493">
        <v>14090067143</v>
      </c>
      <c r="I2493">
        <v>15146563763</v>
      </c>
      <c r="J2493">
        <v>12237789421</v>
      </c>
      <c r="K2493">
        <v>7109916638</v>
      </c>
      <c r="L2493">
        <v>5701681764</v>
      </c>
      <c r="M2493">
        <v>998107008</v>
      </c>
      <c r="N2493">
        <v>1263366527</v>
      </c>
      <c r="O2493">
        <v>1193162571</v>
      </c>
      <c r="P2493">
        <v>673</v>
      </c>
      <c r="Q2493" t="s">
        <v>5317</v>
      </c>
    </row>
    <row r="2494" spans="1:17" x14ac:dyDescent="0.3">
      <c r="A2494" t="s">
        <v>4729</v>
      </c>
      <c r="B2494" t="str">
        <f>"000725"</f>
        <v>000725</v>
      </c>
      <c r="C2494" t="s">
        <v>5318</v>
      </c>
      <c r="D2494" t="s">
        <v>1117</v>
      </c>
      <c r="F2494">
        <v>219309799505</v>
      </c>
      <c r="G2494">
        <v>135552569729</v>
      </c>
      <c r="H2494">
        <v>116059590164</v>
      </c>
      <c r="I2494">
        <v>97108864935</v>
      </c>
      <c r="J2494">
        <v>93800479215</v>
      </c>
      <c r="K2494">
        <v>68895658963</v>
      </c>
      <c r="L2494">
        <v>48623732312</v>
      </c>
      <c r="M2494">
        <v>36816316676</v>
      </c>
      <c r="N2494">
        <v>33774285620</v>
      </c>
      <c r="O2494">
        <v>25771583386</v>
      </c>
      <c r="P2494">
        <v>4544</v>
      </c>
      <c r="Q2494" t="s">
        <v>5319</v>
      </c>
    </row>
    <row r="2495" spans="1:17" x14ac:dyDescent="0.3">
      <c r="A2495" t="s">
        <v>4729</v>
      </c>
      <c r="B2495" t="str">
        <f>"000726"</f>
        <v>000726</v>
      </c>
      <c r="C2495" t="s">
        <v>5320</v>
      </c>
      <c r="D2495" t="s">
        <v>1009</v>
      </c>
      <c r="F2495">
        <v>5238262349</v>
      </c>
      <c r="G2495">
        <v>4751222464</v>
      </c>
      <c r="H2495">
        <v>6801381449</v>
      </c>
      <c r="I2495">
        <v>6879058814</v>
      </c>
      <c r="J2495">
        <v>6409224045</v>
      </c>
      <c r="K2495">
        <v>5981751345</v>
      </c>
      <c r="L2495">
        <v>6173322779</v>
      </c>
      <c r="M2495">
        <v>6169688793</v>
      </c>
      <c r="N2495">
        <v>6478245029</v>
      </c>
      <c r="O2495">
        <v>5901049894</v>
      </c>
      <c r="P2495">
        <v>981</v>
      </c>
      <c r="Q2495" t="s">
        <v>5321</v>
      </c>
    </row>
    <row r="2496" spans="1:17" x14ac:dyDescent="0.3">
      <c r="A2496" t="s">
        <v>4729</v>
      </c>
      <c r="B2496" t="str">
        <f>"000727"</f>
        <v>000727</v>
      </c>
      <c r="C2496" t="s">
        <v>5322</v>
      </c>
      <c r="D2496" t="s">
        <v>1117</v>
      </c>
      <c r="F2496">
        <v>70610242433</v>
      </c>
      <c r="G2496">
        <v>68555500818</v>
      </c>
      <c r="H2496">
        <v>5266542220</v>
      </c>
      <c r="I2496">
        <v>5702781523</v>
      </c>
      <c r="J2496">
        <v>5994988895</v>
      </c>
      <c r="K2496">
        <v>1576591996</v>
      </c>
      <c r="L2496">
        <v>1156333604</v>
      </c>
      <c r="M2496">
        <v>988545438</v>
      </c>
      <c r="N2496">
        <v>819774281</v>
      </c>
      <c r="O2496">
        <v>808654399</v>
      </c>
      <c r="P2496">
        <v>197</v>
      </c>
      <c r="Q2496" t="s">
        <v>5323</v>
      </c>
    </row>
    <row r="2497" spans="1:17" x14ac:dyDescent="0.3">
      <c r="A2497" t="s">
        <v>4729</v>
      </c>
      <c r="B2497" t="str">
        <f>"000728"</f>
        <v>000728</v>
      </c>
      <c r="C2497" t="s">
        <v>5324</v>
      </c>
      <c r="D2497" t="s">
        <v>80</v>
      </c>
      <c r="F2497">
        <v>6109751585</v>
      </c>
      <c r="G2497">
        <v>4528625618</v>
      </c>
      <c r="H2497">
        <v>3198808368</v>
      </c>
      <c r="I2497">
        <v>2537907348</v>
      </c>
      <c r="J2497">
        <v>3510702162</v>
      </c>
      <c r="K2497">
        <v>3375520490</v>
      </c>
      <c r="L2497">
        <v>5773382071</v>
      </c>
      <c r="M2497">
        <v>3486036146</v>
      </c>
      <c r="N2497">
        <v>1984927622</v>
      </c>
      <c r="O2497">
        <v>1531164694</v>
      </c>
      <c r="P2497">
        <v>1902</v>
      </c>
      <c r="Q2497" t="s">
        <v>5325</v>
      </c>
    </row>
    <row r="2498" spans="1:17" x14ac:dyDescent="0.3">
      <c r="A2498" t="s">
        <v>4729</v>
      </c>
      <c r="B2498" t="str">
        <f>"000729"</f>
        <v>000729</v>
      </c>
      <c r="C2498" t="s">
        <v>5326</v>
      </c>
      <c r="D2498" t="s">
        <v>319</v>
      </c>
      <c r="F2498">
        <v>11960988475</v>
      </c>
      <c r="G2498">
        <v>10928382546</v>
      </c>
      <c r="H2498">
        <v>11468484012</v>
      </c>
      <c r="I2498">
        <v>11343775107</v>
      </c>
      <c r="J2498">
        <v>11195581459</v>
      </c>
      <c r="K2498">
        <v>11573195544</v>
      </c>
      <c r="L2498">
        <v>12538267007</v>
      </c>
      <c r="M2498">
        <v>13503754126</v>
      </c>
      <c r="N2498">
        <v>13748383878</v>
      </c>
      <c r="O2498">
        <v>13033346503</v>
      </c>
      <c r="P2498">
        <v>607</v>
      </c>
      <c r="Q2498" t="s">
        <v>5327</v>
      </c>
    </row>
    <row r="2499" spans="1:17" x14ac:dyDescent="0.3">
      <c r="A2499" t="s">
        <v>4729</v>
      </c>
      <c r="B2499" t="str">
        <f>"000730"</f>
        <v>000730</v>
      </c>
      <c r="C2499" t="s">
        <v>5328</v>
      </c>
      <c r="K2499">
        <v>381891469.07999998</v>
      </c>
      <c r="L2499">
        <v>298233082.94999999</v>
      </c>
      <c r="M2499">
        <v>357281.56</v>
      </c>
      <c r="P2499">
        <v>4</v>
      </c>
      <c r="Q2499" t="s">
        <v>5329</v>
      </c>
    </row>
    <row r="2500" spans="1:17" x14ac:dyDescent="0.3">
      <c r="A2500" t="s">
        <v>4729</v>
      </c>
      <c r="B2500" t="str">
        <f>"000731"</f>
        <v>000731</v>
      </c>
      <c r="C2500" t="s">
        <v>5330</v>
      </c>
      <c r="D2500" t="s">
        <v>909</v>
      </c>
      <c r="F2500">
        <v>4090955815</v>
      </c>
      <c r="G2500">
        <v>2912413299</v>
      </c>
      <c r="H2500">
        <v>2929130916</v>
      </c>
      <c r="I2500">
        <v>2639919529</v>
      </c>
      <c r="J2500">
        <v>2528000406</v>
      </c>
      <c r="K2500">
        <v>2370063676</v>
      </c>
      <c r="L2500">
        <v>3928274235</v>
      </c>
      <c r="M2500">
        <v>4769010608</v>
      </c>
      <c r="N2500">
        <v>5767901400</v>
      </c>
      <c r="O2500">
        <v>6506585659</v>
      </c>
      <c r="P2500">
        <v>127</v>
      </c>
      <c r="Q2500" t="s">
        <v>5331</v>
      </c>
    </row>
    <row r="2501" spans="1:17" x14ac:dyDescent="0.3">
      <c r="A2501" t="s">
        <v>4729</v>
      </c>
      <c r="B2501" t="str">
        <f>"000732"</f>
        <v>000732</v>
      </c>
      <c r="C2501" t="s">
        <v>5332</v>
      </c>
      <c r="D2501" t="s">
        <v>104</v>
      </c>
      <c r="F2501">
        <v>4911127344</v>
      </c>
      <c r="G2501">
        <v>3614534476</v>
      </c>
      <c r="H2501">
        <v>23620615287</v>
      </c>
      <c r="I2501">
        <v>30984920278</v>
      </c>
      <c r="J2501">
        <v>24331166372</v>
      </c>
      <c r="K2501">
        <v>20727941733</v>
      </c>
      <c r="L2501">
        <v>14813258429</v>
      </c>
      <c r="M2501">
        <v>8372325812</v>
      </c>
      <c r="N2501">
        <v>6128499564</v>
      </c>
      <c r="O2501">
        <v>2602812874</v>
      </c>
      <c r="P2501">
        <v>438</v>
      </c>
      <c r="Q2501" t="s">
        <v>5333</v>
      </c>
    </row>
    <row r="2502" spans="1:17" x14ac:dyDescent="0.3">
      <c r="A2502" t="s">
        <v>4729</v>
      </c>
      <c r="B2502" t="str">
        <f>"000733"</f>
        <v>000733</v>
      </c>
      <c r="C2502" t="s">
        <v>5334</v>
      </c>
      <c r="D2502" t="s">
        <v>1136</v>
      </c>
      <c r="F2502">
        <v>5655971825</v>
      </c>
      <c r="G2502">
        <v>3949731032</v>
      </c>
      <c r="H2502">
        <v>3668281842</v>
      </c>
      <c r="I2502">
        <v>5337571527</v>
      </c>
      <c r="J2502">
        <v>8017831123</v>
      </c>
      <c r="K2502">
        <v>6589049796</v>
      </c>
      <c r="L2502">
        <v>5063571707</v>
      </c>
      <c r="M2502">
        <v>4170015160</v>
      </c>
      <c r="N2502">
        <v>2972742241</v>
      </c>
      <c r="O2502">
        <v>2973893762</v>
      </c>
      <c r="P2502">
        <v>489</v>
      </c>
      <c r="Q2502" t="s">
        <v>5335</v>
      </c>
    </row>
    <row r="2503" spans="1:17" x14ac:dyDescent="0.3">
      <c r="A2503" t="s">
        <v>4729</v>
      </c>
      <c r="B2503" t="str">
        <f>"000735"</f>
        <v>000735</v>
      </c>
      <c r="C2503" t="s">
        <v>5336</v>
      </c>
      <c r="D2503" t="s">
        <v>1900</v>
      </c>
      <c r="F2503">
        <v>1871731106</v>
      </c>
      <c r="G2503">
        <v>2333326710</v>
      </c>
      <c r="H2503">
        <v>1164257304</v>
      </c>
      <c r="I2503">
        <v>1121254823</v>
      </c>
      <c r="J2503">
        <v>1298149934</v>
      </c>
      <c r="K2503">
        <v>891077257</v>
      </c>
      <c r="L2503">
        <v>729998910</v>
      </c>
      <c r="M2503">
        <v>1005817244</v>
      </c>
      <c r="N2503">
        <v>1731557989</v>
      </c>
      <c r="O2503">
        <v>851295801</v>
      </c>
      <c r="P2503">
        <v>290</v>
      </c>
      <c r="Q2503" t="s">
        <v>5337</v>
      </c>
    </row>
    <row r="2504" spans="1:17" x14ac:dyDescent="0.3">
      <c r="A2504" t="s">
        <v>4729</v>
      </c>
      <c r="B2504" t="str">
        <f>"000736"</f>
        <v>000736</v>
      </c>
      <c r="C2504" t="s">
        <v>5338</v>
      </c>
      <c r="D2504" t="s">
        <v>104</v>
      </c>
      <c r="F2504">
        <v>14542468951</v>
      </c>
      <c r="G2504">
        <v>12299998320</v>
      </c>
      <c r="H2504">
        <v>14063268311</v>
      </c>
      <c r="I2504">
        <v>8947567913</v>
      </c>
      <c r="J2504">
        <v>5793578805</v>
      </c>
      <c r="K2504">
        <v>4729700021</v>
      </c>
      <c r="L2504">
        <v>1112269246</v>
      </c>
      <c r="M2504">
        <v>708458242</v>
      </c>
      <c r="N2504">
        <v>854656165</v>
      </c>
      <c r="O2504">
        <v>640296733</v>
      </c>
      <c r="P2504">
        <v>189</v>
      </c>
      <c r="Q2504" t="s">
        <v>5339</v>
      </c>
    </row>
    <row r="2505" spans="1:17" x14ac:dyDescent="0.3">
      <c r="A2505" t="s">
        <v>4729</v>
      </c>
      <c r="B2505" t="str">
        <f>"000737"</f>
        <v>000737</v>
      </c>
      <c r="C2505" t="s">
        <v>5340</v>
      </c>
      <c r="D2505" t="s">
        <v>736</v>
      </c>
      <c r="F2505">
        <v>9964580515</v>
      </c>
      <c r="G2505">
        <v>1125455573</v>
      </c>
      <c r="H2505">
        <v>1214654425</v>
      </c>
      <c r="I2505">
        <v>1827270677</v>
      </c>
      <c r="J2505">
        <v>1872659776</v>
      </c>
      <c r="K2505">
        <v>2135197330</v>
      </c>
      <c r="L2505">
        <v>2151795748</v>
      </c>
      <c r="M2505">
        <v>2518914771</v>
      </c>
      <c r="N2505">
        <v>2746043246</v>
      </c>
      <c r="O2505">
        <v>2572189391</v>
      </c>
      <c r="P2505">
        <v>83</v>
      </c>
      <c r="Q2505" t="s">
        <v>5341</v>
      </c>
    </row>
    <row r="2506" spans="1:17" x14ac:dyDescent="0.3">
      <c r="A2506" t="s">
        <v>4729</v>
      </c>
      <c r="B2506" t="str">
        <f>"000738"</f>
        <v>000738</v>
      </c>
      <c r="C2506" t="s">
        <v>5342</v>
      </c>
      <c r="D2506" t="s">
        <v>98</v>
      </c>
      <c r="F2506">
        <v>4156777897</v>
      </c>
      <c r="G2506">
        <v>3498717000</v>
      </c>
      <c r="H2506">
        <v>3092491496</v>
      </c>
      <c r="I2506">
        <v>2746407657</v>
      </c>
      <c r="J2506">
        <v>2553462478</v>
      </c>
      <c r="K2506">
        <v>2503911789</v>
      </c>
      <c r="L2506">
        <v>2598433029</v>
      </c>
      <c r="M2506">
        <v>2575882345</v>
      </c>
      <c r="N2506">
        <v>2612125155</v>
      </c>
      <c r="O2506">
        <v>2221385255</v>
      </c>
      <c r="P2506">
        <v>324</v>
      </c>
      <c r="Q2506" t="s">
        <v>5343</v>
      </c>
    </row>
    <row r="2507" spans="1:17" x14ac:dyDescent="0.3">
      <c r="A2507" t="s">
        <v>4729</v>
      </c>
      <c r="B2507" t="str">
        <f>"000739"</f>
        <v>000739</v>
      </c>
      <c r="C2507" t="s">
        <v>5344</v>
      </c>
      <c r="D2507" t="s">
        <v>496</v>
      </c>
      <c r="F2507">
        <v>8942618233</v>
      </c>
      <c r="G2507">
        <v>7879672743</v>
      </c>
      <c r="H2507">
        <v>7210711386</v>
      </c>
      <c r="I2507">
        <v>6376400639</v>
      </c>
      <c r="J2507">
        <v>5551763065</v>
      </c>
      <c r="K2507">
        <v>4772188879</v>
      </c>
      <c r="L2507">
        <v>4337941188</v>
      </c>
      <c r="M2507">
        <v>4232760143</v>
      </c>
      <c r="N2507">
        <v>3899764835</v>
      </c>
      <c r="O2507">
        <v>3480088218</v>
      </c>
      <c r="P2507">
        <v>760</v>
      </c>
      <c r="Q2507" t="s">
        <v>5345</v>
      </c>
    </row>
    <row r="2508" spans="1:17" x14ac:dyDescent="0.3">
      <c r="A2508" t="s">
        <v>4729</v>
      </c>
      <c r="B2508" t="str">
        <f>"000748"</f>
        <v>000748</v>
      </c>
      <c r="C2508" t="s">
        <v>5346</v>
      </c>
      <c r="K2508">
        <v>1867915790.95</v>
      </c>
      <c r="L2508">
        <v>2123931849.54</v>
      </c>
      <c r="M2508">
        <v>1709825804.8</v>
      </c>
      <c r="N2508">
        <v>1657412340.0799999</v>
      </c>
      <c r="O2508">
        <v>1502398539.6900001</v>
      </c>
      <c r="P2508">
        <v>8</v>
      </c>
      <c r="Q2508" t="s">
        <v>5347</v>
      </c>
    </row>
    <row r="2509" spans="1:17" x14ac:dyDescent="0.3">
      <c r="A2509" t="s">
        <v>4729</v>
      </c>
      <c r="B2509" t="str">
        <f>"000750"</f>
        <v>000750</v>
      </c>
      <c r="C2509" t="s">
        <v>5348</v>
      </c>
      <c r="D2509" t="s">
        <v>80</v>
      </c>
      <c r="F2509">
        <v>5170261555</v>
      </c>
      <c r="G2509">
        <v>4482015217</v>
      </c>
      <c r="H2509">
        <v>3560208078</v>
      </c>
      <c r="I2509">
        <v>2122602078</v>
      </c>
      <c r="J2509">
        <v>2658721302</v>
      </c>
      <c r="K2509">
        <v>3837581192</v>
      </c>
      <c r="L2509">
        <v>4959157199</v>
      </c>
      <c r="M2509">
        <v>2544981928</v>
      </c>
      <c r="N2509">
        <v>1818760812</v>
      </c>
      <c r="O2509">
        <v>1459723418</v>
      </c>
      <c r="P2509">
        <v>1038</v>
      </c>
      <c r="Q2509" t="s">
        <v>5349</v>
      </c>
    </row>
    <row r="2510" spans="1:17" x14ac:dyDescent="0.3">
      <c r="A2510" t="s">
        <v>4729</v>
      </c>
      <c r="B2510" t="str">
        <f>"000751"</f>
        <v>000751</v>
      </c>
      <c r="C2510" t="s">
        <v>5350</v>
      </c>
      <c r="D2510" t="s">
        <v>744</v>
      </c>
      <c r="F2510">
        <v>22843863185</v>
      </c>
      <c r="G2510">
        <v>6808634360</v>
      </c>
      <c r="H2510">
        <v>8016298035</v>
      </c>
      <c r="I2510">
        <v>8357636178</v>
      </c>
      <c r="J2510">
        <v>6699527471</v>
      </c>
      <c r="K2510">
        <v>4713339004</v>
      </c>
      <c r="L2510">
        <v>4127083537</v>
      </c>
      <c r="M2510">
        <v>4358892274</v>
      </c>
      <c r="N2510">
        <v>4186808281</v>
      </c>
      <c r="O2510">
        <v>4442432171</v>
      </c>
      <c r="P2510">
        <v>128</v>
      </c>
      <c r="Q2510" t="s">
        <v>5351</v>
      </c>
    </row>
    <row r="2511" spans="1:17" x14ac:dyDescent="0.3">
      <c r="A2511" t="s">
        <v>4729</v>
      </c>
      <c r="B2511" t="str">
        <f>"000752"</f>
        <v>000752</v>
      </c>
      <c r="C2511" t="s">
        <v>5352</v>
      </c>
      <c r="D2511" t="s">
        <v>319</v>
      </c>
      <c r="F2511">
        <v>392849195</v>
      </c>
      <c r="G2511">
        <v>405330702</v>
      </c>
      <c r="H2511">
        <v>318364145</v>
      </c>
      <c r="I2511">
        <v>323117086</v>
      </c>
      <c r="J2511">
        <v>361551961</v>
      </c>
      <c r="K2511">
        <v>357452937</v>
      </c>
      <c r="L2511">
        <v>390826979</v>
      </c>
      <c r="M2511">
        <v>398977123</v>
      </c>
      <c r="N2511">
        <v>450170036</v>
      </c>
      <c r="O2511">
        <v>475193560</v>
      </c>
      <c r="P2511">
        <v>103</v>
      </c>
      <c r="Q2511" t="s">
        <v>5353</v>
      </c>
    </row>
    <row r="2512" spans="1:17" x14ac:dyDescent="0.3">
      <c r="A2512" t="s">
        <v>4729</v>
      </c>
      <c r="B2512" t="str">
        <f>"000753"</f>
        <v>000753</v>
      </c>
      <c r="C2512" t="s">
        <v>5354</v>
      </c>
      <c r="D2512" t="s">
        <v>110</v>
      </c>
      <c r="F2512">
        <v>3060920582</v>
      </c>
      <c r="G2512">
        <v>3116167856</v>
      </c>
      <c r="H2512">
        <v>2843711346</v>
      </c>
      <c r="I2512">
        <v>3067768994</v>
      </c>
      <c r="J2512">
        <v>2738161873</v>
      </c>
      <c r="K2512">
        <v>3143702433</v>
      </c>
      <c r="L2512">
        <v>3122574039</v>
      </c>
      <c r="M2512">
        <v>3388368719</v>
      </c>
      <c r="N2512">
        <v>3060357744</v>
      </c>
      <c r="O2512">
        <v>2724481902</v>
      </c>
      <c r="P2512">
        <v>85</v>
      </c>
      <c r="Q2512" t="s">
        <v>5355</v>
      </c>
    </row>
    <row r="2513" spans="1:17" x14ac:dyDescent="0.3">
      <c r="A2513" t="s">
        <v>4729</v>
      </c>
      <c r="B2513" t="str">
        <f>"000755"</f>
        <v>000755</v>
      </c>
      <c r="C2513" t="s">
        <v>5356</v>
      </c>
      <c r="D2513" t="s">
        <v>44</v>
      </c>
      <c r="F2513">
        <v>1661525548</v>
      </c>
      <c r="G2513">
        <v>635063399</v>
      </c>
      <c r="H2513">
        <v>884393997</v>
      </c>
      <c r="I2513">
        <v>1606833705</v>
      </c>
      <c r="J2513">
        <v>2290306411</v>
      </c>
      <c r="K2513">
        <v>3852481986</v>
      </c>
      <c r="L2513">
        <v>7424845212</v>
      </c>
      <c r="M2513">
        <v>5759918434</v>
      </c>
      <c r="N2513">
        <v>5594597796</v>
      </c>
      <c r="O2513">
        <v>7160611325</v>
      </c>
      <c r="P2513">
        <v>96</v>
      </c>
      <c r="Q2513" t="s">
        <v>5357</v>
      </c>
    </row>
    <row r="2514" spans="1:17" x14ac:dyDescent="0.3">
      <c r="A2514" t="s">
        <v>4729</v>
      </c>
      <c r="B2514" t="str">
        <f>"000756"</f>
        <v>000756</v>
      </c>
      <c r="C2514" t="s">
        <v>5358</v>
      </c>
      <c r="D2514" t="s">
        <v>496</v>
      </c>
      <c r="F2514">
        <v>6560077586</v>
      </c>
      <c r="G2514">
        <v>6005586643</v>
      </c>
      <c r="H2514">
        <v>5606020863</v>
      </c>
      <c r="I2514">
        <v>5207868839</v>
      </c>
      <c r="J2514">
        <v>4515716784</v>
      </c>
      <c r="K2514">
        <v>4014963066</v>
      </c>
      <c r="L2514">
        <v>3597033210</v>
      </c>
      <c r="M2514">
        <v>3589749771</v>
      </c>
      <c r="N2514">
        <v>3169653151</v>
      </c>
      <c r="O2514">
        <v>2971519620</v>
      </c>
      <c r="P2514">
        <v>218</v>
      </c>
      <c r="Q2514" t="s">
        <v>5359</v>
      </c>
    </row>
    <row r="2515" spans="1:17" x14ac:dyDescent="0.3">
      <c r="A2515" t="s">
        <v>4729</v>
      </c>
      <c r="B2515" t="str">
        <f>"000757"</f>
        <v>000757</v>
      </c>
      <c r="C2515" t="s">
        <v>5360</v>
      </c>
      <c r="D2515" t="s">
        <v>2368</v>
      </c>
      <c r="F2515">
        <v>4534234111</v>
      </c>
      <c r="G2515">
        <v>4088295952</v>
      </c>
      <c r="H2515">
        <v>4444479624</v>
      </c>
      <c r="I2515">
        <v>630198336</v>
      </c>
      <c r="J2515">
        <v>611443508</v>
      </c>
      <c r="K2515">
        <v>518489204</v>
      </c>
      <c r="L2515">
        <v>472708906</v>
      </c>
      <c r="M2515">
        <v>405287377</v>
      </c>
      <c r="N2515">
        <v>442782124</v>
      </c>
      <c r="O2515">
        <v>479589133</v>
      </c>
      <c r="P2515">
        <v>88</v>
      </c>
      <c r="Q2515" t="s">
        <v>5361</v>
      </c>
    </row>
    <row r="2516" spans="1:17" x14ac:dyDescent="0.3">
      <c r="A2516" t="s">
        <v>4729</v>
      </c>
      <c r="B2516" t="str">
        <f>"000758"</f>
        <v>000758</v>
      </c>
      <c r="C2516" t="s">
        <v>5362</v>
      </c>
      <c r="D2516" t="s">
        <v>744</v>
      </c>
      <c r="F2516">
        <v>6532556475</v>
      </c>
      <c r="G2516">
        <v>6785792161</v>
      </c>
      <c r="H2516">
        <v>11077988721</v>
      </c>
      <c r="I2516">
        <v>14802064399</v>
      </c>
      <c r="J2516">
        <v>15427363380</v>
      </c>
      <c r="K2516">
        <v>19114357559</v>
      </c>
      <c r="L2516">
        <v>19606880110</v>
      </c>
      <c r="M2516">
        <v>18223800495</v>
      </c>
      <c r="N2516">
        <v>17865865819</v>
      </c>
      <c r="O2516">
        <v>14505999730</v>
      </c>
      <c r="P2516">
        <v>177</v>
      </c>
      <c r="Q2516" t="s">
        <v>5363</v>
      </c>
    </row>
    <row r="2517" spans="1:17" x14ac:dyDescent="0.3">
      <c r="A2517" t="s">
        <v>4729</v>
      </c>
      <c r="B2517" t="str">
        <f>"000759"</f>
        <v>000759</v>
      </c>
      <c r="C2517" t="s">
        <v>5364</v>
      </c>
      <c r="D2517" t="s">
        <v>798</v>
      </c>
      <c r="F2517">
        <v>12330553661</v>
      </c>
      <c r="G2517">
        <v>13128786002</v>
      </c>
      <c r="H2517">
        <v>15547874381</v>
      </c>
      <c r="I2517">
        <v>15208464607</v>
      </c>
      <c r="J2517">
        <v>15206093491</v>
      </c>
      <c r="K2517">
        <v>15366346607</v>
      </c>
      <c r="L2517">
        <v>16401384797</v>
      </c>
      <c r="M2517">
        <v>16909016583</v>
      </c>
      <c r="N2517">
        <v>16478453977</v>
      </c>
      <c r="O2517">
        <v>15704114843</v>
      </c>
      <c r="P2517">
        <v>153</v>
      </c>
      <c r="Q2517" t="s">
        <v>5365</v>
      </c>
    </row>
    <row r="2518" spans="1:17" x14ac:dyDescent="0.3">
      <c r="A2518" t="s">
        <v>4729</v>
      </c>
      <c r="B2518" t="str">
        <f>"000760"</f>
        <v>000760</v>
      </c>
      <c r="C2518" t="s">
        <v>5366</v>
      </c>
      <c r="G2518">
        <v>8414829</v>
      </c>
      <c r="H2518">
        <v>9728889</v>
      </c>
      <c r="I2518">
        <v>217533312</v>
      </c>
      <c r="J2518">
        <v>151361077</v>
      </c>
      <c r="K2518">
        <v>356406745</v>
      </c>
      <c r="L2518">
        <v>346575226</v>
      </c>
      <c r="M2518">
        <v>693562194</v>
      </c>
      <c r="N2518">
        <v>632044166</v>
      </c>
      <c r="O2518">
        <v>617015555</v>
      </c>
      <c r="P2518">
        <v>59</v>
      </c>
      <c r="Q2518" t="s">
        <v>5367</v>
      </c>
    </row>
    <row r="2519" spans="1:17" x14ac:dyDescent="0.3">
      <c r="A2519" t="s">
        <v>4729</v>
      </c>
      <c r="B2519" t="str">
        <f>"000761"</f>
        <v>000761</v>
      </c>
      <c r="C2519" t="s">
        <v>5368</v>
      </c>
      <c r="D2519" t="s">
        <v>38</v>
      </c>
      <c r="F2519">
        <v>77912144981</v>
      </c>
      <c r="G2519">
        <v>48684792686</v>
      </c>
      <c r="H2519">
        <v>52741353582</v>
      </c>
      <c r="I2519">
        <v>50181869722</v>
      </c>
      <c r="J2519">
        <v>40507855844</v>
      </c>
      <c r="K2519">
        <v>29526012651</v>
      </c>
      <c r="L2519">
        <v>29253638606</v>
      </c>
      <c r="M2519">
        <v>41422088026</v>
      </c>
      <c r="N2519">
        <v>40329344514</v>
      </c>
      <c r="O2519">
        <v>44591731306</v>
      </c>
      <c r="P2519">
        <v>237</v>
      </c>
      <c r="Q2519" t="s">
        <v>5369</v>
      </c>
    </row>
    <row r="2520" spans="1:17" x14ac:dyDescent="0.3">
      <c r="A2520" t="s">
        <v>4729</v>
      </c>
      <c r="B2520" t="str">
        <f>"000762"</f>
        <v>000762</v>
      </c>
      <c r="C2520" t="s">
        <v>5370</v>
      </c>
      <c r="D2520" t="s">
        <v>5371</v>
      </c>
      <c r="F2520">
        <v>644114301</v>
      </c>
      <c r="G2520">
        <v>382985096</v>
      </c>
      <c r="H2520">
        <v>656640532</v>
      </c>
      <c r="I2520">
        <v>499737130</v>
      </c>
      <c r="J2520">
        <v>667552808</v>
      </c>
      <c r="K2520">
        <v>695609750</v>
      </c>
      <c r="L2520">
        <v>910892705</v>
      </c>
      <c r="M2520">
        <v>514683850</v>
      </c>
      <c r="N2520">
        <v>718815706</v>
      </c>
      <c r="O2520">
        <v>510509900</v>
      </c>
      <c r="P2520">
        <v>257</v>
      </c>
      <c r="Q2520" t="s">
        <v>5372</v>
      </c>
    </row>
    <row r="2521" spans="1:17" x14ac:dyDescent="0.3">
      <c r="A2521" t="s">
        <v>4729</v>
      </c>
      <c r="B2521" t="str">
        <f>"000765"</f>
        <v>000765</v>
      </c>
      <c r="C2521" t="s">
        <v>5373</v>
      </c>
      <c r="K2521">
        <v>858557199.94000006</v>
      </c>
      <c r="L2521">
        <v>7231653.3099999996</v>
      </c>
      <c r="M2521">
        <v>11094268.51</v>
      </c>
      <c r="N2521">
        <v>5460350</v>
      </c>
      <c r="O2521">
        <v>5333600</v>
      </c>
      <c r="P2521">
        <v>4</v>
      </c>
      <c r="Q2521" t="s">
        <v>5374</v>
      </c>
    </row>
    <row r="2522" spans="1:17" x14ac:dyDescent="0.3">
      <c r="A2522" t="s">
        <v>4729</v>
      </c>
      <c r="B2522" t="str">
        <f>"000766"</f>
        <v>000766</v>
      </c>
      <c r="C2522" t="s">
        <v>5375</v>
      </c>
      <c r="D2522" t="s">
        <v>143</v>
      </c>
      <c r="F2522">
        <v>1515482473</v>
      </c>
      <c r="G2522">
        <v>1111802396</v>
      </c>
      <c r="H2522">
        <v>1977206434</v>
      </c>
      <c r="I2522">
        <v>2094549375</v>
      </c>
      <c r="J2522">
        <v>1521410294</v>
      </c>
      <c r="K2522">
        <v>850083371</v>
      </c>
      <c r="L2522">
        <v>197558721</v>
      </c>
      <c r="M2522">
        <v>208414738</v>
      </c>
      <c r="N2522">
        <v>147781837</v>
      </c>
      <c r="O2522">
        <v>127647611</v>
      </c>
      <c r="P2522">
        <v>146</v>
      </c>
      <c r="Q2522" t="s">
        <v>5376</v>
      </c>
    </row>
    <row r="2523" spans="1:17" x14ac:dyDescent="0.3">
      <c r="A2523" t="s">
        <v>4729</v>
      </c>
      <c r="B2523" t="str">
        <f>"000767"</f>
        <v>000767</v>
      </c>
      <c r="C2523" t="s">
        <v>5377</v>
      </c>
      <c r="D2523" t="s">
        <v>41</v>
      </c>
      <c r="F2523">
        <v>15274800599</v>
      </c>
      <c r="G2523">
        <v>11687528652</v>
      </c>
      <c r="H2523">
        <v>12025002573</v>
      </c>
      <c r="I2523">
        <v>11230044072</v>
      </c>
      <c r="J2523">
        <v>9520452334</v>
      </c>
      <c r="K2523">
        <v>8839865697</v>
      </c>
      <c r="L2523">
        <v>9097494936</v>
      </c>
      <c r="M2523">
        <v>10922837404</v>
      </c>
      <c r="N2523">
        <v>9151114069</v>
      </c>
      <c r="O2523">
        <v>4937773973</v>
      </c>
      <c r="P2523">
        <v>173</v>
      </c>
      <c r="Q2523" t="s">
        <v>5378</v>
      </c>
    </row>
    <row r="2524" spans="1:17" x14ac:dyDescent="0.3">
      <c r="A2524" t="s">
        <v>4729</v>
      </c>
      <c r="B2524" t="str">
        <f>"000768"</f>
        <v>000768</v>
      </c>
      <c r="C2524" t="s">
        <v>5379</v>
      </c>
      <c r="D2524" t="s">
        <v>98</v>
      </c>
      <c r="F2524">
        <v>32699770692</v>
      </c>
      <c r="G2524">
        <v>33484282902</v>
      </c>
      <c r="H2524">
        <v>34298250488</v>
      </c>
      <c r="I2524">
        <v>33468320833</v>
      </c>
      <c r="J2524">
        <v>31079046938</v>
      </c>
      <c r="K2524">
        <v>26121848839</v>
      </c>
      <c r="L2524">
        <v>24115766248</v>
      </c>
      <c r="M2524">
        <v>21198084487</v>
      </c>
      <c r="N2524">
        <v>17285653178</v>
      </c>
      <c r="O2524">
        <v>15587788771</v>
      </c>
      <c r="P2524">
        <v>662</v>
      </c>
      <c r="Q2524" t="s">
        <v>5380</v>
      </c>
    </row>
    <row r="2525" spans="1:17" x14ac:dyDescent="0.3">
      <c r="A2525" t="s">
        <v>4729</v>
      </c>
      <c r="B2525" t="str">
        <f>"000769"</f>
        <v>000769</v>
      </c>
      <c r="C2525" t="s">
        <v>5381</v>
      </c>
      <c r="K2525">
        <v>2475000</v>
      </c>
      <c r="L2525">
        <v>1680000</v>
      </c>
      <c r="P2525">
        <v>3</v>
      </c>
      <c r="Q2525" t="s">
        <v>5382</v>
      </c>
    </row>
    <row r="2526" spans="1:17" x14ac:dyDescent="0.3">
      <c r="A2526" t="s">
        <v>4729</v>
      </c>
      <c r="B2526" t="str">
        <f>"000776"</f>
        <v>000776</v>
      </c>
      <c r="C2526" t="s">
        <v>5383</v>
      </c>
      <c r="D2526" t="s">
        <v>80</v>
      </c>
      <c r="F2526">
        <v>34249988401</v>
      </c>
      <c r="G2526">
        <v>29153488259</v>
      </c>
      <c r="H2526">
        <v>22809882495</v>
      </c>
      <c r="I2526">
        <v>15270373024</v>
      </c>
      <c r="J2526">
        <v>21575648466</v>
      </c>
      <c r="K2526">
        <v>20712037551</v>
      </c>
      <c r="L2526">
        <v>33446639919</v>
      </c>
      <c r="M2526">
        <v>13394972904</v>
      </c>
      <c r="N2526">
        <v>8207540704</v>
      </c>
      <c r="O2526">
        <v>6971380329</v>
      </c>
      <c r="P2526">
        <v>3522</v>
      </c>
      <c r="Q2526" t="s">
        <v>5384</v>
      </c>
    </row>
    <row r="2527" spans="1:17" x14ac:dyDescent="0.3">
      <c r="A2527" t="s">
        <v>4729</v>
      </c>
      <c r="B2527" t="str">
        <f>"000777"</f>
        <v>000777</v>
      </c>
      <c r="C2527" t="s">
        <v>5385</v>
      </c>
      <c r="D2527" t="s">
        <v>274</v>
      </c>
      <c r="F2527">
        <v>1557541050</v>
      </c>
      <c r="G2527">
        <v>1166857141</v>
      </c>
      <c r="H2527">
        <v>1265879384</v>
      </c>
      <c r="I2527">
        <v>1226310463</v>
      </c>
      <c r="J2527">
        <v>873853364</v>
      </c>
      <c r="K2527">
        <v>967144617</v>
      </c>
      <c r="L2527">
        <v>1034900287</v>
      </c>
      <c r="M2527">
        <v>1040666388</v>
      </c>
      <c r="N2527">
        <v>941615250</v>
      </c>
      <c r="O2527">
        <v>812130358</v>
      </c>
      <c r="P2527">
        <v>131</v>
      </c>
      <c r="Q2527" t="s">
        <v>5386</v>
      </c>
    </row>
    <row r="2528" spans="1:17" x14ac:dyDescent="0.3">
      <c r="A2528" t="s">
        <v>4729</v>
      </c>
      <c r="B2528" t="str">
        <f>"000778"</f>
        <v>000778</v>
      </c>
      <c r="C2528" t="s">
        <v>5387</v>
      </c>
      <c r="D2528" t="s">
        <v>2238</v>
      </c>
      <c r="F2528">
        <v>53301106059</v>
      </c>
      <c r="G2528">
        <v>42960921062</v>
      </c>
      <c r="H2528">
        <v>40889707108</v>
      </c>
      <c r="I2528">
        <v>40547120306</v>
      </c>
      <c r="J2528">
        <v>41266372332</v>
      </c>
      <c r="K2528">
        <v>52159883505</v>
      </c>
      <c r="L2528">
        <v>50030639751</v>
      </c>
      <c r="M2528">
        <v>60793273382</v>
      </c>
      <c r="N2528">
        <v>63014443991</v>
      </c>
      <c r="O2528">
        <v>58816324854</v>
      </c>
      <c r="P2528">
        <v>674</v>
      </c>
      <c r="Q2528" t="s">
        <v>5388</v>
      </c>
    </row>
    <row r="2529" spans="1:17" x14ac:dyDescent="0.3">
      <c r="A2529" t="s">
        <v>4729</v>
      </c>
      <c r="B2529" t="str">
        <f>"000779"</f>
        <v>000779</v>
      </c>
      <c r="C2529" t="s">
        <v>5389</v>
      </c>
      <c r="D2529" t="s">
        <v>1272</v>
      </c>
      <c r="F2529">
        <v>2582039691</v>
      </c>
      <c r="G2529">
        <v>2480569329</v>
      </c>
      <c r="H2529">
        <v>2138215904</v>
      </c>
      <c r="I2529">
        <v>2114649229</v>
      </c>
      <c r="J2529">
        <v>279620497</v>
      </c>
      <c r="K2529">
        <v>248899774</v>
      </c>
      <c r="L2529">
        <v>206922707</v>
      </c>
      <c r="M2529">
        <v>276362347</v>
      </c>
      <c r="N2529">
        <v>229157628</v>
      </c>
      <c r="O2529">
        <v>262646691</v>
      </c>
      <c r="P2529">
        <v>165</v>
      </c>
      <c r="Q2529" t="s">
        <v>5390</v>
      </c>
    </row>
    <row r="2530" spans="1:17" x14ac:dyDescent="0.3">
      <c r="A2530" t="s">
        <v>4729</v>
      </c>
      <c r="B2530" t="str">
        <f>"000780"</f>
        <v>000780</v>
      </c>
      <c r="C2530" t="s">
        <v>5391</v>
      </c>
      <c r="D2530" t="s">
        <v>292</v>
      </c>
      <c r="G2530">
        <v>1841660386</v>
      </c>
      <c r="H2530">
        <v>2153672886</v>
      </c>
      <c r="I2530">
        <v>2224328717</v>
      </c>
      <c r="J2530">
        <v>2807990426</v>
      </c>
      <c r="K2530">
        <v>2166666416</v>
      </c>
      <c r="L2530">
        <v>2043878181</v>
      </c>
      <c r="M2530">
        <v>2554492367</v>
      </c>
      <c r="N2530">
        <v>2997852847</v>
      </c>
      <c r="O2530">
        <v>3590312275</v>
      </c>
      <c r="P2530">
        <v>99</v>
      </c>
      <c r="Q2530" t="s">
        <v>5392</v>
      </c>
    </row>
    <row r="2531" spans="1:17" x14ac:dyDescent="0.3">
      <c r="A2531" t="s">
        <v>4729</v>
      </c>
      <c r="B2531" t="str">
        <f>"000782"</f>
        <v>000782</v>
      </c>
      <c r="C2531" t="s">
        <v>5393</v>
      </c>
      <c r="D2531" t="s">
        <v>1638</v>
      </c>
      <c r="F2531">
        <v>3320195262</v>
      </c>
      <c r="G2531">
        <v>2349811160</v>
      </c>
      <c r="H2531">
        <v>2986546203</v>
      </c>
      <c r="I2531">
        <v>3813289834</v>
      </c>
      <c r="J2531">
        <v>3558712443</v>
      </c>
      <c r="K2531">
        <v>2419908329</v>
      </c>
      <c r="L2531">
        <v>2847103149</v>
      </c>
      <c r="M2531">
        <v>3363609892</v>
      </c>
      <c r="N2531">
        <v>3700080656</v>
      </c>
      <c r="O2531">
        <v>3811290499</v>
      </c>
      <c r="P2531">
        <v>64</v>
      </c>
      <c r="Q2531" t="s">
        <v>5394</v>
      </c>
    </row>
    <row r="2532" spans="1:17" x14ac:dyDescent="0.3">
      <c r="A2532" t="s">
        <v>4729</v>
      </c>
      <c r="B2532" t="str">
        <f>"000783"</f>
        <v>000783</v>
      </c>
      <c r="C2532" t="s">
        <v>5395</v>
      </c>
      <c r="D2532" t="s">
        <v>80</v>
      </c>
      <c r="F2532">
        <v>8623165139</v>
      </c>
      <c r="G2532">
        <v>7784121537</v>
      </c>
      <c r="H2532">
        <v>7032892044</v>
      </c>
      <c r="I2532">
        <v>4369208711</v>
      </c>
      <c r="J2532">
        <v>5640050925</v>
      </c>
      <c r="K2532">
        <v>5857355339</v>
      </c>
      <c r="L2532">
        <v>8499643780</v>
      </c>
      <c r="M2532">
        <v>4548208654</v>
      </c>
      <c r="N2532">
        <v>3047939863</v>
      </c>
      <c r="O2532">
        <v>2286081502</v>
      </c>
      <c r="P2532">
        <v>1208</v>
      </c>
      <c r="Q2532" t="s">
        <v>5396</v>
      </c>
    </row>
    <row r="2533" spans="1:17" x14ac:dyDescent="0.3">
      <c r="A2533" t="s">
        <v>4729</v>
      </c>
      <c r="B2533" t="str">
        <f>"000785"</f>
        <v>000785</v>
      </c>
      <c r="C2533" t="s">
        <v>5397</v>
      </c>
      <c r="D2533" t="s">
        <v>271</v>
      </c>
      <c r="F2533">
        <v>13071038723</v>
      </c>
      <c r="G2533">
        <v>8992909459</v>
      </c>
      <c r="H2533">
        <v>9084996585</v>
      </c>
      <c r="I2533">
        <v>4043730921</v>
      </c>
      <c r="J2533">
        <v>3996625655</v>
      </c>
      <c r="K2533">
        <v>4010812749</v>
      </c>
      <c r="L2533">
        <v>4407585496</v>
      </c>
      <c r="M2533">
        <v>4455830191</v>
      </c>
      <c r="N2533">
        <v>4310086623</v>
      </c>
      <c r="O2533">
        <v>4199667865</v>
      </c>
      <c r="P2533">
        <v>333</v>
      </c>
      <c r="Q2533" t="s">
        <v>5398</v>
      </c>
    </row>
    <row r="2534" spans="1:17" x14ac:dyDescent="0.3">
      <c r="A2534" t="s">
        <v>4729</v>
      </c>
      <c r="B2534" t="str">
        <f>"000786"</f>
        <v>000786</v>
      </c>
      <c r="C2534" t="s">
        <v>5399</v>
      </c>
      <c r="D2534" t="s">
        <v>722</v>
      </c>
      <c r="F2534">
        <v>21085691108</v>
      </c>
      <c r="G2534">
        <v>16802628033</v>
      </c>
      <c r="H2534">
        <v>13323011974</v>
      </c>
      <c r="I2534">
        <v>12564910662</v>
      </c>
      <c r="J2534">
        <v>11164343455</v>
      </c>
      <c r="K2534">
        <v>8156079146</v>
      </c>
      <c r="L2534">
        <v>7551178831</v>
      </c>
      <c r="M2534">
        <v>8295032218</v>
      </c>
      <c r="N2534">
        <v>7490082780</v>
      </c>
      <c r="O2534">
        <v>6685157987</v>
      </c>
      <c r="P2534">
        <v>2486</v>
      </c>
      <c r="Q2534" t="s">
        <v>5400</v>
      </c>
    </row>
    <row r="2535" spans="1:17" x14ac:dyDescent="0.3">
      <c r="A2535" t="s">
        <v>4729</v>
      </c>
      <c r="B2535" t="str">
        <f>"000787"</f>
        <v>000787</v>
      </c>
      <c r="C2535" t="s">
        <v>5401</v>
      </c>
      <c r="K2535">
        <v>7718011183.5900002</v>
      </c>
      <c r="L2535">
        <v>7469476576.46</v>
      </c>
      <c r="M2535">
        <v>8829749319.6299992</v>
      </c>
      <c r="P2535">
        <v>3</v>
      </c>
      <c r="Q2535" t="s">
        <v>5402</v>
      </c>
    </row>
    <row r="2536" spans="1:17" x14ac:dyDescent="0.3">
      <c r="A2536" t="s">
        <v>4729</v>
      </c>
      <c r="B2536" t="str">
        <f>"000788"</f>
        <v>000788</v>
      </c>
      <c r="C2536" t="s">
        <v>5403</v>
      </c>
      <c r="D2536" t="s">
        <v>143</v>
      </c>
      <c r="F2536">
        <v>2236776376</v>
      </c>
      <c r="G2536">
        <v>1977422147</v>
      </c>
      <c r="H2536">
        <v>2509080051</v>
      </c>
      <c r="I2536">
        <v>2315796429</v>
      </c>
      <c r="J2536">
        <v>2145918089</v>
      </c>
      <c r="K2536">
        <v>2070262457</v>
      </c>
      <c r="L2536">
        <v>2010726351</v>
      </c>
      <c r="M2536">
        <v>2265817536</v>
      </c>
      <c r="N2536">
        <v>2316469270</v>
      </c>
      <c r="O2536">
        <v>1947941189</v>
      </c>
      <c r="P2536">
        <v>137</v>
      </c>
      <c r="Q2536" t="s">
        <v>5404</v>
      </c>
    </row>
    <row r="2537" spans="1:17" x14ac:dyDescent="0.3">
      <c r="A2537" t="s">
        <v>4729</v>
      </c>
      <c r="B2537" t="str">
        <f>"000789"</f>
        <v>000789</v>
      </c>
      <c r="C2537" t="s">
        <v>5405</v>
      </c>
      <c r="D2537" t="s">
        <v>731</v>
      </c>
      <c r="F2537">
        <v>14204588961</v>
      </c>
      <c r="G2537">
        <v>12529016827</v>
      </c>
      <c r="H2537">
        <v>11390430731</v>
      </c>
      <c r="I2537">
        <v>10207518619</v>
      </c>
      <c r="J2537">
        <v>7093811212</v>
      </c>
      <c r="K2537">
        <v>5657765744</v>
      </c>
      <c r="L2537">
        <v>5583028091</v>
      </c>
      <c r="M2537">
        <v>6682758653</v>
      </c>
      <c r="N2537">
        <v>6179002201</v>
      </c>
      <c r="O2537">
        <v>4658432648</v>
      </c>
      <c r="P2537">
        <v>1139</v>
      </c>
      <c r="Q2537" t="s">
        <v>5406</v>
      </c>
    </row>
    <row r="2538" spans="1:17" x14ac:dyDescent="0.3">
      <c r="A2538" t="s">
        <v>4729</v>
      </c>
      <c r="B2538" t="str">
        <f>"000790"</f>
        <v>000790</v>
      </c>
      <c r="C2538" t="s">
        <v>5407</v>
      </c>
      <c r="D2538" t="s">
        <v>188</v>
      </c>
      <c r="F2538">
        <v>945317490</v>
      </c>
      <c r="G2538">
        <v>759307481</v>
      </c>
      <c r="H2538">
        <v>745340799</v>
      </c>
      <c r="I2538">
        <v>633417693</v>
      </c>
      <c r="J2538">
        <v>590948888</v>
      </c>
      <c r="K2538">
        <v>575194222</v>
      </c>
      <c r="L2538">
        <v>463311852</v>
      </c>
      <c r="M2538">
        <v>528216541</v>
      </c>
      <c r="N2538">
        <v>657809858</v>
      </c>
      <c r="O2538">
        <v>580530916</v>
      </c>
      <c r="P2538">
        <v>175</v>
      </c>
      <c r="Q2538" t="s">
        <v>5408</v>
      </c>
    </row>
    <row r="2539" spans="1:17" x14ac:dyDescent="0.3">
      <c r="A2539" t="s">
        <v>4729</v>
      </c>
      <c r="B2539" t="str">
        <f>"000791"</f>
        <v>000791</v>
      </c>
      <c r="C2539" t="s">
        <v>5409</v>
      </c>
      <c r="D2539" t="s">
        <v>66</v>
      </c>
      <c r="F2539">
        <v>2012451589</v>
      </c>
      <c r="G2539">
        <v>2264927665</v>
      </c>
      <c r="H2539">
        <v>2267603850</v>
      </c>
      <c r="I2539">
        <v>2305941869</v>
      </c>
      <c r="J2539">
        <v>1903145742</v>
      </c>
      <c r="K2539">
        <v>1591536891</v>
      </c>
      <c r="L2539">
        <v>1325624600</v>
      </c>
      <c r="M2539">
        <v>1467381591</v>
      </c>
      <c r="N2539">
        <v>1600676736</v>
      </c>
      <c r="O2539">
        <v>1565249475</v>
      </c>
      <c r="P2539">
        <v>219</v>
      </c>
      <c r="Q2539" t="s">
        <v>5410</v>
      </c>
    </row>
    <row r="2540" spans="1:17" x14ac:dyDescent="0.3">
      <c r="A2540" t="s">
        <v>4729</v>
      </c>
      <c r="B2540" t="str">
        <f>"000792"</f>
        <v>000792</v>
      </c>
      <c r="C2540" t="s">
        <v>5411</v>
      </c>
      <c r="D2540" t="s">
        <v>3458</v>
      </c>
      <c r="F2540">
        <v>14778332500</v>
      </c>
      <c r="G2540">
        <v>14016260618</v>
      </c>
      <c r="H2540">
        <v>17849179896</v>
      </c>
      <c r="I2540">
        <v>17889735745</v>
      </c>
      <c r="J2540">
        <v>11699406120</v>
      </c>
      <c r="K2540">
        <v>10364138893</v>
      </c>
      <c r="L2540">
        <v>10882222496</v>
      </c>
      <c r="M2540">
        <v>10474363158</v>
      </c>
      <c r="N2540">
        <v>8094572606</v>
      </c>
      <c r="O2540">
        <v>8270807310</v>
      </c>
      <c r="P2540">
        <v>420</v>
      </c>
      <c r="Q2540" t="s">
        <v>5412</v>
      </c>
    </row>
    <row r="2541" spans="1:17" x14ac:dyDescent="0.3">
      <c r="A2541" t="s">
        <v>4729</v>
      </c>
      <c r="B2541" t="str">
        <f>"000793"</f>
        <v>000793</v>
      </c>
      <c r="C2541" t="s">
        <v>5413</v>
      </c>
      <c r="D2541" t="s">
        <v>525</v>
      </c>
      <c r="F2541">
        <v>1009526479</v>
      </c>
      <c r="G2541">
        <v>2969563708</v>
      </c>
      <c r="H2541">
        <v>3920344174</v>
      </c>
      <c r="I2541">
        <v>3784764291</v>
      </c>
      <c r="J2541">
        <v>3420865938</v>
      </c>
      <c r="K2541">
        <v>4552271129</v>
      </c>
      <c r="L2541">
        <v>4315963772</v>
      </c>
      <c r="M2541">
        <v>3949716868</v>
      </c>
      <c r="N2541">
        <v>3749558005</v>
      </c>
      <c r="O2541">
        <v>4095420023</v>
      </c>
      <c r="P2541">
        <v>141</v>
      </c>
      <c r="Q2541" t="s">
        <v>5414</v>
      </c>
    </row>
    <row r="2542" spans="1:17" x14ac:dyDescent="0.3">
      <c r="A2542" t="s">
        <v>4729</v>
      </c>
      <c r="B2542" t="str">
        <f>"000795"</f>
        <v>000795</v>
      </c>
      <c r="C2542" t="s">
        <v>5415</v>
      </c>
      <c r="D2542" t="s">
        <v>808</v>
      </c>
      <c r="F2542">
        <v>3760091574</v>
      </c>
      <c r="G2542">
        <v>2601229245</v>
      </c>
      <c r="H2542">
        <v>2512753389</v>
      </c>
      <c r="I2542">
        <v>2135132909</v>
      </c>
      <c r="J2542">
        <v>1857102874</v>
      </c>
      <c r="K2542">
        <v>1651054266</v>
      </c>
      <c r="L2542">
        <v>1126805403</v>
      </c>
      <c r="M2542">
        <v>779415387</v>
      </c>
      <c r="N2542">
        <v>888841470</v>
      </c>
      <c r="O2542">
        <v>1409607121</v>
      </c>
      <c r="P2542">
        <v>145</v>
      </c>
      <c r="Q2542" t="s">
        <v>5416</v>
      </c>
    </row>
    <row r="2543" spans="1:17" x14ac:dyDescent="0.3">
      <c r="A2543" t="s">
        <v>4729</v>
      </c>
      <c r="B2543" t="str">
        <f>"000796"</f>
        <v>000796</v>
      </c>
      <c r="C2543" t="s">
        <v>5417</v>
      </c>
      <c r="D2543" t="s">
        <v>1120</v>
      </c>
      <c r="F2543">
        <v>939943077</v>
      </c>
      <c r="G2543">
        <v>1614569000</v>
      </c>
      <c r="H2543">
        <v>6033629950</v>
      </c>
      <c r="I2543">
        <v>8179620907</v>
      </c>
      <c r="J2543">
        <v>8045318644</v>
      </c>
      <c r="K2543">
        <v>6636010096</v>
      </c>
      <c r="L2543">
        <v>4934501672</v>
      </c>
      <c r="M2543">
        <v>593921437</v>
      </c>
      <c r="N2543">
        <v>646788255</v>
      </c>
      <c r="O2543">
        <v>548051237</v>
      </c>
      <c r="P2543">
        <v>224</v>
      </c>
      <c r="Q2543" t="s">
        <v>5418</v>
      </c>
    </row>
    <row r="2544" spans="1:17" x14ac:dyDescent="0.3">
      <c r="A2544" t="s">
        <v>4729</v>
      </c>
      <c r="B2544" t="str">
        <f>"000797"</f>
        <v>000797</v>
      </c>
      <c r="C2544" t="s">
        <v>5419</v>
      </c>
      <c r="D2544" t="s">
        <v>104</v>
      </c>
      <c r="F2544">
        <v>8666738972</v>
      </c>
      <c r="G2544">
        <v>5819649303</v>
      </c>
      <c r="H2544">
        <v>5225532983</v>
      </c>
      <c r="I2544">
        <v>4867554314</v>
      </c>
      <c r="J2544">
        <v>4171559907</v>
      </c>
      <c r="K2544">
        <v>2571173648</v>
      </c>
      <c r="L2544">
        <v>2409000299</v>
      </c>
      <c r="M2544">
        <v>2123685554</v>
      </c>
      <c r="N2544">
        <v>2385934180</v>
      </c>
      <c r="O2544">
        <v>2360865499</v>
      </c>
      <c r="P2544">
        <v>121</v>
      </c>
      <c r="Q2544" t="s">
        <v>5420</v>
      </c>
    </row>
    <row r="2545" spans="1:17" x14ac:dyDescent="0.3">
      <c r="A2545" t="s">
        <v>4729</v>
      </c>
      <c r="B2545" t="str">
        <f>"000798"</f>
        <v>000798</v>
      </c>
      <c r="C2545" t="s">
        <v>5421</v>
      </c>
      <c r="D2545" t="s">
        <v>228</v>
      </c>
      <c r="F2545">
        <v>462390687</v>
      </c>
      <c r="G2545">
        <v>445286551</v>
      </c>
      <c r="H2545">
        <v>578668995</v>
      </c>
      <c r="I2545">
        <v>626212925</v>
      </c>
      <c r="J2545">
        <v>748144657</v>
      </c>
      <c r="K2545">
        <v>534459692</v>
      </c>
      <c r="L2545">
        <v>521523302</v>
      </c>
      <c r="M2545">
        <v>378756393</v>
      </c>
      <c r="N2545">
        <v>296131022</v>
      </c>
      <c r="O2545">
        <v>503836480</v>
      </c>
      <c r="P2545">
        <v>83</v>
      </c>
      <c r="Q2545" t="s">
        <v>5422</v>
      </c>
    </row>
    <row r="2546" spans="1:17" x14ac:dyDescent="0.3">
      <c r="A2546" t="s">
        <v>4729</v>
      </c>
      <c r="B2546" t="str">
        <f>"000799"</f>
        <v>000799</v>
      </c>
      <c r="C2546" t="s">
        <v>5423</v>
      </c>
      <c r="D2546" t="s">
        <v>458</v>
      </c>
      <c r="F2546">
        <v>3414365377</v>
      </c>
      <c r="G2546">
        <v>1826171655</v>
      </c>
      <c r="H2546">
        <v>1511902798</v>
      </c>
      <c r="I2546">
        <v>1186883895</v>
      </c>
      <c r="J2546">
        <v>878331384</v>
      </c>
      <c r="K2546">
        <v>654850629</v>
      </c>
      <c r="L2546">
        <v>601224525</v>
      </c>
      <c r="M2546">
        <v>388482413</v>
      </c>
      <c r="N2546">
        <v>684631607</v>
      </c>
      <c r="O2546">
        <v>1652130980</v>
      </c>
      <c r="P2546">
        <v>1659</v>
      </c>
      <c r="Q2546" t="s">
        <v>5424</v>
      </c>
    </row>
    <row r="2547" spans="1:17" x14ac:dyDescent="0.3">
      <c r="A2547" t="s">
        <v>4729</v>
      </c>
      <c r="B2547" t="str">
        <f>"000800"</f>
        <v>000800</v>
      </c>
      <c r="C2547" t="s">
        <v>5425</v>
      </c>
      <c r="D2547" t="s">
        <v>27</v>
      </c>
      <c r="F2547">
        <v>98751242670</v>
      </c>
      <c r="G2547">
        <v>113681085048</v>
      </c>
      <c r="H2547">
        <v>27664311366</v>
      </c>
      <c r="I2547">
        <v>26244170984</v>
      </c>
      <c r="J2547">
        <v>27902212402</v>
      </c>
      <c r="K2547">
        <v>22085427993</v>
      </c>
      <c r="L2547">
        <v>25618805642</v>
      </c>
      <c r="M2547">
        <v>33857241558</v>
      </c>
      <c r="N2547">
        <v>29675131409</v>
      </c>
      <c r="O2547">
        <v>23384904674</v>
      </c>
      <c r="P2547">
        <v>446</v>
      </c>
      <c r="Q2547" t="s">
        <v>5426</v>
      </c>
    </row>
    <row r="2548" spans="1:17" x14ac:dyDescent="0.3">
      <c r="A2548" t="s">
        <v>4729</v>
      </c>
      <c r="B2548" t="str">
        <f>"000801"</f>
        <v>000801</v>
      </c>
      <c r="C2548" t="s">
        <v>5427</v>
      </c>
      <c r="D2548" t="s">
        <v>4467</v>
      </c>
      <c r="F2548">
        <v>3544033152</v>
      </c>
      <c r="G2548">
        <v>3299940241</v>
      </c>
      <c r="H2548">
        <v>2988962220</v>
      </c>
      <c r="I2548">
        <v>3794967512</v>
      </c>
      <c r="J2548">
        <v>3165165619</v>
      </c>
      <c r="K2548">
        <v>3915732879</v>
      </c>
      <c r="L2548">
        <v>3335036901</v>
      </c>
      <c r="M2548">
        <v>2238645620</v>
      </c>
      <c r="N2548">
        <v>2470720612</v>
      </c>
      <c r="O2548">
        <v>2756733169</v>
      </c>
      <c r="P2548">
        <v>218</v>
      </c>
      <c r="Q2548" t="s">
        <v>5428</v>
      </c>
    </row>
    <row r="2549" spans="1:17" x14ac:dyDescent="0.3">
      <c r="A2549" t="s">
        <v>4729</v>
      </c>
      <c r="B2549" t="str">
        <f>"000802"</f>
        <v>000802</v>
      </c>
      <c r="C2549" t="s">
        <v>5429</v>
      </c>
      <c r="D2549" t="s">
        <v>113</v>
      </c>
      <c r="F2549">
        <v>297961813</v>
      </c>
      <c r="G2549">
        <v>425779609</v>
      </c>
      <c r="H2549">
        <v>855335358</v>
      </c>
      <c r="I2549">
        <v>1205051850</v>
      </c>
      <c r="J2549">
        <v>1321001514</v>
      </c>
      <c r="K2549">
        <v>926550274</v>
      </c>
      <c r="L2549">
        <v>349352611</v>
      </c>
      <c r="M2549">
        <v>420694846</v>
      </c>
      <c r="N2549">
        <v>162861219</v>
      </c>
      <c r="O2549">
        <v>166113211</v>
      </c>
      <c r="P2549">
        <v>205</v>
      </c>
      <c r="Q2549" t="s">
        <v>5430</v>
      </c>
    </row>
    <row r="2550" spans="1:17" x14ac:dyDescent="0.3">
      <c r="A2550" t="s">
        <v>4729</v>
      </c>
      <c r="B2550" t="str">
        <f>"000803"</f>
        <v>000803</v>
      </c>
      <c r="C2550" t="s">
        <v>5431</v>
      </c>
      <c r="D2550" t="s">
        <v>239</v>
      </c>
      <c r="F2550">
        <v>826736786</v>
      </c>
      <c r="G2550">
        <v>346881592</v>
      </c>
      <c r="H2550">
        <v>23529152</v>
      </c>
      <c r="I2550">
        <v>491244713</v>
      </c>
      <c r="J2550">
        <v>299176965</v>
      </c>
      <c r="K2550">
        <v>72988251</v>
      </c>
      <c r="L2550">
        <v>102291336</v>
      </c>
      <c r="M2550">
        <v>162991626</v>
      </c>
      <c r="N2550">
        <v>177034094</v>
      </c>
      <c r="O2550">
        <v>151082172</v>
      </c>
      <c r="P2550">
        <v>79</v>
      </c>
      <c r="Q2550" t="s">
        <v>5432</v>
      </c>
    </row>
    <row r="2551" spans="1:17" x14ac:dyDescent="0.3">
      <c r="A2551" t="s">
        <v>4729</v>
      </c>
      <c r="B2551" t="str">
        <f>"000805"</f>
        <v>000805</v>
      </c>
      <c r="C2551" t="s">
        <v>5433</v>
      </c>
      <c r="K2551">
        <v>193019082</v>
      </c>
      <c r="L2551">
        <v>23981176.050000001</v>
      </c>
      <c r="M2551">
        <v>60979994.479999997</v>
      </c>
      <c r="N2551">
        <v>82487130.959999993</v>
      </c>
      <c r="O2551">
        <v>12735502.84</v>
      </c>
      <c r="P2551">
        <v>3</v>
      </c>
      <c r="Q2551" t="s">
        <v>5434</v>
      </c>
    </row>
    <row r="2552" spans="1:17" x14ac:dyDescent="0.3">
      <c r="A2552" t="s">
        <v>4729</v>
      </c>
      <c r="B2552" t="str">
        <f>"000806"</f>
        <v>000806</v>
      </c>
      <c r="C2552" t="s">
        <v>5435</v>
      </c>
      <c r="D2552" t="s">
        <v>210</v>
      </c>
      <c r="F2552">
        <v>1144065913</v>
      </c>
      <c r="G2552">
        <v>1105975661</v>
      </c>
      <c r="H2552">
        <v>781439077</v>
      </c>
      <c r="I2552">
        <v>761259725</v>
      </c>
      <c r="J2552">
        <v>1045716012</v>
      </c>
      <c r="K2552">
        <v>1204602489</v>
      </c>
      <c r="L2552">
        <v>832355954</v>
      </c>
      <c r="M2552">
        <v>801923664</v>
      </c>
      <c r="N2552">
        <v>784076719</v>
      </c>
      <c r="O2552">
        <v>957305716</v>
      </c>
      <c r="P2552">
        <v>123</v>
      </c>
      <c r="Q2552" t="s">
        <v>5436</v>
      </c>
    </row>
    <row r="2553" spans="1:17" x14ac:dyDescent="0.3">
      <c r="A2553" t="s">
        <v>4729</v>
      </c>
      <c r="B2553" t="str">
        <f>"000807"</f>
        <v>000807</v>
      </c>
      <c r="C2553" t="s">
        <v>5437</v>
      </c>
      <c r="D2553" t="s">
        <v>504</v>
      </c>
      <c r="F2553">
        <v>41668819175</v>
      </c>
      <c r="G2553">
        <v>29573100816</v>
      </c>
      <c r="H2553">
        <v>24283623387</v>
      </c>
      <c r="I2553">
        <v>21689352666</v>
      </c>
      <c r="J2553">
        <v>22129944378</v>
      </c>
      <c r="K2553">
        <v>15543305909</v>
      </c>
      <c r="L2553">
        <v>15852310920</v>
      </c>
      <c r="M2553">
        <v>19092800483</v>
      </c>
      <c r="N2553">
        <v>14927919353</v>
      </c>
      <c r="O2553">
        <v>10692727719</v>
      </c>
      <c r="P2553">
        <v>551</v>
      </c>
      <c r="Q2553" t="s">
        <v>5438</v>
      </c>
    </row>
    <row r="2554" spans="1:17" x14ac:dyDescent="0.3">
      <c r="A2554" t="s">
        <v>4729</v>
      </c>
      <c r="B2554" t="str">
        <f>"000809"</f>
        <v>000809</v>
      </c>
      <c r="C2554" t="s">
        <v>5439</v>
      </c>
      <c r="D2554" t="s">
        <v>104</v>
      </c>
      <c r="F2554">
        <v>114256649</v>
      </c>
      <c r="G2554">
        <v>188279160</v>
      </c>
      <c r="H2554">
        <v>184134894</v>
      </c>
      <c r="I2554">
        <v>1552430936</v>
      </c>
      <c r="J2554">
        <v>79723668</v>
      </c>
      <c r="K2554">
        <v>21028428</v>
      </c>
      <c r="L2554">
        <v>34380992</v>
      </c>
      <c r="M2554">
        <v>263077361</v>
      </c>
      <c r="N2554">
        <v>1686070050</v>
      </c>
      <c r="O2554">
        <v>1396477589</v>
      </c>
      <c r="P2554">
        <v>72</v>
      </c>
      <c r="Q2554" t="s">
        <v>5440</v>
      </c>
    </row>
    <row r="2555" spans="1:17" x14ac:dyDescent="0.3">
      <c r="A2555" t="s">
        <v>4729</v>
      </c>
      <c r="B2555" t="str">
        <f>"000810"</f>
        <v>000810</v>
      </c>
      <c r="C2555" t="s">
        <v>5441</v>
      </c>
      <c r="D2555" t="s">
        <v>4467</v>
      </c>
      <c r="F2555">
        <v>10846559580</v>
      </c>
      <c r="G2555">
        <v>8507806781</v>
      </c>
      <c r="H2555">
        <v>8895624062</v>
      </c>
      <c r="I2555">
        <v>7762616543</v>
      </c>
      <c r="J2555">
        <v>7254805628</v>
      </c>
      <c r="K2555">
        <v>5927091441</v>
      </c>
      <c r="L2555">
        <v>4107829940</v>
      </c>
      <c r="M2555">
        <v>3501634730</v>
      </c>
      <c r="N2555">
        <v>1121755000</v>
      </c>
      <c r="O2555">
        <v>1131022100</v>
      </c>
      <c r="P2555">
        <v>384</v>
      </c>
      <c r="Q2555" t="s">
        <v>5442</v>
      </c>
    </row>
    <row r="2556" spans="1:17" x14ac:dyDescent="0.3">
      <c r="A2556" t="s">
        <v>4729</v>
      </c>
      <c r="B2556" t="str">
        <f>"000811"</f>
        <v>000811</v>
      </c>
      <c r="C2556" t="s">
        <v>5443</v>
      </c>
      <c r="D2556" t="s">
        <v>988</v>
      </c>
      <c r="F2556">
        <v>5383476248</v>
      </c>
      <c r="G2556">
        <v>4043550074</v>
      </c>
      <c r="H2556">
        <v>3820829826</v>
      </c>
      <c r="I2556">
        <v>3606442563</v>
      </c>
      <c r="J2556">
        <v>3452079794</v>
      </c>
      <c r="K2556">
        <v>3022738432</v>
      </c>
      <c r="L2556">
        <v>2869026695</v>
      </c>
      <c r="M2556">
        <v>1690688428</v>
      </c>
      <c r="N2556">
        <v>1527790288</v>
      </c>
      <c r="O2556">
        <v>1522861789</v>
      </c>
      <c r="P2556">
        <v>224</v>
      </c>
      <c r="Q2556" t="s">
        <v>5444</v>
      </c>
    </row>
    <row r="2557" spans="1:17" x14ac:dyDescent="0.3">
      <c r="A2557" t="s">
        <v>4729</v>
      </c>
      <c r="B2557" t="str">
        <f>"000812"</f>
        <v>000812</v>
      </c>
      <c r="C2557" t="s">
        <v>5445</v>
      </c>
      <c r="D2557" t="s">
        <v>2165</v>
      </c>
      <c r="F2557">
        <v>1283800556</v>
      </c>
      <c r="G2557">
        <v>925887373</v>
      </c>
      <c r="H2557">
        <v>912852777</v>
      </c>
      <c r="I2557">
        <v>975810861</v>
      </c>
      <c r="J2557">
        <v>773765244</v>
      </c>
      <c r="K2557">
        <v>993842901</v>
      </c>
      <c r="L2557">
        <v>528273545</v>
      </c>
      <c r="M2557">
        <v>589398427</v>
      </c>
      <c r="N2557">
        <v>637188836</v>
      </c>
      <c r="O2557">
        <v>572853530</v>
      </c>
      <c r="P2557">
        <v>111</v>
      </c>
      <c r="Q2557" t="s">
        <v>5446</v>
      </c>
    </row>
    <row r="2558" spans="1:17" x14ac:dyDescent="0.3">
      <c r="A2558" t="s">
        <v>4729</v>
      </c>
      <c r="B2558" t="str">
        <f>"000813"</f>
        <v>000813</v>
      </c>
      <c r="C2558" t="s">
        <v>5447</v>
      </c>
      <c r="D2558" t="s">
        <v>143</v>
      </c>
      <c r="F2558">
        <v>734479886</v>
      </c>
      <c r="G2558">
        <v>962867940</v>
      </c>
      <c r="H2558">
        <v>1774968110</v>
      </c>
      <c r="I2558">
        <v>3290827592</v>
      </c>
      <c r="J2558">
        <v>2220294819</v>
      </c>
      <c r="K2558">
        <v>1442998626</v>
      </c>
      <c r="L2558">
        <v>510772750</v>
      </c>
      <c r="M2558">
        <v>559371797</v>
      </c>
      <c r="N2558">
        <v>569175769</v>
      </c>
      <c r="O2558">
        <v>257304950</v>
      </c>
      <c r="P2558">
        <v>281</v>
      </c>
      <c r="Q2558" t="s">
        <v>5448</v>
      </c>
    </row>
    <row r="2559" spans="1:17" x14ac:dyDescent="0.3">
      <c r="A2559" t="s">
        <v>4729</v>
      </c>
      <c r="B2559" t="str">
        <f>"000815"</f>
        <v>000815</v>
      </c>
      <c r="C2559" t="s">
        <v>5449</v>
      </c>
      <c r="D2559" t="s">
        <v>694</v>
      </c>
      <c r="F2559">
        <v>1232218883</v>
      </c>
      <c r="G2559">
        <v>1162004765</v>
      </c>
      <c r="H2559">
        <v>1043777149</v>
      </c>
      <c r="I2559">
        <v>1048676834</v>
      </c>
      <c r="J2559">
        <v>841292030</v>
      </c>
      <c r="K2559">
        <v>587362790</v>
      </c>
      <c r="L2559">
        <v>556711441</v>
      </c>
      <c r="M2559">
        <v>622013445</v>
      </c>
      <c r="N2559">
        <v>553185490</v>
      </c>
      <c r="O2559">
        <v>1362751264</v>
      </c>
      <c r="P2559">
        <v>125</v>
      </c>
      <c r="Q2559" t="s">
        <v>5450</v>
      </c>
    </row>
    <row r="2560" spans="1:17" x14ac:dyDescent="0.3">
      <c r="A2560" t="s">
        <v>4729</v>
      </c>
      <c r="B2560" t="str">
        <f>"000816"</f>
        <v>000816</v>
      </c>
      <c r="C2560" t="s">
        <v>5451</v>
      </c>
      <c r="D2560" t="s">
        <v>348</v>
      </c>
      <c r="F2560">
        <v>2282058579</v>
      </c>
      <c r="G2560">
        <v>1740281652</v>
      </c>
      <c r="H2560">
        <v>1445354291</v>
      </c>
      <c r="I2560">
        <v>1527839776</v>
      </c>
      <c r="J2560">
        <v>1740271458</v>
      </c>
      <c r="K2560">
        <v>1834320843</v>
      </c>
      <c r="L2560">
        <v>1877193175</v>
      </c>
      <c r="M2560">
        <v>2334172418</v>
      </c>
      <c r="N2560">
        <v>2773534840</v>
      </c>
      <c r="O2560">
        <v>2885962243</v>
      </c>
      <c r="P2560">
        <v>153</v>
      </c>
      <c r="Q2560" t="s">
        <v>5452</v>
      </c>
    </row>
    <row r="2561" spans="1:17" x14ac:dyDescent="0.3">
      <c r="A2561" t="s">
        <v>4729</v>
      </c>
      <c r="B2561" t="str">
        <f>"000818"</f>
        <v>000818</v>
      </c>
      <c r="C2561" t="s">
        <v>5453</v>
      </c>
      <c r="D2561" t="s">
        <v>175</v>
      </c>
      <c r="F2561">
        <v>4858570751</v>
      </c>
      <c r="G2561">
        <v>3536491592</v>
      </c>
      <c r="H2561">
        <v>3773945832</v>
      </c>
      <c r="I2561">
        <v>3825349409</v>
      </c>
      <c r="J2561">
        <v>3400920321</v>
      </c>
      <c r="K2561">
        <v>2605603503</v>
      </c>
      <c r="L2561">
        <v>2582371304</v>
      </c>
      <c r="M2561">
        <v>2955960677</v>
      </c>
      <c r="N2561">
        <v>2653399694</v>
      </c>
      <c r="O2561">
        <v>2683515200</v>
      </c>
      <c r="P2561">
        <v>258</v>
      </c>
      <c r="Q2561" t="s">
        <v>5454</v>
      </c>
    </row>
    <row r="2562" spans="1:17" x14ac:dyDescent="0.3">
      <c r="A2562" t="s">
        <v>4729</v>
      </c>
      <c r="B2562" t="str">
        <f>"000819"</f>
        <v>000819</v>
      </c>
      <c r="C2562" t="s">
        <v>5455</v>
      </c>
      <c r="D2562" t="s">
        <v>1617</v>
      </c>
      <c r="F2562">
        <v>1952371137</v>
      </c>
      <c r="G2562">
        <v>1455818840</v>
      </c>
      <c r="H2562">
        <v>1745439746</v>
      </c>
      <c r="I2562">
        <v>2011057864</v>
      </c>
      <c r="J2562">
        <v>1588070473</v>
      </c>
      <c r="K2562">
        <v>1362614395</v>
      </c>
      <c r="L2562">
        <v>1482315727</v>
      </c>
      <c r="M2562">
        <v>1460868340</v>
      </c>
      <c r="N2562">
        <v>1924577282</v>
      </c>
      <c r="O2562">
        <v>2025696399</v>
      </c>
      <c r="P2562">
        <v>81</v>
      </c>
      <c r="Q2562" t="s">
        <v>5456</v>
      </c>
    </row>
    <row r="2563" spans="1:17" x14ac:dyDescent="0.3">
      <c r="A2563" t="s">
        <v>4729</v>
      </c>
      <c r="B2563" t="str">
        <f>"000820"</f>
        <v>000820</v>
      </c>
      <c r="C2563" t="s">
        <v>5457</v>
      </c>
      <c r="D2563" t="s">
        <v>499</v>
      </c>
      <c r="F2563">
        <v>120157348</v>
      </c>
      <c r="G2563">
        <v>1662522</v>
      </c>
      <c r="H2563">
        <v>16227342</v>
      </c>
      <c r="I2563">
        <v>12895546</v>
      </c>
      <c r="J2563">
        <v>880150262</v>
      </c>
      <c r="K2563">
        <v>865350744</v>
      </c>
      <c r="L2563">
        <v>243151819</v>
      </c>
      <c r="M2563">
        <v>305045282</v>
      </c>
      <c r="N2563">
        <v>242248747</v>
      </c>
      <c r="O2563">
        <v>188478286</v>
      </c>
      <c r="P2563">
        <v>156</v>
      </c>
      <c r="Q2563" t="s">
        <v>5458</v>
      </c>
    </row>
    <row r="2564" spans="1:17" x14ac:dyDescent="0.3">
      <c r="A2564" t="s">
        <v>4729</v>
      </c>
      <c r="B2564" t="str">
        <f>"000821"</f>
        <v>000821</v>
      </c>
      <c r="C2564" t="s">
        <v>5459</v>
      </c>
      <c r="D2564" t="s">
        <v>3415</v>
      </c>
      <c r="F2564">
        <v>4085657013</v>
      </c>
      <c r="G2564">
        <v>3059873922</v>
      </c>
      <c r="H2564">
        <v>2257616726</v>
      </c>
      <c r="I2564">
        <v>2248884206</v>
      </c>
      <c r="J2564">
        <v>1536524895</v>
      </c>
      <c r="K2564">
        <v>1281529289</v>
      </c>
      <c r="L2564">
        <v>1027125791</v>
      </c>
      <c r="M2564">
        <v>923081282</v>
      </c>
      <c r="N2564">
        <v>724048070</v>
      </c>
      <c r="O2564">
        <v>520559221</v>
      </c>
      <c r="P2564">
        <v>166</v>
      </c>
      <c r="Q2564" t="s">
        <v>5460</v>
      </c>
    </row>
    <row r="2565" spans="1:17" x14ac:dyDescent="0.3">
      <c r="A2565" t="s">
        <v>4729</v>
      </c>
      <c r="B2565" t="str">
        <f>"000822"</f>
        <v>000822</v>
      </c>
      <c r="C2565" t="s">
        <v>5461</v>
      </c>
      <c r="D2565" t="s">
        <v>2529</v>
      </c>
      <c r="F2565">
        <v>5850853300</v>
      </c>
      <c r="G2565">
        <v>3687613487</v>
      </c>
      <c r="H2565">
        <v>4621274158</v>
      </c>
      <c r="I2565">
        <v>5262654919</v>
      </c>
      <c r="J2565">
        <v>4817014523</v>
      </c>
      <c r="K2565">
        <v>3360746122</v>
      </c>
      <c r="L2565">
        <v>3522898599</v>
      </c>
      <c r="M2565">
        <v>4856373860</v>
      </c>
      <c r="N2565">
        <v>4315314239</v>
      </c>
      <c r="O2565">
        <v>4943090779</v>
      </c>
      <c r="P2565">
        <v>211</v>
      </c>
      <c r="Q2565" t="s">
        <v>5462</v>
      </c>
    </row>
    <row r="2566" spans="1:17" x14ac:dyDescent="0.3">
      <c r="A2566" t="s">
        <v>4729</v>
      </c>
      <c r="B2566" t="str">
        <f>"000823"</f>
        <v>000823</v>
      </c>
      <c r="C2566" t="s">
        <v>5463</v>
      </c>
      <c r="D2566" t="s">
        <v>425</v>
      </c>
      <c r="F2566">
        <v>6731163635</v>
      </c>
      <c r="G2566">
        <v>5168552776</v>
      </c>
      <c r="H2566">
        <v>4841691225</v>
      </c>
      <c r="I2566">
        <v>4941244562</v>
      </c>
      <c r="J2566">
        <v>4333127016</v>
      </c>
      <c r="K2566">
        <v>3532559927</v>
      </c>
      <c r="L2566">
        <v>3638894357</v>
      </c>
      <c r="M2566">
        <v>3981238713</v>
      </c>
      <c r="N2566">
        <v>3544249517</v>
      </c>
      <c r="O2566">
        <v>3640841300</v>
      </c>
      <c r="P2566">
        <v>356</v>
      </c>
      <c r="Q2566" t="s">
        <v>5464</v>
      </c>
    </row>
    <row r="2567" spans="1:17" x14ac:dyDescent="0.3">
      <c r="A2567" t="s">
        <v>4729</v>
      </c>
      <c r="B2567" t="str">
        <f>"000825"</f>
        <v>000825</v>
      </c>
      <c r="C2567" t="s">
        <v>5465</v>
      </c>
      <c r="D2567" t="s">
        <v>281</v>
      </c>
      <c r="F2567">
        <v>101437349754</v>
      </c>
      <c r="G2567">
        <v>67419390556</v>
      </c>
      <c r="H2567">
        <v>70419388611</v>
      </c>
      <c r="I2567">
        <v>72946105509</v>
      </c>
      <c r="J2567">
        <v>67789780952</v>
      </c>
      <c r="K2567">
        <v>56738189966</v>
      </c>
      <c r="L2567">
        <v>67912712566</v>
      </c>
      <c r="M2567">
        <v>86766441502</v>
      </c>
      <c r="N2567">
        <v>105020324754</v>
      </c>
      <c r="O2567">
        <v>103515284413</v>
      </c>
      <c r="P2567">
        <v>581</v>
      </c>
      <c r="Q2567" t="s">
        <v>5466</v>
      </c>
    </row>
    <row r="2568" spans="1:17" x14ac:dyDescent="0.3">
      <c r="A2568" t="s">
        <v>4729</v>
      </c>
      <c r="B2568" t="str">
        <f>"000826"</f>
        <v>000826</v>
      </c>
      <c r="C2568" t="s">
        <v>5467</v>
      </c>
      <c r="D2568" t="s">
        <v>3575</v>
      </c>
      <c r="F2568">
        <v>8480986860</v>
      </c>
      <c r="G2568">
        <v>8520764619</v>
      </c>
      <c r="H2568">
        <v>10176449579</v>
      </c>
      <c r="I2568">
        <v>10993780615</v>
      </c>
      <c r="J2568">
        <v>9358384720</v>
      </c>
      <c r="K2568">
        <v>6916555472</v>
      </c>
      <c r="L2568">
        <v>6340587190</v>
      </c>
      <c r="M2568">
        <v>4374296818</v>
      </c>
      <c r="N2568">
        <v>2683833944</v>
      </c>
      <c r="O2568">
        <v>2112137830</v>
      </c>
      <c r="P2568">
        <v>559</v>
      </c>
      <c r="Q2568" t="s">
        <v>5468</v>
      </c>
    </row>
    <row r="2569" spans="1:17" x14ac:dyDescent="0.3">
      <c r="A2569" t="s">
        <v>4729</v>
      </c>
      <c r="B2569" t="str">
        <f>"000828"</f>
        <v>000828</v>
      </c>
      <c r="C2569" t="s">
        <v>5469</v>
      </c>
      <c r="D2569" t="s">
        <v>44</v>
      </c>
      <c r="F2569">
        <v>5320955051</v>
      </c>
      <c r="G2569">
        <v>1256422453</v>
      </c>
      <c r="H2569">
        <v>1639825901</v>
      </c>
      <c r="I2569">
        <v>1623520735</v>
      </c>
      <c r="J2569">
        <v>1452302261</v>
      </c>
      <c r="K2569">
        <v>1251991337</v>
      </c>
      <c r="L2569">
        <v>1096874768</v>
      </c>
      <c r="M2569">
        <v>935850159</v>
      </c>
      <c r="N2569">
        <v>764775265</v>
      </c>
      <c r="O2569">
        <v>737625378</v>
      </c>
      <c r="P2569">
        <v>961</v>
      </c>
      <c r="Q2569" t="s">
        <v>5470</v>
      </c>
    </row>
    <row r="2570" spans="1:17" x14ac:dyDescent="0.3">
      <c r="A2570" t="s">
        <v>4729</v>
      </c>
      <c r="B2570" t="str">
        <f>"000829"</f>
        <v>000829</v>
      </c>
      <c r="C2570" t="s">
        <v>5471</v>
      </c>
      <c r="D2570" t="s">
        <v>295</v>
      </c>
      <c r="F2570">
        <v>70999505842</v>
      </c>
      <c r="G2570">
        <v>59783755164</v>
      </c>
      <c r="H2570">
        <v>52941830847</v>
      </c>
      <c r="I2570">
        <v>42466360948</v>
      </c>
      <c r="J2570">
        <v>39627726644</v>
      </c>
      <c r="K2570">
        <v>33845245810</v>
      </c>
      <c r="L2570">
        <v>43030139022</v>
      </c>
      <c r="M2570">
        <v>34596856950</v>
      </c>
      <c r="N2570">
        <v>29852342236</v>
      </c>
      <c r="O2570">
        <v>32590379734</v>
      </c>
      <c r="P2570">
        <v>187</v>
      </c>
      <c r="Q2570" t="s">
        <v>5472</v>
      </c>
    </row>
    <row r="2571" spans="1:17" x14ac:dyDescent="0.3">
      <c r="A2571" t="s">
        <v>4729</v>
      </c>
      <c r="B2571" t="str">
        <f>"000830"</f>
        <v>000830</v>
      </c>
      <c r="C2571" t="s">
        <v>5473</v>
      </c>
      <c r="D2571" t="s">
        <v>914</v>
      </c>
      <c r="F2571">
        <v>31794339242</v>
      </c>
      <c r="G2571">
        <v>17592454573</v>
      </c>
      <c r="H2571">
        <v>18081576304</v>
      </c>
      <c r="I2571">
        <v>21284848435</v>
      </c>
      <c r="J2571">
        <v>15761800297</v>
      </c>
      <c r="K2571">
        <v>10948556536</v>
      </c>
      <c r="L2571">
        <v>12870896824</v>
      </c>
      <c r="M2571">
        <v>13029377003</v>
      </c>
      <c r="N2571">
        <v>11056406708</v>
      </c>
      <c r="O2571">
        <v>10240815854</v>
      </c>
      <c r="P2571">
        <v>891</v>
      </c>
      <c r="Q2571" t="s">
        <v>5474</v>
      </c>
    </row>
    <row r="2572" spans="1:17" x14ac:dyDescent="0.3">
      <c r="A2572" t="s">
        <v>4729</v>
      </c>
      <c r="B2572" t="str">
        <f>"000831"</f>
        <v>000831</v>
      </c>
      <c r="C2572" t="s">
        <v>5475</v>
      </c>
      <c r="D2572" t="s">
        <v>266</v>
      </c>
      <c r="F2572">
        <v>2973358163</v>
      </c>
      <c r="G2572">
        <v>1656434558</v>
      </c>
      <c r="H2572">
        <v>1647285150</v>
      </c>
      <c r="I2572">
        <v>924808088</v>
      </c>
      <c r="J2572">
        <v>715881598</v>
      </c>
      <c r="K2572">
        <v>447740847</v>
      </c>
      <c r="L2572">
        <v>459161729</v>
      </c>
      <c r="M2572">
        <v>701901632</v>
      </c>
      <c r="N2572">
        <v>1705432841</v>
      </c>
      <c r="O2572">
        <v>4018392644</v>
      </c>
      <c r="P2572">
        <v>458</v>
      </c>
      <c r="Q2572" t="s">
        <v>5476</v>
      </c>
    </row>
    <row r="2573" spans="1:17" x14ac:dyDescent="0.3">
      <c r="A2573" t="s">
        <v>4729</v>
      </c>
      <c r="B2573" t="str">
        <f>"000832"</f>
        <v>000832</v>
      </c>
      <c r="C2573" t="s">
        <v>5477</v>
      </c>
      <c r="K2573">
        <v>23938.46</v>
      </c>
      <c r="L2573">
        <v>40005439.920000002</v>
      </c>
      <c r="M2573">
        <v>56228357.780000001</v>
      </c>
      <c r="N2573">
        <v>53201970.950000003</v>
      </c>
      <c r="O2573">
        <v>79142721.980000004</v>
      </c>
      <c r="P2573">
        <v>6</v>
      </c>
      <c r="Q2573" t="s">
        <v>5478</v>
      </c>
    </row>
    <row r="2574" spans="1:17" x14ac:dyDescent="0.3">
      <c r="A2574" t="s">
        <v>4729</v>
      </c>
      <c r="B2574" t="str">
        <f>"000833"</f>
        <v>000833</v>
      </c>
      <c r="C2574" t="s">
        <v>5479</v>
      </c>
      <c r="D2574" t="s">
        <v>110</v>
      </c>
      <c r="F2574">
        <v>3058940020</v>
      </c>
      <c r="G2574">
        <v>3190217906</v>
      </c>
      <c r="H2574">
        <v>3501991589</v>
      </c>
      <c r="I2574">
        <v>3168174565</v>
      </c>
      <c r="J2574">
        <v>1907370591</v>
      </c>
      <c r="K2574">
        <v>1792118993</v>
      </c>
      <c r="L2574">
        <v>1735404707</v>
      </c>
      <c r="M2574">
        <v>1054720599</v>
      </c>
      <c r="N2574">
        <v>1107746743</v>
      </c>
      <c r="O2574">
        <v>1095181247</v>
      </c>
      <c r="P2574">
        <v>88</v>
      </c>
      <c r="Q2574" t="s">
        <v>5480</v>
      </c>
    </row>
    <row r="2575" spans="1:17" x14ac:dyDescent="0.3">
      <c r="A2575" t="s">
        <v>4729</v>
      </c>
      <c r="B2575" t="str">
        <f>"000835"</f>
        <v>000835</v>
      </c>
      <c r="C2575" t="s">
        <v>5481</v>
      </c>
      <c r="D2575" t="s">
        <v>517</v>
      </c>
      <c r="F2575">
        <v>2371229</v>
      </c>
      <c r="G2575">
        <v>5599862</v>
      </c>
      <c r="H2575">
        <v>40063157</v>
      </c>
      <c r="I2575">
        <v>74949098</v>
      </c>
      <c r="J2575">
        <v>290968041</v>
      </c>
      <c r="K2575">
        <v>326687730</v>
      </c>
      <c r="L2575">
        <v>357407679</v>
      </c>
      <c r="M2575">
        <v>448863561</v>
      </c>
      <c r="N2575">
        <v>982474239</v>
      </c>
      <c r="O2575">
        <v>1128143774</v>
      </c>
      <c r="P2575">
        <v>69</v>
      </c>
      <c r="Q2575" t="s">
        <v>5482</v>
      </c>
    </row>
    <row r="2576" spans="1:17" x14ac:dyDescent="0.3">
      <c r="A2576" t="s">
        <v>4729</v>
      </c>
      <c r="B2576" t="str">
        <f>"000836"</f>
        <v>000836</v>
      </c>
      <c r="C2576" t="s">
        <v>5483</v>
      </c>
      <c r="D2576" t="s">
        <v>250</v>
      </c>
      <c r="F2576">
        <v>1429520944</v>
      </c>
      <c r="G2576">
        <v>1052099972</v>
      </c>
      <c r="H2576">
        <v>1137953614</v>
      </c>
      <c r="I2576">
        <v>2663720225</v>
      </c>
      <c r="J2576">
        <v>2056565729</v>
      </c>
      <c r="K2576">
        <v>1859978599</v>
      </c>
      <c r="L2576">
        <v>1607973181</v>
      </c>
      <c r="M2576">
        <v>1006746184</v>
      </c>
      <c r="N2576">
        <v>1104710303</v>
      </c>
      <c r="O2576">
        <v>1298633705</v>
      </c>
      <c r="P2576">
        <v>135</v>
      </c>
      <c r="Q2576" t="s">
        <v>5484</v>
      </c>
    </row>
    <row r="2577" spans="1:17" x14ac:dyDescent="0.3">
      <c r="A2577" t="s">
        <v>4729</v>
      </c>
      <c r="B2577" t="str">
        <f>"000837"</f>
        <v>000837</v>
      </c>
      <c r="C2577" t="s">
        <v>5485</v>
      </c>
      <c r="D2577" t="s">
        <v>2321</v>
      </c>
      <c r="F2577">
        <v>5052396077</v>
      </c>
      <c r="G2577">
        <v>4095082563</v>
      </c>
      <c r="H2577">
        <v>3164976540</v>
      </c>
      <c r="I2577">
        <v>3188240555</v>
      </c>
      <c r="J2577">
        <v>2999885477</v>
      </c>
      <c r="K2577">
        <v>2704412967</v>
      </c>
      <c r="L2577">
        <v>2548257966</v>
      </c>
      <c r="M2577">
        <v>3501026639</v>
      </c>
      <c r="N2577">
        <v>1285382670</v>
      </c>
      <c r="O2577">
        <v>1191140056</v>
      </c>
      <c r="P2577">
        <v>129</v>
      </c>
      <c r="Q2577" t="s">
        <v>5486</v>
      </c>
    </row>
    <row r="2578" spans="1:17" x14ac:dyDescent="0.3">
      <c r="A2578" t="s">
        <v>4729</v>
      </c>
      <c r="B2578" t="str">
        <f>"000838"</f>
        <v>000838</v>
      </c>
      <c r="C2578" t="s">
        <v>5487</v>
      </c>
      <c r="D2578" t="s">
        <v>104</v>
      </c>
      <c r="F2578">
        <v>5054680257</v>
      </c>
      <c r="G2578">
        <v>6051713044</v>
      </c>
      <c r="H2578">
        <v>3394143162</v>
      </c>
      <c r="I2578">
        <v>3047865857</v>
      </c>
      <c r="J2578">
        <v>1803479374</v>
      </c>
      <c r="K2578">
        <v>1716087294</v>
      </c>
      <c r="L2578">
        <v>667877093</v>
      </c>
      <c r="M2578">
        <v>595763538</v>
      </c>
      <c r="N2578">
        <v>443594563</v>
      </c>
      <c r="O2578">
        <v>279060663</v>
      </c>
      <c r="P2578">
        <v>98</v>
      </c>
      <c r="Q2578" t="s">
        <v>5488</v>
      </c>
    </row>
    <row r="2579" spans="1:17" x14ac:dyDescent="0.3">
      <c r="A2579" t="s">
        <v>4729</v>
      </c>
      <c r="B2579" t="str">
        <f>"000839"</f>
        <v>000839</v>
      </c>
      <c r="C2579" t="s">
        <v>5489</v>
      </c>
      <c r="D2579" t="s">
        <v>110</v>
      </c>
      <c r="F2579">
        <v>2660432814</v>
      </c>
      <c r="G2579">
        <v>2358906292</v>
      </c>
      <c r="H2579">
        <v>3500707870</v>
      </c>
      <c r="I2579">
        <v>3974368077</v>
      </c>
      <c r="J2579">
        <v>4362389731</v>
      </c>
      <c r="K2579">
        <v>3927050217</v>
      </c>
      <c r="L2579">
        <v>2809429717</v>
      </c>
      <c r="M2579">
        <v>2443586959</v>
      </c>
      <c r="N2579">
        <v>2130083201</v>
      </c>
      <c r="O2579">
        <v>2009226899</v>
      </c>
      <c r="P2579">
        <v>219</v>
      </c>
      <c r="Q2579" t="s">
        <v>5490</v>
      </c>
    </row>
    <row r="2580" spans="1:17" x14ac:dyDescent="0.3">
      <c r="A2580" t="s">
        <v>4729</v>
      </c>
      <c r="B2580" t="str">
        <f>"000848"</f>
        <v>000848</v>
      </c>
      <c r="C2580" t="s">
        <v>5491</v>
      </c>
      <c r="D2580" t="s">
        <v>440</v>
      </c>
      <c r="F2580">
        <v>2523907407</v>
      </c>
      <c r="G2580">
        <v>1860643699</v>
      </c>
      <c r="H2580">
        <v>2255394059</v>
      </c>
      <c r="I2580">
        <v>2121966609</v>
      </c>
      <c r="J2580">
        <v>2111873347</v>
      </c>
      <c r="K2580">
        <v>2520897586</v>
      </c>
      <c r="L2580">
        <v>2706238122</v>
      </c>
      <c r="M2580">
        <v>2702791630</v>
      </c>
      <c r="N2580">
        <v>2632555406</v>
      </c>
      <c r="O2580">
        <v>2137825085</v>
      </c>
      <c r="P2580">
        <v>41198</v>
      </c>
      <c r="Q2580" t="s">
        <v>5492</v>
      </c>
    </row>
    <row r="2581" spans="1:17" x14ac:dyDescent="0.3">
      <c r="A2581" t="s">
        <v>4729</v>
      </c>
      <c r="B2581" t="str">
        <f>"000850"</f>
        <v>000850</v>
      </c>
      <c r="C2581" t="s">
        <v>5493</v>
      </c>
      <c r="D2581" t="s">
        <v>1009</v>
      </c>
      <c r="F2581">
        <v>3498447706</v>
      </c>
      <c r="G2581">
        <v>3392051181</v>
      </c>
      <c r="H2581">
        <v>2978917085</v>
      </c>
      <c r="I2581">
        <v>2781507817</v>
      </c>
      <c r="J2581">
        <v>2342871186</v>
      </c>
      <c r="K2581">
        <v>1965509298</v>
      </c>
      <c r="L2581">
        <v>1930491328</v>
      </c>
      <c r="M2581">
        <v>1981861677</v>
      </c>
      <c r="N2581">
        <v>2058298734</v>
      </c>
      <c r="O2581">
        <v>2059287370</v>
      </c>
      <c r="P2581">
        <v>121</v>
      </c>
      <c r="Q2581" t="s">
        <v>5494</v>
      </c>
    </row>
    <row r="2582" spans="1:17" x14ac:dyDescent="0.3">
      <c r="A2582" t="s">
        <v>4729</v>
      </c>
      <c r="B2582" t="str">
        <f>"000851"</f>
        <v>000851</v>
      </c>
      <c r="C2582" t="s">
        <v>5495</v>
      </c>
      <c r="D2582" t="s">
        <v>1019</v>
      </c>
      <c r="F2582">
        <v>8548463985</v>
      </c>
      <c r="G2582">
        <v>7017755141</v>
      </c>
      <c r="H2582">
        <v>11409546498</v>
      </c>
      <c r="I2582">
        <v>9264669160</v>
      </c>
      <c r="J2582">
        <v>8975733165</v>
      </c>
      <c r="K2582">
        <v>8673633470</v>
      </c>
      <c r="L2582">
        <v>7424912316</v>
      </c>
      <c r="M2582">
        <v>7080629880</v>
      </c>
      <c r="N2582">
        <v>6198358598</v>
      </c>
      <c r="O2582">
        <v>4616859716</v>
      </c>
      <c r="P2582">
        <v>224</v>
      </c>
      <c r="Q2582" t="s">
        <v>5496</v>
      </c>
    </row>
    <row r="2583" spans="1:17" x14ac:dyDescent="0.3">
      <c r="A2583" t="s">
        <v>4729</v>
      </c>
      <c r="B2583" t="str">
        <f>"000852"</f>
        <v>000852</v>
      </c>
      <c r="C2583" t="s">
        <v>5497</v>
      </c>
      <c r="D2583" t="s">
        <v>395</v>
      </c>
      <c r="F2583">
        <v>6951472812</v>
      </c>
      <c r="G2583">
        <v>6213351763</v>
      </c>
      <c r="H2583">
        <v>6588352170</v>
      </c>
      <c r="I2583">
        <v>4918851756</v>
      </c>
      <c r="J2583">
        <v>3993954899</v>
      </c>
      <c r="K2583">
        <v>3444167984</v>
      </c>
      <c r="L2583">
        <v>5095526658</v>
      </c>
      <c r="M2583">
        <v>1657746352</v>
      </c>
      <c r="N2583">
        <v>1868048828</v>
      </c>
      <c r="O2583">
        <v>1840536026</v>
      </c>
      <c r="P2583">
        <v>155</v>
      </c>
      <c r="Q2583" t="s">
        <v>5498</v>
      </c>
    </row>
    <row r="2584" spans="1:17" x14ac:dyDescent="0.3">
      <c r="A2584" t="s">
        <v>4729</v>
      </c>
      <c r="B2584" t="str">
        <f>"000856"</f>
        <v>000856</v>
      </c>
      <c r="C2584" t="s">
        <v>5499</v>
      </c>
      <c r="D2584" t="s">
        <v>741</v>
      </c>
      <c r="F2584">
        <v>3450085040</v>
      </c>
      <c r="G2584">
        <v>2652227344</v>
      </c>
      <c r="H2584">
        <v>2546400307</v>
      </c>
      <c r="I2584">
        <v>2031612232</v>
      </c>
      <c r="J2584">
        <v>1765221643</v>
      </c>
      <c r="K2584">
        <v>1071904467</v>
      </c>
      <c r="L2584">
        <v>1415793769</v>
      </c>
      <c r="M2584">
        <v>1559203618</v>
      </c>
      <c r="N2584">
        <v>1392335407</v>
      </c>
      <c r="O2584">
        <v>1598241993</v>
      </c>
      <c r="P2584">
        <v>101</v>
      </c>
      <c r="Q2584" t="s">
        <v>5500</v>
      </c>
    </row>
    <row r="2585" spans="1:17" x14ac:dyDescent="0.3">
      <c r="A2585" t="s">
        <v>4729</v>
      </c>
      <c r="B2585" t="str">
        <f>"000858"</f>
        <v>000858</v>
      </c>
      <c r="C2585" t="s">
        <v>5501</v>
      </c>
      <c r="D2585" t="s">
        <v>458</v>
      </c>
      <c r="F2585">
        <v>66209053612</v>
      </c>
      <c r="G2585">
        <v>57321059453</v>
      </c>
      <c r="H2585">
        <v>50118105877</v>
      </c>
      <c r="I2585">
        <v>40030189600</v>
      </c>
      <c r="J2585">
        <v>30186780409</v>
      </c>
      <c r="K2585">
        <v>24543792661</v>
      </c>
      <c r="L2585">
        <v>21659287360</v>
      </c>
      <c r="M2585">
        <v>21011491536</v>
      </c>
      <c r="N2585">
        <v>24718588618</v>
      </c>
      <c r="O2585">
        <v>27201045951</v>
      </c>
      <c r="P2585">
        <v>11635</v>
      </c>
      <c r="Q2585" t="s">
        <v>5502</v>
      </c>
    </row>
    <row r="2586" spans="1:17" x14ac:dyDescent="0.3">
      <c r="A2586" t="s">
        <v>4729</v>
      </c>
      <c r="B2586" t="str">
        <f>"000859"</f>
        <v>000859</v>
      </c>
      <c r="C2586" t="s">
        <v>5503</v>
      </c>
      <c r="D2586" t="s">
        <v>324</v>
      </c>
      <c r="F2586">
        <v>1910027238</v>
      </c>
      <c r="G2586">
        <v>1481440506</v>
      </c>
      <c r="H2586">
        <v>1360569742</v>
      </c>
      <c r="I2586">
        <v>1234226257</v>
      </c>
      <c r="J2586">
        <v>1173119887</v>
      </c>
      <c r="K2586">
        <v>1144815939</v>
      </c>
      <c r="L2586">
        <v>1090279299</v>
      </c>
      <c r="M2586">
        <v>1311772490</v>
      </c>
      <c r="N2586">
        <v>1360615881</v>
      </c>
      <c r="O2586">
        <v>1429151802</v>
      </c>
      <c r="P2586">
        <v>118</v>
      </c>
      <c r="Q2586" t="s">
        <v>5504</v>
      </c>
    </row>
    <row r="2587" spans="1:17" x14ac:dyDescent="0.3">
      <c r="A2587" t="s">
        <v>4729</v>
      </c>
      <c r="B2587" t="str">
        <f>"000860"</f>
        <v>000860</v>
      </c>
      <c r="C2587" t="s">
        <v>5505</v>
      </c>
      <c r="D2587" t="s">
        <v>458</v>
      </c>
      <c r="F2587">
        <v>14869379037</v>
      </c>
      <c r="G2587">
        <v>15511399521</v>
      </c>
      <c r="H2587">
        <v>14900141029</v>
      </c>
      <c r="I2587">
        <v>12074373184</v>
      </c>
      <c r="J2587">
        <v>11733843206</v>
      </c>
      <c r="K2587">
        <v>11197229071</v>
      </c>
      <c r="L2587">
        <v>9637423354</v>
      </c>
      <c r="M2587">
        <v>9480664078</v>
      </c>
      <c r="N2587">
        <v>9072355382</v>
      </c>
      <c r="O2587">
        <v>8341954741</v>
      </c>
      <c r="P2587">
        <v>1515</v>
      </c>
      <c r="Q2587" t="s">
        <v>5506</v>
      </c>
    </row>
    <row r="2588" spans="1:17" x14ac:dyDescent="0.3">
      <c r="A2588" t="s">
        <v>4729</v>
      </c>
      <c r="B2588" t="str">
        <f>"000861"</f>
        <v>000861</v>
      </c>
      <c r="C2588" t="s">
        <v>5507</v>
      </c>
      <c r="D2588" t="s">
        <v>271</v>
      </c>
      <c r="F2588">
        <v>1219641249</v>
      </c>
      <c r="G2588">
        <v>1301578599</v>
      </c>
      <c r="H2588">
        <v>2435788143</v>
      </c>
      <c r="I2588">
        <v>2506985585</v>
      </c>
      <c r="J2588">
        <v>2561228453</v>
      </c>
      <c r="K2588">
        <v>1993711536</v>
      </c>
      <c r="L2588">
        <v>1652387190</v>
      </c>
      <c r="M2588">
        <v>1918665597</v>
      </c>
      <c r="N2588">
        <v>2119074692</v>
      </c>
      <c r="O2588">
        <v>2092796010</v>
      </c>
      <c r="P2588">
        <v>184</v>
      </c>
      <c r="Q2588" t="s">
        <v>5508</v>
      </c>
    </row>
    <row r="2589" spans="1:17" x14ac:dyDescent="0.3">
      <c r="A2589" t="s">
        <v>4729</v>
      </c>
      <c r="B2589" t="str">
        <f>"000862"</f>
        <v>000862</v>
      </c>
      <c r="C2589" t="s">
        <v>5509</v>
      </c>
      <c r="D2589" t="s">
        <v>383</v>
      </c>
      <c r="F2589">
        <v>1359465843</v>
      </c>
      <c r="G2589">
        <v>1201865888</v>
      </c>
      <c r="H2589">
        <v>1356564109</v>
      </c>
      <c r="I2589">
        <v>1194889969</v>
      </c>
      <c r="J2589">
        <v>935041607</v>
      </c>
      <c r="K2589">
        <v>1442558226</v>
      </c>
      <c r="L2589">
        <v>1205176370</v>
      </c>
      <c r="M2589">
        <v>1438471327</v>
      </c>
      <c r="N2589">
        <v>925715618</v>
      </c>
      <c r="O2589">
        <v>942251917</v>
      </c>
      <c r="P2589">
        <v>171</v>
      </c>
      <c r="Q2589" t="s">
        <v>5510</v>
      </c>
    </row>
    <row r="2590" spans="1:17" x14ac:dyDescent="0.3">
      <c r="A2590" t="s">
        <v>4729</v>
      </c>
      <c r="B2590" t="str">
        <f>"000863"</f>
        <v>000863</v>
      </c>
      <c r="C2590" t="s">
        <v>5511</v>
      </c>
      <c r="D2590" t="s">
        <v>104</v>
      </c>
      <c r="F2590">
        <v>3006282839</v>
      </c>
      <c r="G2590">
        <v>4889415786</v>
      </c>
      <c r="H2590">
        <v>1987581566</v>
      </c>
      <c r="I2590">
        <v>1633023637</v>
      </c>
      <c r="J2590">
        <v>2473918205</v>
      </c>
      <c r="K2590">
        <v>6704848496</v>
      </c>
      <c r="L2590">
        <v>519502881</v>
      </c>
      <c r="M2590">
        <v>1270810233</v>
      </c>
      <c r="N2590">
        <v>2776957460</v>
      </c>
      <c r="O2590">
        <v>1886509460</v>
      </c>
      <c r="P2590">
        <v>171</v>
      </c>
      <c r="Q2590" t="s">
        <v>5512</v>
      </c>
    </row>
    <row r="2591" spans="1:17" x14ac:dyDescent="0.3">
      <c r="A2591" t="s">
        <v>4729</v>
      </c>
      <c r="B2591" t="str">
        <f>"000868"</f>
        <v>000868</v>
      </c>
      <c r="C2591" t="s">
        <v>5513</v>
      </c>
      <c r="D2591" t="s">
        <v>153</v>
      </c>
      <c r="F2591">
        <v>1780721587</v>
      </c>
      <c r="G2591">
        <v>3259905477</v>
      </c>
      <c r="H2591">
        <v>3375870425</v>
      </c>
      <c r="I2591">
        <v>3146799185</v>
      </c>
      <c r="J2591">
        <v>5448916378</v>
      </c>
      <c r="K2591">
        <v>4757326624</v>
      </c>
      <c r="L2591">
        <v>4022112450</v>
      </c>
      <c r="M2591">
        <v>4835294625</v>
      </c>
      <c r="N2591">
        <v>3539046826</v>
      </c>
      <c r="O2591">
        <v>3841363538</v>
      </c>
      <c r="P2591">
        <v>171</v>
      </c>
      <c r="Q2591" t="s">
        <v>5514</v>
      </c>
    </row>
    <row r="2592" spans="1:17" x14ac:dyDescent="0.3">
      <c r="A2592" t="s">
        <v>4729</v>
      </c>
      <c r="B2592" t="str">
        <f>"000869"</f>
        <v>000869</v>
      </c>
      <c r="C2592" t="s">
        <v>5515</v>
      </c>
      <c r="D2592" t="s">
        <v>134</v>
      </c>
      <c r="F2592">
        <v>3953067583</v>
      </c>
      <c r="G2592">
        <v>3395402001</v>
      </c>
      <c r="H2592">
        <v>5031011489</v>
      </c>
      <c r="I2592">
        <v>5142244740</v>
      </c>
      <c r="J2592">
        <v>4932545229</v>
      </c>
      <c r="K2592">
        <v>4717596472</v>
      </c>
      <c r="L2592">
        <v>4649722368</v>
      </c>
      <c r="M2592">
        <v>4156727525</v>
      </c>
      <c r="N2592">
        <v>4320948572</v>
      </c>
      <c r="O2592">
        <v>5643530553</v>
      </c>
      <c r="P2592">
        <v>835</v>
      </c>
      <c r="Q2592" t="s">
        <v>5516</v>
      </c>
    </row>
    <row r="2593" spans="1:17" x14ac:dyDescent="0.3">
      <c r="A2593" t="s">
        <v>4729</v>
      </c>
      <c r="B2593" t="str">
        <f>"000875"</f>
        <v>000875</v>
      </c>
      <c r="C2593" t="s">
        <v>5517</v>
      </c>
      <c r="D2593" t="s">
        <v>239</v>
      </c>
      <c r="F2593">
        <v>13177555792</v>
      </c>
      <c r="G2593">
        <v>10060017628</v>
      </c>
      <c r="H2593">
        <v>8454148014</v>
      </c>
      <c r="I2593">
        <v>7301107308</v>
      </c>
      <c r="J2593">
        <v>5102633471</v>
      </c>
      <c r="K2593">
        <v>4404523665</v>
      </c>
      <c r="L2593">
        <v>4302021917</v>
      </c>
      <c r="M2593">
        <v>4752948387</v>
      </c>
      <c r="N2593">
        <v>4346982344</v>
      </c>
      <c r="O2593">
        <v>4383719382</v>
      </c>
      <c r="P2593">
        <v>278</v>
      </c>
      <c r="Q2593" t="s">
        <v>5518</v>
      </c>
    </row>
    <row r="2594" spans="1:17" x14ac:dyDescent="0.3">
      <c r="A2594" t="s">
        <v>4729</v>
      </c>
      <c r="B2594" t="str">
        <f>"000876"</f>
        <v>000876</v>
      </c>
      <c r="C2594" t="s">
        <v>5519</v>
      </c>
      <c r="D2594" t="s">
        <v>1900</v>
      </c>
      <c r="F2594">
        <v>126261702582</v>
      </c>
      <c r="G2594">
        <v>109825224397</v>
      </c>
      <c r="H2594">
        <v>82050539487</v>
      </c>
      <c r="I2594">
        <v>69063225294</v>
      </c>
      <c r="J2594">
        <v>62566848593</v>
      </c>
      <c r="K2594">
        <v>60879523157</v>
      </c>
      <c r="L2594">
        <v>61519649767</v>
      </c>
      <c r="M2594">
        <v>70012233317</v>
      </c>
      <c r="N2594">
        <v>69395247911</v>
      </c>
      <c r="O2594">
        <v>73238326401</v>
      </c>
      <c r="P2594">
        <v>2609</v>
      </c>
      <c r="Q2594" t="s">
        <v>5520</v>
      </c>
    </row>
    <row r="2595" spans="1:17" x14ac:dyDescent="0.3">
      <c r="A2595" t="s">
        <v>4729</v>
      </c>
      <c r="B2595" t="str">
        <f>"000877"</f>
        <v>000877</v>
      </c>
      <c r="C2595" t="s">
        <v>5521</v>
      </c>
      <c r="D2595" t="s">
        <v>731</v>
      </c>
      <c r="F2595">
        <v>169978538850</v>
      </c>
      <c r="G2595">
        <v>8692271683</v>
      </c>
      <c r="H2595">
        <v>9688216842</v>
      </c>
      <c r="I2595">
        <v>7931783954</v>
      </c>
      <c r="J2595">
        <v>7079776568</v>
      </c>
      <c r="K2595">
        <v>5001262134</v>
      </c>
      <c r="L2595">
        <v>5046650439</v>
      </c>
      <c r="M2595">
        <v>6543572554</v>
      </c>
      <c r="N2595">
        <v>7910941362</v>
      </c>
      <c r="O2595">
        <v>7699180131</v>
      </c>
      <c r="P2595">
        <v>744</v>
      </c>
      <c r="Q2595" t="s">
        <v>5522</v>
      </c>
    </row>
    <row r="2596" spans="1:17" x14ac:dyDescent="0.3">
      <c r="A2596" t="s">
        <v>4729</v>
      </c>
      <c r="B2596" t="str">
        <f>"000878"</f>
        <v>000878</v>
      </c>
      <c r="C2596" t="s">
        <v>5523</v>
      </c>
      <c r="D2596" t="s">
        <v>263</v>
      </c>
      <c r="F2596">
        <v>127057754576</v>
      </c>
      <c r="G2596">
        <v>88238513733</v>
      </c>
      <c r="H2596">
        <v>63289995891</v>
      </c>
      <c r="I2596">
        <v>47430343194</v>
      </c>
      <c r="J2596">
        <v>57322739813</v>
      </c>
      <c r="K2596">
        <v>59194819686</v>
      </c>
      <c r="L2596">
        <v>56655550298</v>
      </c>
      <c r="M2596">
        <v>62404460872</v>
      </c>
      <c r="N2596">
        <v>50100298922</v>
      </c>
      <c r="O2596">
        <v>40825859541</v>
      </c>
      <c r="P2596">
        <v>418</v>
      </c>
      <c r="Q2596" t="s">
        <v>5524</v>
      </c>
    </row>
    <row r="2597" spans="1:17" x14ac:dyDescent="0.3">
      <c r="A2597" t="s">
        <v>4729</v>
      </c>
      <c r="B2597" t="str">
        <f>"000880"</f>
        <v>000880</v>
      </c>
      <c r="C2597" t="s">
        <v>5525</v>
      </c>
      <c r="D2597" t="s">
        <v>348</v>
      </c>
      <c r="F2597">
        <v>3410677884</v>
      </c>
      <c r="G2597">
        <v>3308471105</v>
      </c>
      <c r="H2597">
        <v>2658763639</v>
      </c>
      <c r="I2597">
        <v>2368019052</v>
      </c>
      <c r="J2597">
        <v>1976389438</v>
      </c>
      <c r="K2597">
        <v>1744218180</v>
      </c>
      <c r="L2597">
        <v>2435210479</v>
      </c>
      <c r="M2597">
        <v>3076471293</v>
      </c>
      <c r="N2597">
        <v>2323740475</v>
      </c>
      <c r="O2597">
        <v>2105014115</v>
      </c>
      <c r="P2597">
        <v>102</v>
      </c>
      <c r="Q2597" t="s">
        <v>5526</v>
      </c>
    </row>
    <row r="2598" spans="1:17" x14ac:dyDescent="0.3">
      <c r="A2598" t="s">
        <v>4729</v>
      </c>
      <c r="B2598" t="str">
        <f>"000881"</f>
        <v>000881</v>
      </c>
      <c r="C2598" t="s">
        <v>5527</v>
      </c>
      <c r="D2598" t="s">
        <v>386</v>
      </c>
      <c r="F2598">
        <v>7998857683</v>
      </c>
      <c r="G2598">
        <v>6651679590</v>
      </c>
      <c r="H2598">
        <v>7021621594</v>
      </c>
      <c r="I2598">
        <v>6784085746</v>
      </c>
      <c r="J2598">
        <v>6369434442</v>
      </c>
      <c r="K2598">
        <v>3022775337</v>
      </c>
      <c r="L2598">
        <v>2100107273</v>
      </c>
      <c r="M2598">
        <v>2029650441</v>
      </c>
      <c r="N2598">
        <v>1997645390</v>
      </c>
      <c r="O2598">
        <v>2665027429</v>
      </c>
      <c r="P2598">
        <v>169</v>
      </c>
      <c r="Q2598" t="s">
        <v>5528</v>
      </c>
    </row>
    <row r="2599" spans="1:17" x14ac:dyDescent="0.3">
      <c r="A2599" t="s">
        <v>4729</v>
      </c>
      <c r="B2599" t="str">
        <f>"000882"</f>
        <v>000882</v>
      </c>
      <c r="C2599" t="s">
        <v>5529</v>
      </c>
      <c r="D2599" t="s">
        <v>633</v>
      </c>
      <c r="F2599">
        <v>1218069665</v>
      </c>
      <c r="G2599">
        <v>889808086</v>
      </c>
      <c r="H2599">
        <v>1254140162</v>
      </c>
      <c r="I2599">
        <v>1253300455</v>
      </c>
      <c r="J2599">
        <v>1095956094</v>
      </c>
      <c r="K2599">
        <v>1017002960</v>
      </c>
      <c r="L2599">
        <v>1191748362</v>
      </c>
      <c r="M2599">
        <v>1499733525</v>
      </c>
      <c r="N2599">
        <v>1093980236</v>
      </c>
      <c r="O2599">
        <v>848421080</v>
      </c>
      <c r="P2599">
        <v>114</v>
      </c>
      <c r="Q2599" t="s">
        <v>5530</v>
      </c>
    </row>
    <row r="2600" spans="1:17" x14ac:dyDescent="0.3">
      <c r="A2600" t="s">
        <v>4729</v>
      </c>
      <c r="B2600" t="str">
        <f>"000883"</f>
        <v>000883</v>
      </c>
      <c r="C2600" t="s">
        <v>5531</v>
      </c>
      <c r="D2600" t="s">
        <v>239</v>
      </c>
      <c r="F2600">
        <v>22618184701</v>
      </c>
      <c r="G2600">
        <v>17023439111</v>
      </c>
      <c r="H2600">
        <v>15810756895</v>
      </c>
      <c r="I2600">
        <v>12288198297</v>
      </c>
      <c r="J2600">
        <v>11567951117</v>
      </c>
      <c r="K2600">
        <v>9370358975</v>
      </c>
      <c r="L2600">
        <v>7085119680</v>
      </c>
      <c r="M2600">
        <v>7270146796</v>
      </c>
      <c r="N2600">
        <v>11089699112</v>
      </c>
      <c r="O2600">
        <v>10296367306</v>
      </c>
      <c r="P2600">
        <v>421</v>
      </c>
      <c r="Q2600" t="s">
        <v>5532</v>
      </c>
    </row>
    <row r="2601" spans="1:17" x14ac:dyDescent="0.3">
      <c r="A2601" t="s">
        <v>4729</v>
      </c>
      <c r="B2601" t="str">
        <f>"000885"</f>
        <v>000885</v>
      </c>
      <c r="C2601" t="s">
        <v>5533</v>
      </c>
      <c r="D2601" t="s">
        <v>44</v>
      </c>
      <c r="F2601">
        <v>5631402443</v>
      </c>
      <c r="G2601">
        <v>3392797526</v>
      </c>
      <c r="H2601">
        <v>2262975204</v>
      </c>
      <c r="I2601">
        <v>2028041814</v>
      </c>
      <c r="J2601">
        <v>4720412335</v>
      </c>
      <c r="K2601">
        <v>3136634575</v>
      </c>
      <c r="L2601">
        <v>3231777815</v>
      </c>
      <c r="M2601">
        <v>3937868983</v>
      </c>
      <c r="N2601">
        <v>4001426906</v>
      </c>
      <c r="O2601">
        <v>4120307791</v>
      </c>
      <c r="P2601">
        <v>236</v>
      </c>
      <c r="Q2601" t="s">
        <v>5534</v>
      </c>
    </row>
    <row r="2602" spans="1:17" x14ac:dyDescent="0.3">
      <c r="A2602" t="s">
        <v>4729</v>
      </c>
      <c r="B2602" t="str">
        <f>"000886"</f>
        <v>000886</v>
      </c>
      <c r="C2602" t="s">
        <v>5535</v>
      </c>
      <c r="D2602" t="s">
        <v>44</v>
      </c>
      <c r="F2602">
        <v>126830846</v>
      </c>
      <c r="G2602">
        <v>120238212</v>
      </c>
      <c r="H2602">
        <v>173901169</v>
      </c>
      <c r="I2602">
        <v>461860552</v>
      </c>
      <c r="J2602">
        <v>583258231</v>
      </c>
      <c r="K2602">
        <v>350968708</v>
      </c>
      <c r="L2602">
        <v>212239850</v>
      </c>
      <c r="M2602">
        <v>299652739</v>
      </c>
      <c r="N2602">
        <v>495942760</v>
      </c>
      <c r="O2602">
        <v>343122518</v>
      </c>
      <c r="P2602">
        <v>130</v>
      </c>
      <c r="Q2602" t="s">
        <v>5536</v>
      </c>
    </row>
    <row r="2603" spans="1:17" x14ac:dyDescent="0.3">
      <c r="A2603" t="s">
        <v>4729</v>
      </c>
      <c r="B2603" t="str">
        <f>"000887"</f>
        <v>000887</v>
      </c>
      <c r="C2603" t="s">
        <v>5537</v>
      </c>
      <c r="D2603" t="s">
        <v>985</v>
      </c>
      <c r="F2603">
        <v>12577189140</v>
      </c>
      <c r="G2603">
        <v>11548324048</v>
      </c>
      <c r="H2603">
        <v>11706104397</v>
      </c>
      <c r="I2603">
        <v>12367838167</v>
      </c>
      <c r="J2603">
        <v>11770479678</v>
      </c>
      <c r="K2603">
        <v>8384368902</v>
      </c>
      <c r="L2603">
        <v>6543080155</v>
      </c>
      <c r="M2603">
        <v>5040190911</v>
      </c>
      <c r="N2603">
        <v>4161693562</v>
      </c>
      <c r="O2603">
        <v>3369020664</v>
      </c>
      <c r="P2603">
        <v>7118</v>
      </c>
      <c r="Q2603" t="s">
        <v>5538</v>
      </c>
    </row>
    <row r="2604" spans="1:17" x14ac:dyDescent="0.3">
      <c r="A2604" t="s">
        <v>4729</v>
      </c>
      <c r="B2604" t="str">
        <f>"000888"</f>
        <v>000888</v>
      </c>
      <c r="C2604" t="s">
        <v>5539</v>
      </c>
      <c r="D2604" t="s">
        <v>119</v>
      </c>
      <c r="F2604">
        <v>628714262</v>
      </c>
      <c r="G2604">
        <v>467267392</v>
      </c>
      <c r="H2604">
        <v>1107708781</v>
      </c>
      <c r="I2604">
        <v>1072349784</v>
      </c>
      <c r="J2604">
        <v>1078986911</v>
      </c>
      <c r="K2604">
        <v>1041579179</v>
      </c>
      <c r="L2604">
        <v>1065500332</v>
      </c>
      <c r="M2604">
        <v>993663487</v>
      </c>
      <c r="N2604">
        <v>825963768</v>
      </c>
      <c r="O2604">
        <v>951106988</v>
      </c>
      <c r="P2604">
        <v>218</v>
      </c>
      <c r="Q2604" t="s">
        <v>5540</v>
      </c>
    </row>
    <row r="2605" spans="1:17" x14ac:dyDescent="0.3">
      <c r="A2605" t="s">
        <v>4729</v>
      </c>
      <c r="B2605" t="str">
        <f>"000889"</f>
        <v>000889</v>
      </c>
      <c r="C2605" t="s">
        <v>5541</v>
      </c>
      <c r="D2605" t="s">
        <v>654</v>
      </c>
      <c r="F2605">
        <v>1951112591</v>
      </c>
      <c r="G2605">
        <v>2573272009</v>
      </c>
      <c r="H2605">
        <v>3162631427</v>
      </c>
      <c r="I2605">
        <v>3030758906</v>
      </c>
      <c r="J2605">
        <v>2107385088</v>
      </c>
      <c r="K2605">
        <v>1814658054</v>
      </c>
      <c r="L2605">
        <v>2215867433</v>
      </c>
      <c r="M2605">
        <v>1920004835</v>
      </c>
      <c r="N2605">
        <v>2106355242</v>
      </c>
      <c r="O2605">
        <v>1926491503</v>
      </c>
      <c r="P2605">
        <v>157</v>
      </c>
      <c r="Q2605" t="s">
        <v>5542</v>
      </c>
    </row>
    <row r="2606" spans="1:17" x14ac:dyDescent="0.3">
      <c r="A2606" t="s">
        <v>4729</v>
      </c>
      <c r="B2606" t="str">
        <f>"000890"</f>
        <v>000890</v>
      </c>
      <c r="C2606" t="s">
        <v>5543</v>
      </c>
      <c r="D2606" t="s">
        <v>274</v>
      </c>
      <c r="F2606">
        <v>667468093</v>
      </c>
      <c r="G2606">
        <v>467058989</v>
      </c>
      <c r="H2606">
        <v>1003609326</v>
      </c>
      <c r="I2606">
        <v>1698089207</v>
      </c>
      <c r="J2606">
        <v>2004295821</v>
      </c>
      <c r="K2606">
        <v>1906735240</v>
      </c>
      <c r="L2606">
        <v>1426542116</v>
      </c>
      <c r="M2606">
        <v>1552094712</v>
      </c>
      <c r="N2606">
        <v>1566444924</v>
      </c>
      <c r="O2606">
        <v>1758414201</v>
      </c>
      <c r="P2606">
        <v>133</v>
      </c>
      <c r="Q2606" t="s">
        <v>5544</v>
      </c>
    </row>
    <row r="2607" spans="1:17" x14ac:dyDescent="0.3">
      <c r="A2607" t="s">
        <v>4729</v>
      </c>
      <c r="B2607" t="str">
        <f>"000892"</f>
        <v>000892</v>
      </c>
      <c r="C2607" t="s">
        <v>5545</v>
      </c>
      <c r="D2607" t="s">
        <v>113</v>
      </c>
      <c r="F2607">
        <v>387819385</v>
      </c>
      <c r="G2607">
        <v>184935603</v>
      </c>
      <c r="H2607">
        <v>540047298</v>
      </c>
      <c r="I2607">
        <v>1328466999</v>
      </c>
      <c r="J2607">
        <v>1567214150</v>
      </c>
      <c r="K2607">
        <v>738552647</v>
      </c>
      <c r="L2607">
        <v>13435811</v>
      </c>
      <c r="N2607">
        <v>10965958</v>
      </c>
      <c r="O2607">
        <v>11655383</v>
      </c>
      <c r="P2607">
        <v>109</v>
      </c>
      <c r="Q2607" t="s">
        <v>5546</v>
      </c>
    </row>
    <row r="2608" spans="1:17" x14ac:dyDescent="0.3">
      <c r="A2608" t="s">
        <v>4729</v>
      </c>
      <c r="B2608" t="str">
        <f>"000893"</f>
        <v>000893</v>
      </c>
      <c r="C2608" t="s">
        <v>5547</v>
      </c>
      <c r="D2608" t="s">
        <v>3458</v>
      </c>
      <c r="F2608">
        <v>832964829</v>
      </c>
      <c r="G2608">
        <v>363172362</v>
      </c>
      <c r="H2608">
        <v>605438217</v>
      </c>
      <c r="I2608">
        <v>421023246</v>
      </c>
      <c r="J2608">
        <v>1535770294</v>
      </c>
      <c r="K2608">
        <v>2399954761</v>
      </c>
      <c r="L2608">
        <v>11154055065</v>
      </c>
      <c r="M2608">
        <v>12803967052</v>
      </c>
      <c r="N2608">
        <v>10060200294</v>
      </c>
      <c r="O2608">
        <v>8316820479</v>
      </c>
      <c r="P2608">
        <v>159</v>
      </c>
      <c r="Q2608" t="s">
        <v>5548</v>
      </c>
    </row>
    <row r="2609" spans="1:17" x14ac:dyDescent="0.3">
      <c r="A2609" t="s">
        <v>4729</v>
      </c>
      <c r="B2609" t="str">
        <f>"000895"</f>
        <v>000895</v>
      </c>
      <c r="C2609" t="s">
        <v>5549</v>
      </c>
      <c r="D2609" t="s">
        <v>170</v>
      </c>
      <c r="F2609">
        <v>66682260353</v>
      </c>
      <c r="G2609">
        <v>73862643467</v>
      </c>
      <c r="H2609">
        <v>60309731763</v>
      </c>
      <c r="I2609">
        <v>48767403388</v>
      </c>
      <c r="J2609">
        <v>50447336036</v>
      </c>
      <c r="K2609">
        <v>51822365962</v>
      </c>
      <c r="L2609">
        <v>44696667615</v>
      </c>
      <c r="M2609">
        <v>45695728742</v>
      </c>
      <c r="N2609">
        <v>44950458307</v>
      </c>
      <c r="O2609">
        <v>39704548213</v>
      </c>
      <c r="P2609">
        <v>37259</v>
      </c>
      <c r="Q2609" t="s">
        <v>5550</v>
      </c>
    </row>
    <row r="2610" spans="1:17" x14ac:dyDescent="0.3">
      <c r="A2610" t="s">
        <v>4729</v>
      </c>
      <c r="B2610" t="str">
        <f>"000897"</f>
        <v>000897</v>
      </c>
      <c r="C2610" t="s">
        <v>5551</v>
      </c>
      <c r="D2610" t="s">
        <v>104</v>
      </c>
      <c r="F2610">
        <v>2254431751</v>
      </c>
      <c r="G2610">
        <v>1841962204</v>
      </c>
      <c r="H2610">
        <v>1282282705</v>
      </c>
      <c r="I2610">
        <v>154771791</v>
      </c>
      <c r="J2610">
        <v>976160123</v>
      </c>
      <c r="K2610">
        <v>893302306</v>
      </c>
      <c r="L2610">
        <v>740471240</v>
      </c>
      <c r="M2610">
        <v>1819465107</v>
      </c>
      <c r="N2610">
        <v>2542474593</v>
      </c>
      <c r="O2610">
        <v>2502641601</v>
      </c>
      <c r="P2610">
        <v>170</v>
      </c>
      <c r="Q2610" t="s">
        <v>5552</v>
      </c>
    </row>
    <row r="2611" spans="1:17" x14ac:dyDescent="0.3">
      <c r="A2611" t="s">
        <v>4729</v>
      </c>
      <c r="B2611" t="str">
        <f>"000898"</f>
        <v>000898</v>
      </c>
      <c r="C2611" t="s">
        <v>5553</v>
      </c>
      <c r="D2611" t="s">
        <v>38</v>
      </c>
      <c r="F2611">
        <v>136674000000</v>
      </c>
      <c r="G2611">
        <v>100903000000</v>
      </c>
      <c r="H2611">
        <v>105587000000</v>
      </c>
      <c r="I2611">
        <v>105157000000</v>
      </c>
      <c r="J2611">
        <v>84310000000</v>
      </c>
      <c r="K2611">
        <v>57882000000</v>
      </c>
      <c r="L2611">
        <v>52759000000</v>
      </c>
      <c r="M2611">
        <v>74046000000</v>
      </c>
      <c r="N2611">
        <v>75329000000</v>
      </c>
      <c r="O2611">
        <v>77748000000</v>
      </c>
      <c r="P2611">
        <v>646</v>
      </c>
      <c r="Q2611" t="s">
        <v>5554</v>
      </c>
    </row>
    <row r="2612" spans="1:17" x14ac:dyDescent="0.3">
      <c r="A2612" t="s">
        <v>4729</v>
      </c>
      <c r="B2612" t="str">
        <f>"000899"</f>
        <v>000899</v>
      </c>
      <c r="C2612" t="s">
        <v>5555</v>
      </c>
      <c r="D2612" t="s">
        <v>41</v>
      </c>
      <c r="F2612">
        <v>2699558783</v>
      </c>
      <c r="G2612">
        <v>2677189521</v>
      </c>
      <c r="H2612">
        <v>2670327894</v>
      </c>
      <c r="I2612">
        <v>2567638501</v>
      </c>
      <c r="J2612">
        <v>2126267945</v>
      </c>
      <c r="K2612">
        <v>2176561485</v>
      </c>
      <c r="L2612">
        <v>2552632936</v>
      </c>
      <c r="M2612">
        <v>2669041936</v>
      </c>
      <c r="N2612">
        <v>2649090050</v>
      </c>
      <c r="O2612">
        <v>2570058533</v>
      </c>
      <c r="P2612">
        <v>174</v>
      </c>
      <c r="Q2612" t="s">
        <v>5556</v>
      </c>
    </row>
    <row r="2613" spans="1:17" x14ac:dyDescent="0.3">
      <c r="A2613" t="s">
        <v>4729</v>
      </c>
      <c r="B2613" t="str">
        <f>"000900"</f>
        <v>000900</v>
      </c>
      <c r="C2613" t="s">
        <v>5557</v>
      </c>
      <c r="D2613" t="s">
        <v>44</v>
      </c>
      <c r="F2613">
        <v>15773748475</v>
      </c>
      <c r="G2613">
        <v>14030665699</v>
      </c>
      <c r="H2613">
        <v>12324895543</v>
      </c>
      <c r="I2613">
        <v>11860994621</v>
      </c>
      <c r="J2613">
        <v>10592858420</v>
      </c>
      <c r="K2613">
        <v>9523690192</v>
      </c>
      <c r="L2613">
        <v>6516140808</v>
      </c>
      <c r="M2613">
        <v>4331416531</v>
      </c>
      <c r="N2613">
        <v>1754154760</v>
      </c>
      <c r="O2613">
        <v>1689609938</v>
      </c>
      <c r="P2613">
        <v>570</v>
      </c>
      <c r="Q2613" t="s">
        <v>5558</v>
      </c>
    </row>
    <row r="2614" spans="1:17" x14ac:dyDescent="0.3">
      <c r="A2614" t="s">
        <v>4729</v>
      </c>
      <c r="B2614" t="str">
        <f>"000901"</f>
        <v>000901</v>
      </c>
      <c r="C2614" t="s">
        <v>5559</v>
      </c>
      <c r="D2614" t="s">
        <v>1136</v>
      </c>
      <c r="F2614">
        <v>5804643124</v>
      </c>
      <c r="G2614">
        <v>5349571694</v>
      </c>
      <c r="H2614">
        <v>5931888845</v>
      </c>
      <c r="I2614">
        <v>5801156299</v>
      </c>
      <c r="J2614">
        <v>5801992975</v>
      </c>
      <c r="K2614">
        <v>5481516424</v>
      </c>
      <c r="L2614">
        <v>1810032938</v>
      </c>
      <c r="M2614">
        <v>1516681764</v>
      </c>
      <c r="N2614">
        <v>1326163863</v>
      </c>
      <c r="O2614">
        <v>1307881106</v>
      </c>
      <c r="P2614">
        <v>224</v>
      </c>
      <c r="Q2614" t="s">
        <v>5560</v>
      </c>
    </row>
    <row r="2615" spans="1:17" x14ac:dyDescent="0.3">
      <c r="A2615" t="s">
        <v>4729</v>
      </c>
      <c r="B2615" t="str">
        <f>"000902"</f>
        <v>000902</v>
      </c>
      <c r="C2615" t="s">
        <v>5561</v>
      </c>
      <c r="D2615" t="s">
        <v>5562</v>
      </c>
      <c r="F2615">
        <v>11801526609</v>
      </c>
      <c r="G2615">
        <v>10068533177</v>
      </c>
      <c r="H2615">
        <v>9327498430</v>
      </c>
      <c r="I2615">
        <v>10030621687</v>
      </c>
      <c r="J2615">
        <v>9032401934</v>
      </c>
      <c r="K2615">
        <v>8276339924</v>
      </c>
      <c r="L2615">
        <v>9619084397</v>
      </c>
      <c r="M2615">
        <v>8352225057</v>
      </c>
      <c r="N2615">
        <v>1767886507</v>
      </c>
      <c r="O2615">
        <v>1565283952</v>
      </c>
      <c r="P2615">
        <v>406</v>
      </c>
      <c r="Q2615" t="s">
        <v>5563</v>
      </c>
    </row>
    <row r="2616" spans="1:17" x14ac:dyDescent="0.3">
      <c r="A2616" t="s">
        <v>4729</v>
      </c>
      <c r="B2616" t="str">
        <f>"000903"</f>
        <v>000903</v>
      </c>
      <c r="C2616" t="s">
        <v>5564</v>
      </c>
      <c r="D2616" t="s">
        <v>348</v>
      </c>
      <c r="F2616">
        <v>8029552833</v>
      </c>
      <c r="G2616">
        <v>10008742713</v>
      </c>
      <c r="H2616">
        <v>6811286574</v>
      </c>
      <c r="I2616">
        <v>6533300991</v>
      </c>
      <c r="J2616">
        <v>5909678325</v>
      </c>
      <c r="K2616">
        <v>3925625425</v>
      </c>
      <c r="L2616">
        <v>2831792830</v>
      </c>
      <c r="M2616">
        <v>2421004699</v>
      </c>
      <c r="N2616">
        <v>2571150905</v>
      </c>
      <c r="O2616">
        <v>2381710411</v>
      </c>
      <c r="P2616">
        <v>155</v>
      </c>
      <c r="Q2616" t="s">
        <v>5565</v>
      </c>
    </row>
    <row r="2617" spans="1:17" x14ac:dyDescent="0.3">
      <c r="A2617" t="s">
        <v>4729</v>
      </c>
      <c r="B2617" t="str">
        <f>"000905"</f>
        <v>000905</v>
      </c>
      <c r="C2617" t="s">
        <v>5566</v>
      </c>
      <c r="D2617" t="s">
        <v>51</v>
      </c>
      <c r="F2617">
        <v>23578179051</v>
      </c>
      <c r="G2617">
        <v>15705576348</v>
      </c>
      <c r="H2617">
        <v>14154636130</v>
      </c>
      <c r="I2617">
        <v>13390856838</v>
      </c>
      <c r="J2617">
        <v>13712697274</v>
      </c>
      <c r="K2617">
        <v>8991946823</v>
      </c>
      <c r="L2617">
        <v>7261150332</v>
      </c>
      <c r="M2617">
        <v>7502330300</v>
      </c>
      <c r="N2617">
        <v>4779421500</v>
      </c>
      <c r="O2617">
        <v>2995433647</v>
      </c>
      <c r="P2617">
        <v>213</v>
      </c>
      <c r="Q2617" t="s">
        <v>5567</v>
      </c>
    </row>
    <row r="2618" spans="1:17" x14ac:dyDescent="0.3">
      <c r="A2618" t="s">
        <v>4729</v>
      </c>
      <c r="B2618" t="str">
        <f>"000906"</f>
        <v>000906</v>
      </c>
      <c r="C2618" t="s">
        <v>5568</v>
      </c>
      <c r="D2618" t="s">
        <v>128</v>
      </c>
      <c r="F2618">
        <v>178270158783</v>
      </c>
      <c r="G2618">
        <v>108976528635</v>
      </c>
      <c r="H2618">
        <v>73463914006</v>
      </c>
      <c r="I2618">
        <v>63293810081</v>
      </c>
      <c r="J2618">
        <v>48407085357</v>
      </c>
      <c r="K2618">
        <v>32975049916</v>
      </c>
      <c r="L2618">
        <v>21023578554</v>
      </c>
      <c r="M2618">
        <v>22091461381</v>
      </c>
      <c r="N2618">
        <v>23737688971</v>
      </c>
      <c r="O2618">
        <v>24813671076</v>
      </c>
      <c r="P2618">
        <v>238</v>
      </c>
      <c r="Q2618" t="s">
        <v>5569</v>
      </c>
    </row>
    <row r="2619" spans="1:17" x14ac:dyDescent="0.3">
      <c r="A2619" t="s">
        <v>4729</v>
      </c>
      <c r="B2619" t="str">
        <f>"000908"</f>
        <v>000908</v>
      </c>
      <c r="C2619" t="s">
        <v>5570</v>
      </c>
      <c r="D2619" t="s">
        <v>143</v>
      </c>
      <c r="F2619">
        <v>811183491</v>
      </c>
      <c r="G2619">
        <v>877918600</v>
      </c>
      <c r="H2619">
        <v>1344029111</v>
      </c>
      <c r="I2619">
        <v>2585696902</v>
      </c>
      <c r="J2619">
        <v>2583652335</v>
      </c>
      <c r="K2619">
        <v>2640503630</v>
      </c>
      <c r="L2619">
        <v>2459038681</v>
      </c>
      <c r="M2619">
        <v>1957430013</v>
      </c>
      <c r="N2619">
        <v>167307886</v>
      </c>
      <c r="O2619">
        <v>145267113</v>
      </c>
      <c r="P2619">
        <v>186</v>
      </c>
      <c r="Q2619" t="s">
        <v>5571</v>
      </c>
    </row>
    <row r="2620" spans="1:17" x14ac:dyDescent="0.3">
      <c r="A2620" t="s">
        <v>4729</v>
      </c>
      <c r="B2620" t="str">
        <f>"000909"</f>
        <v>000909</v>
      </c>
      <c r="C2620" t="s">
        <v>5572</v>
      </c>
      <c r="D2620" t="s">
        <v>104</v>
      </c>
      <c r="F2620">
        <v>1778106703</v>
      </c>
      <c r="G2620">
        <v>1344919270</v>
      </c>
      <c r="H2620">
        <v>1105128356</v>
      </c>
      <c r="I2620">
        <v>1537403748</v>
      </c>
      <c r="J2620">
        <v>2663951068</v>
      </c>
      <c r="K2620">
        <v>1575020649</v>
      </c>
      <c r="L2620">
        <v>2345681369</v>
      </c>
      <c r="M2620">
        <v>1564141708</v>
      </c>
      <c r="N2620">
        <v>1399460247</v>
      </c>
      <c r="O2620">
        <v>1261497084</v>
      </c>
      <c r="P2620">
        <v>206</v>
      </c>
      <c r="Q2620" t="s">
        <v>5573</v>
      </c>
    </row>
    <row r="2621" spans="1:17" x14ac:dyDescent="0.3">
      <c r="A2621" t="s">
        <v>4729</v>
      </c>
      <c r="B2621" t="str">
        <f>"000910"</f>
        <v>000910</v>
      </c>
      <c r="C2621" t="s">
        <v>5574</v>
      </c>
      <c r="D2621" t="s">
        <v>178</v>
      </c>
      <c r="F2621">
        <v>8750523660</v>
      </c>
      <c r="G2621">
        <v>7264129590</v>
      </c>
      <c r="H2621">
        <v>7298011527</v>
      </c>
      <c r="I2621">
        <v>7261283057</v>
      </c>
      <c r="J2621">
        <v>7048258292</v>
      </c>
      <c r="K2621">
        <v>6531376107</v>
      </c>
      <c r="L2621">
        <v>7676701869</v>
      </c>
      <c r="M2621">
        <v>8439677763</v>
      </c>
      <c r="N2621">
        <v>8189797185</v>
      </c>
      <c r="O2621">
        <v>8312517980</v>
      </c>
      <c r="P2621">
        <v>813</v>
      </c>
      <c r="Q2621" t="s">
        <v>5575</v>
      </c>
    </row>
    <row r="2622" spans="1:17" x14ac:dyDescent="0.3">
      <c r="A2622" t="s">
        <v>4729</v>
      </c>
      <c r="B2622" t="str">
        <f>"000911"</f>
        <v>000911</v>
      </c>
      <c r="C2622" t="s">
        <v>5576</v>
      </c>
      <c r="D2622" t="s">
        <v>445</v>
      </c>
      <c r="F2622">
        <v>3233334867</v>
      </c>
      <c r="G2622">
        <v>3547407202</v>
      </c>
      <c r="H2622">
        <v>3662949804</v>
      </c>
      <c r="I2622">
        <v>3598250680</v>
      </c>
      <c r="J2622">
        <v>2906420912</v>
      </c>
      <c r="K2622">
        <v>3588819665</v>
      </c>
      <c r="L2622">
        <v>3138423357</v>
      </c>
      <c r="M2622">
        <v>2692885367</v>
      </c>
      <c r="N2622">
        <v>4399004527</v>
      </c>
      <c r="O2622">
        <v>3311709131</v>
      </c>
      <c r="P2622">
        <v>334</v>
      </c>
      <c r="Q2622" t="s">
        <v>5577</v>
      </c>
    </row>
    <row r="2623" spans="1:17" x14ac:dyDescent="0.3">
      <c r="A2623" t="s">
        <v>4729</v>
      </c>
      <c r="B2623" t="str">
        <f>"000912"</f>
        <v>000912</v>
      </c>
      <c r="C2623" t="s">
        <v>5578</v>
      </c>
      <c r="D2623" t="s">
        <v>909</v>
      </c>
      <c r="F2623">
        <v>6752856225</v>
      </c>
      <c r="G2623">
        <v>5617952971</v>
      </c>
      <c r="H2623">
        <v>5507203828</v>
      </c>
      <c r="I2623">
        <v>4405400550</v>
      </c>
      <c r="J2623">
        <v>3734773627</v>
      </c>
      <c r="K2623">
        <v>3059174968</v>
      </c>
      <c r="L2623">
        <v>3027805282</v>
      </c>
      <c r="M2623">
        <v>4003543248</v>
      </c>
      <c r="N2623">
        <v>4070809047</v>
      </c>
      <c r="O2623">
        <v>4167930032</v>
      </c>
      <c r="P2623">
        <v>109</v>
      </c>
      <c r="Q2623" t="s">
        <v>5579</v>
      </c>
    </row>
    <row r="2624" spans="1:17" x14ac:dyDescent="0.3">
      <c r="A2624" t="s">
        <v>4729</v>
      </c>
      <c r="B2624" t="str">
        <f>"000913"</f>
        <v>000913</v>
      </c>
      <c r="C2624" t="s">
        <v>5580</v>
      </c>
      <c r="D2624" t="s">
        <v>1656</v>
      </c>
      <c r="F2624">
        <v>4309449518</v>
      </c>
      <c r="G2624">
        <v>3612450165</v>
      </c>
      <c r="H2624">
        <v>3784597110</v>
      </c>
      <c r="I2624">
        <v>3088519363</v>
      </c>
      <c r="J2624">
        <v>2715806356</v>
      </c>
      <c r="K2624">
        <v>2258069979</v>
      </c>
      <c r="L2624">
        <v>2139315109</v>
      </c>
      <c r="M2624">
        <v>2403710163</v>
      </c>
      <c r="N2624">
        <v>3287396827</v>
      </c>
      <c r="O2624">
        <v>3672860157</v>
      </c>
      <c r="P2624">
        <v>176</v>
      </c>
      <c r="Q2624" t="s">
        <v>5581</v>
      </c>
    </row>
    <row r="2625" spans="1:17" x14ac:dyDescent="0.3">
      <c r="A2625" t="s">
        <v>4729</v>
      </c>
      <c r="B2625" t="str">
        <f>"000915"</f>
        <v>000915</v>
      </c>
      <c r="C2625" t="s">
        <v>5582</v>
      </c>
      <c r="D2625" t="s">
        <v>143</v>
      </c>
      <c r="F2625">
        <v>2027141973</v>
      </c>
      <c r="G2625">
        <v>1821033958</v>
      </c>
      <c r="H2625">
        <v>1799947847</v>
      </c>
      <c r="I2625">
        <v>1526231270</v>
      </c>
      <c r="J2625">
        <v>1767233195</v>
      </c>
      <c r="K2625">
        <v>1544725069</v>
      </c>
      <c r="L2625">
        <v>1232966348</v>
      </c>
      <c r="M2625">
        <v>1373956907</v>
      </c>
      <c r="N2625">
        <v>1095341747</v>
      </c>
      <c r="O2625">
        <v>830249955</v>
      </c>
      <c r="P2625">
        <v>647</v>
      </c>
      <c r="Q2625" t="s">
        <v>5583</v>
      </c>
    </row>
    <row r="2626" spans="1:17" x14ac:dyDescent="0.3">
      <c r="A2626" t="s">
        <v>4729</v>
      </c>
      <c r="B2626" t="str">
        <f>"000916"</f>
        <v>000916</v>
      </c>
      <c r="C2626" t="s">
        <v>5584</v>
      </c>
      <c r="K2626">
        <v>1020970750</v>
      </c>
      <c r="L2626">
        <v>932665351.38999999</v>
      </c>
      <c r="M2626">
        <v>709226192.66999996</v>
      </c>
      <c r="N2626">
        <v>664154850.10000002</v>
      </c>
      <c r="O2626">
        <v>631932865.64999998</v>
      </c>
      <c r="P2626">
        <v>27</v>
      </c>
      <c r="Q2626" t="s">
        <v>5585</v>
      </c>
    </row>
    <row r="2627" spans="1:17" x14ac:dyDescent="0.3">
      <c r="A2627" t="s">
        <v>4729</v>
      </c>
      <c r="B2627" t="str">
        <f>"000917"</f>
        <v>000917</v>
      </c>
      <c r="C2627" t="s">
        <v>5586</v>
      </c>
      <c r="D2627" t="s">
        <v>95</v>
      </c>
      <c r="F2627">
        <v>4339684401</v>
      </c>
      <c r="G2627">
        <v>5939941756</v>
      </c>
      <c r="H2627">
        <v>7077023065</v>
      </c>
      <c r="I2627">
        <v>10510706410</v>
      </c>
      <c r="J2627">
        <v>8741482179</v>
      </c>
      <c r="K2627">
        <v>7486392472</v>
      </c>
      <c r="L2627">
        <v>5985348566</v>
      </c>
      <c r="M2627">
        <v>5473876344</v>
      </c>
      <c r="N2627">
        <v>5102784558</v>
      </c>
      <c r="O2627">
        <v>4063675177</v>
      </c>
      <c r="P2627">
        <v>266</v>
      </c>
      <c r="Q2627" t="s">
        <v>5587</v>
      </c>
    </row>
    <row r="2628" spans="1:17" x14ac:dyDescent="0.3">
      <c r="A2628" t="s">
        <v>4729</v>
      </c>
      <c r="B2628" t="str">
        <f>"000918"</f>
        <v>000918</v>
      </c>
      <c r="C2628" t="s">
        <v>5588</v>
      </c>
      <c r="D2628" t="s">
        <v>104</v>
      </c>
      <c r="F2628">
        <v>1373561283</v>
      </c>
      <c r="G2628">
        <v>999918419</v>
      </c>
      <c r="H2628">
        <v>1651980019</v>
      </c>
      <c r="I2628">
        <v>1694158599</v>
      </c>
      <c r="J2628">
        <v>1258734023</v>
      </c>
      <c r="K2628">
        <v>3074342290</v>
      </c>
      <c r="L2628">
        <v>4055654888</v>
      </c>
      <c r="M2628">
        <v>8448838705</v>
      </c>
      <c r="N2628">
        <v>11247790325</v>
      </c>
      <c r="O2628">
        <v>7754489021</v>
      </c>
      <c r="P2628">
        <v>123</v>
      </c>
      <c r="Q2628" t="s">
        <v>5589</v>
      </c>
    </row>
    <row r="2629" spans="1:17" x14ac:dyDescent="0.3">
      <c r="A2629" t="s">
        <v>4729</v>
      </c>
      <c r="B2629" t="str">
        <f>"000919"</f>
        <v>000919</v>
      </c>
      <c r="C2629" t="s">
        <v>5590</v>
      </c>
      <c r="D2629" t="s">
        <v>188</v>
      </c>
      <c r="F2629">
        <v>2808754876</v>
      </c>
      <c r="G2629">
        <v>2503732374</v>
      </c>
      <c r="H2629">
        <v>2534920540</v>
      </c>
      <c r="I2629">
        <v>2899079022</v>
      </c>
      <c r="J2629">
        <v>3191811864</v>
      </c>
      <c r="K2629">
        <v>3578652774</v>
      </c>
      <c r="L2629">
        <v>3221375385</v>
      </c>
      <c r="M2629">
        <v>2771942287</v>
      </c>
      <c r="N2629">
        <v>2605713782</v>
      </c>
      <c r="O2629">
        <v>2304934221</v>
      </c>
      <c r="P2629">
        <v>179</v>
      </c>
      <c r="Q2629" t="s">
        <v>5591</v>
      </c>
    </row>
    <row r="2630" spans="1:17" x14ac:dyDescent="0.3">
      <c r="A2630" t="s">
        <v>4729</v>
      </c>
      <c r="B2630" t="str">
        <f>"000920"</f>
        <v>000920</v>
      </c>
      <c r="C2630" t="s">
        <v>5592</v>
      </c>
      <c r="D2630" t="s">
        <v>33</v>
      </c>
      <c r="F2630">
        <v>1380819409</v>
      </c>
      <c r="G2630">
        <v>1254114953</v>
      </c>
      <c r="H2630">
        <v>1136567496</v>
      </c>
      <c r="I2630">
        <v>1105114407</v>
      </c>
      <c r="J2630">
        <v>1082840821</v>
      </c>
      <c r="K2630">
        <v>1009380053</v>
      </c>
      <c r="L2630">
        <v>904593629</v>
      </c>
      <c r="M2630">
        <v>2062118886</v>
      </c>
      <c r="N2630">
        <v>2284546420</v>
      </c>
      <c r="O2630">
        <v>2210668223</v>
      </c>
      <c r="P2630">
        <v>122</v>
      </c>
      <c r="Q2630" t="s">
        <v>5593</v>
      </c>
    </row>
    <row r="2631" spans="1:17" x14ac:dyDescent="0.3">
      <c r="A2631" t="s">
        <v>4729</v>
      </c>
      <c r="B2631" t="str">
        <f>"000921"</f>
        <v>000921</v>
      </c>
      <c r="C2631" t="s">
        <v>5594</v>
      </c>
      <c r="D2631" t="s">
        <v>1727</v>
      </c>
      <c r="F2631">
        <v>67562603667</v>
      </c>
      <c r="G2631">
        <v>48392870703</v>
      </c>
      <c r="H2631">
        <v>37453043969</v>
      </c>
      <c r="I2631">
        <v>36019598305</v>
      </c>
      <c r="J2631">
        <v>33487590387</v>
      </c>
      <c r="K2631">
        <v>26730219497</v>
      </c>
      <c r="L2631">
        <v>23471602858</v>
      </c>
      <c r="M2631">
        <v>26534420936</v>
      </c>
      <c r="N2631">
        <v>24360021308</v>
      </c>
      <c r="O2631">
        <v>18958915310</v>
      </c>
      <c r="P2631">
        <v>13182</v>
      </c>
      <c r="Q2631" t="s">
        <v>5595</v>
      </c>
    </row>
    <row r="2632" spans="1:17" x14ac:dyDescent="0.3">
      <c r="A2632" t="s">
        <v>4729</v>
      </c>
      <c r="B2632" t="str">
        <f>"000922"</f>
        <v>000922</v>
      </c>
      <c r="C2632" t="s">
        <v>5596</v>
      </c>
      <c r="D2632" t="s">
        <v>1171</v>
      </c>
      <c r="F2632">
        <v>3045636832</v>
      </c>
      <c r="G2632">
        <v>2368753865</v>
      </c>
      <c r="H2632">
        <v>2103171552</v>
      </c>
      <c r="I2632">
        <v>1948037921</v>
      </c>
      <c r="J2632">
        <v>1588159706</v>
      </c>
      <c r="K2632">
        <v>1266494823</v>
      </c>
      <c r="L2632">
        <v>1505026292</v>
      </c>
      <c r="M2632">
        <v>2052091270</v>
      </c>
      <c r="N2632">
        <v>2673892436</v>
      </c>
      <c r="O2632">
        <v>2950473925</v>
      </c>
      <c r="P2632">
        <v>261</v>
      </c>
      <c r="Q2632" t="s">
        <v>5597</v>
      </c>
    </row>
    <row r="2633" spans="1:17" x14ac:dyDescent="0.3">
      <c r="A2633" t="s">
        <v>4729</v>
      </c>
      <c r="B2633" t="str">
        <f>"000923"</f>
        <v>000923</v>
      </c>
      <c r="C2633" t="s">
        <v>5598</v>
      </c>
      <c r="D2633" t="s">
        <v>2376</v>
      </c>
      <c r="F2633">
        <v>6566962236</v>
      </c>
      <c r="G2633">
        <v>5935194423</v>
      </c>
      <c r="H2633">
        <v>5799939574</v>
      </c>
      <c r="I2633">
        <v>4971976124</v>
      </c>
      <c r="J2633">
        <v>5401184628</v>
      </c>
      <c r="K2633">
        <v>260903845</v>
      </c>
      <c r="L2633">
        <v>254851159</v>
      </c>
      <c r="M2633">
        <v>243601280</v>
      </c>
      <c r="N2633">
        <v>372664901</v>
      </c>
      <c r="O2633">
        <v>425989925</v>
      </c>
      <c r="P2633">
        <v>226</v>
      </c>
      <c r="Q2633" t="s">
        <v>5599</v>
      </c>
    </row>
    <row r="2634" spans="1:17" x14ac:dyDescent="0.3">
      <c r="A2634" t="s">
        <v>4729</v>
      </c>
      <c r="B2634" t="str">
        <f>"000925"</f>
        <v>000925</v>
      </c>
      <c r="C2634" t="s">
        <v>5600</v>
      </c>
      <c r="D2634" t="s">
        <v>1012</v>
      </c>
      <c r="F2634">
        <v>2906134678</v>
      </c>
      <c r="G2634">
        <v>2926789948</v>
      </c>
      <c r="H2634">
        <v>2778079943</v>
      </c>
      <c r="I2634">
        <v>2089148767</v>
      </c>
      <c r="J2634">
        <v>2086396396</v>
      </c>
      <c r="K2634">
        <v>1204100151</v>
      </c>
      <c r="L2634">
        <v>1835300990</v>
      </c>
      <c r="M2634">
        <v>1767755638</v>
      </c>
      <c r="N2634">
        <v>1411901028</v>
      </c>
      <c r="O2634">
        <v>1277185975</v>
      </c>
      <c r="P2634">
        <v>188</v>
      </c>
      <c r="Q2634" t="s">
        <v>5601</v>
      </c>
    </row>
    <row r="2635" spans="1:17" x14ac:dyDescent="0.3">
      <c r="A2635" t="s">
        <v>4729</v>
      </c>
      <c r="B2635" t="str">
        <f>"000926"</f>
        <v>000926</v>
      </c>
      <c r="C2635" t="s">
        <v>5602</v>
      </c>
      <c r="D2635" t="s">
        <v>104</v>
      </c>
      <c r="F2635">
        <v>12543502446</v>
      </c>
      <c r="G2635">
        <v>7501140799</v>
      </c>
      <c r="H2635">
        <v>9566158361</v>
      </c>
      <c r="I2635">
        <v>10735228263</v>
      </c>
      <c r="J2635">
        <v>11658511149</v>
      </c>
      <c r="K2635">
        <v>10484662040</v>
      </c>
      <c r="L2635">
        <v>8028869707</v>
      </c>
      <c r="M2635">
        <v>6686444502</v>
      </c>
      <c r="N2635">
        <v>7662682407</v>
      </c>
      <c r="O2635">
        <v>6244510925</v>
      </c>
      <c r="P2635">
        <v>239</v>
      </c>
      <c r="Q2635" t="s">
        <v>5603</v>
      </c>
    </row>
    <row r="2636" spans="1:17" x14ac:dyDescent="0.3">
      <c r="A2636" t="s">
        <v>4729</v>
      </c>
      <c r="B2636" t="str">
        <f>"000927"</f>
        <v>000927</v>
      </c>
      <c r="C2636" t="s">
        <v>5604</v>
      </c>
      <c r="D2636" t="s">
        <v>247</v>
      </c>
      <c r="F2636">
        <v>59144505769</v>
      </c>
      <c r="G2636">
        <v>44466876508</v>
      </c>
      <c r="H2636">
        <v>429072815</v>
      </c>
      <c r="I2636">
        <v>1124838611</v>
      </c>
      <c r="J2636">
        <v>1451371698</v>
      </c>
      <c r="K2636">
        <v>2025464647</v>
      </c>
      <c r="L2636">
        <v>3404268853</v>
      </c>
      <c r="M2636">
        <v>3231643221</v>
      </c>
      <c r="N2636">
        <v>5623745920</v>
      </c>
      <c r="O2636">
        <v>7501953477</v>
      </c>
      <c r="P2636">
        <v>131</v>
      </c>
      <c r="Q2636" t="s">
        <v>5605</v>
      </c>
    </row>
    <row r="2637" spans="1:17" x14ac:dyDescent="0.3">
      <c r="A2637" t="s">
        <v>4729</v>
      </c>
      <c r="B2637" t="str">
        <f>"000928"</f>
        <v>000928</v>
      </c>
      <c r="C2637" t="s">
        <v>5606</v>
      </c>
      <c r="D2637" t="s">
        <v>1893</v>
      </c>
      <c r="F2637">
        <v>15862341376</v>
      </c>
      <c r="G2637">
        <v>14827488855</v>
      </c>
      <c r="H2637">
        <v>13414075952</v>
      </c>
      <c r="I2637">
        <v>8366826199</v>
      </c>
      <c r="J2637">
        <v>7859237902</v>
      </c>
      <c r="K2637">
        <v>9443733860</v>
      </c>
      <c r="L2637">
        <v>9751282014</v>
      </c>
      <c r="M2637">
        <v>10653652657</v>
      </c>
      <c r="N2637">
        <v>1436229622</v>
      </c>
      <c r="O2637">
        <v>1500975258</v>
      </c>
      <c r="P2637">
        <v>271</v>
      </c>
      <c r="Q2637" t="s">
        <v>5607</v>
      </c>
    </row>
    <row r="2638" spans="1:17" x14ac:dyDescent="0.3">
      <c r="A2638" t="s">
        <v>4729</v>
      </c>
      <c r="B2638" t="str">
        <f>"000929"</f>
        <v>000929</v>
      </c>
      <c r="C2638" t="s">
        <v>5608</v>
      </c>
      <c r="D2638" t="s">
        <v>319</v>
      </c>
      <c r="F2638">
        <v>308542695</v>
      </c>
      <c r="G2638">
        <v>306628890</v>
      </c>
      <c r="H2638">
        <v>455471710</v>
      </c>
      <c r="I2638">
        <v>508598281</v>
      </c>
      <c r="J2638">
        <v>596118027</v>
      </c>
      <c r="K2638">
        <v>677469188</v>
      </c>
      <c r="L2638">
        <v>701872047</v>
      </c>
      <c r="M2638">
        <v>795714309</v>
      </c>
      <c r="N2638">
        <v>887678318</v>
      </c>
      <c r="O2638">
        <v>816439980</v>
      </c>
      <c r="P2638">
        <v>144</v>
      </c>
      <c r="Q2638" t="s">
        <v>5609</v>
      </c>
    </row>
    <row r="2639" spans="1:17" x14ac:dyDescent="0.3">
      <c r="A2639" t="s">
        <v>4729</v>
      </c>
      <c r="B2639" t="str">
        <f>"000930"</f>
        <v>000930</v>
      </c>
      <c r="C2639" t="s">
        <v>5610</v>
      </c>
      <c r="D2639" t="s">
        <v>445</v>
      </c>
      <c r="F2639">
        <v>23468553116</v>
      </c>
      <c r="G2639">
        <v>19909350659</v>
      </c>
      <c r="H2639">
        <v>19471955122</v>
      </c>
      <c r="I2639">
        <v>17703930047</v>
      </c>
      <c r="J2639">
        <v>6275914087</v>
      </c>
      <c r="K2639">
        <v>5603374519</v>
      </c>
      <c r="L2639">
        <v>6457283435</v>
      </c>
      <c r="M2639">
        <v>7153196657</v>
      </c>
      <c r="N2639">
        <v>7339863857</v>
      </c>
      <c r="O2639">
        <v>7730371837</v>
      </c>
      <c r="P2639">
        <v>378</v>
      </c>
      <c r="Q2639" t="s">
        <v>5611</v>
      </c>
    </row>
    <row r="2640" spans="1:17" x14ac:dyDescent="0.3">
      <c r="A2640" t="s">
        <v>4729</v>
      </c>
      <c r="B2640" t="str">
        <f>"000931"</f>
        <v>000931</v>
      </c>
      <c r="C2640" t="s">
        <v>5612</v>
      </c>
      <c r="D2640" t="s">
        <v>143</v>
      </c>
      <c r="F2640">
        <v>1955834389</v>
      </c>
      <c r="G2640">
        <v>1789615901</v>
      </c>
      <c r="H2640">
        <v>2135149043</v>
      </c>
      <c r="I2640">
        <v>1773506805</v>
      </c>
      <c r="J2640">
        <v>1740701055</v>
      </c>
      <c r="K2640">
        <v>1478567357</v>
      </c>
      <c r="L2640">
        <v>1078026320</v>
      </c>
      <c r="M2640">
        <v>3034196926</v>
      </c>
      <c r="N2640">
        <v>3605177851</v>
      </c>
      <c r="O2640">
        <v>3270537022</v>
      </c>
      <c r="P2640">
        <v>142</v>
      </c>
      <c r="Q2640" t="s">
        <v>5613</v>
      </c>
    </row>
    <row r="2641" spans="1:17" x14ac:dyDescent="0.3">
      <c r="A2641" t="s">
        <v>4729</v>
      </c>
      <c r="B2641" t="str">
        <f>"000932"</f>
        <v>000932</v>
      </c>
      <c r="C2641" t="s">
        <v>5614</v>
      </c>
      <c r="D2641" t="s">
        <v>38</v>
      </c>
      <c r="F2641">
        <v>171175965546</v>
      </c>
      <c r="G2641">
        <v>116275902865</v>
      </c>
      <c r="H2641">
        <v>107115634136</v>
      </c>
      <c r="I2641">
        <v>91178778281</v>
      </c>
      <c r="J2641">
        <v>76511413640</v>
      </c>
      <c r="K2641">
        <v>49811470594</v>
      </c>
      <c r="L2641">
        <v>41405527829</v>
      </c>
      <c r="M2641">
        <v>55599736776</v>
      </c>
      <c r="N2641">
        <v>59652066823</v>
      </c>
      <c r="O2641">
        <v>59256134150</v>
      </c>
      <c r="P2641">
        <v>1039</v>
      </c>
      <c r="Q2641" t="s">
        <v>5615</v>
      </c>
    </row>
    <row r="2642" spans="1:17" x14ac:dyDescent="0.3">
      <c r="A2642" t="s">
        <v>4729</v>
      </c>
      <c r="B2642" t="str">
        <f>"000933"</f>
        <v>000933</v>
      </c>
      <c r="C2642" t="s">
        <v>5616</v>
      </c>
      <c r="D2642" t="s">
        <v>504</v>
      </c>
      <c r="F2642">
        <v>34451566770</v>
      </c>
      <c r="G2642">
        <v>18809234330</v>
      </c>
      <c r="H2642">
        <v>17617836735</v>
      </c>
      <c r="I2642">
        <v>18834778176</v>
      </c>
      <c r="J2642">
        <v>18899154720</v>
      </c>
      <c r="K2642">
        <v>16902315952</v>
      </c>
      <c r="L2642">
        <v>17558221900</v>
      </c>
      <c r="M2642">
        <v>23967115628</v>
      </c>
      <c r="N2642">
        <v>25687202331</v>
      </c>
      <c r="O2642">
        <v>27984998674</v>
      </c>
      <c r="P2642">
        <v>461</v>
      </c>
      <c r="Q2642" t="s">
        <v>5617</v>
      </c>
    </row>
    <row r="2643" spans="1:17" x14ac:dyDescent="0.3">
      <c r="A2643" t="s">
        <v>4729</v>
      </c>
      <c r="B2643" t="str">
        <f>"000935"</f>
        <v>000935</v>
      </c>
      <c r="C2643" t="s">
        <v>5618</v>
      </c>
      <c r="D2643" t="s">
        <v>731</v>
      </c>
      <c r="F2643">
        <v>1223803218</v>
      </c>
      <c r="G2643">
        <v>1472723613</v>
      </c>
      <c r="H2643">
        <v>1810460872</v>
      </c>
      <c r="I2643">
        <v>1939574216</v>
      </c>
      <c r="J2643">
        <v>2747964465</v>
      </c>
      <c r="K2643">
        <v>2237958272</v>
      </c>
      <c r="L2643">
        <v>1974566291</v>
      </c>
      <c r="M2643">
        <v>1996450359</v>
      </c>
      <c r="N2643">
        <v>2017156788</v>
      </c>
      <c r="O2643">
        <v>1864904027</v>
      </c>
      <c r="P2643">
        <v>230</v>
      </c>
      <c r="Q2643" t="s">
        <v>5619</v>
      </c>
    </row>
    <row r="2644" spans="1:17" x14ac:dyDescent="0.3">
      <c r="A2644" t="s">
        <v>4729</v>
      </c>
      <c r="B2644" t="str">
        <f>"000936"</f>
        <v>000936</v>
      </c>
      <c r="C2644" t="s">
        <v>5620</v>
      </c>
      <c r="D2644" t="s">
        <v>2731</v>
      </c>
      <c r="F2644">
        <v>2418019870</v>
      </c>
      <c r="G2644">
        <v>2355558721</v>
      </c>
      <c r="H2644">
        <v>3186874679</v>
      </c>
      <c r="I2644">
        <v>2932193943</v>
      </c>
      <c r="J2644">
        <v>2842387322</v>
      </c>
      <c r="K2644">
        <v>2125321282</v>
      </c>
      <c r="L2644">
        <v>2012954086</v>
      </c>
      <c r="M2644">
        <v>2066223016</v>
      </c>
      <c r="N2644">
        <v>2213510326</v>
      </c>
      <c r="O2644">
        <v>2650851365</v>
      </c>
      <c r="P2644">
        <v>226</v>
      </c>
      <c r="Q2644" t="s">
        <v>5621</v>
      </c>
    </row>
    <row r="2645" spans="1:17" x14ac:dyDescent="0.3">
      <c r="A2645" t="s">
        <v>4729</v>
      </c>
      <c r="B2645" t="str">
        <f>"000937"</f>
        <v>000937</v>
      </c>
      <c r="C2645" t="s">
        <v>5622</v>
      </c>
      <c r="D2645" t="s">
        <v>298</v>
      </c>
      <c r="F2645">
        <v>31424241158</v>
      </c>
      <c r="G2645">
        <v>20642554380</v>
      </c>
      <c r="H2645">
        <v>21740054436</v>
      </c>
      <c r="I2645">
        <v>21458411716</v>
      </c>
      <c r="J2645">
        <v>20381753946</v>
      </c>
      <c r="K2645">
        <v>13635659044</v>
      </c>
      <c r="L2645">
        <v>12537010223</v>
      </c>
      <c r="M2645">
        <v>18256846651</v>
      </c>
      <c r="N2645">
        <v>25833698644</v>
      </c>
      <c r="O2645">
        <v>30072395138</v>
      </c>
      <c r="P2645">
        <v>350</v>
      </c>
      <c r="Q2645" t="s">
        <v>5623</v>
      </c>
    </row>
    <row r="2646" spans="1:17" x14ac:dyDescent="0.3">
      <c r="A2646" t="s">
        <v>4729</v>
      </c>
      <c r="B2646" t="str">
        <f>"000938"</f>
        <v>000938</v>
      </c>
      <c r="C2646" t="s">
        <v>5624</v>
      </c>
      <c r="D2646" t="s">
        <v>316</v>
      </c>
      <c r="F2646">
        <v>67637538539</v>
      </c>
      <c r="G2646">
        <v>59704894413</v>
      </c>
      <c r="H2646">
        <v>54099057665</v>
      </c>
      <c r="I2646">
        <v>48305785917</v>
      </c>
      <c r="J2646">
        <v>39071040894</v>
      </c>
      <c r="K2646">
        <v>27709709064</v>
      </c>
      <c r="L2646">
        <v>13349904816</v>
      </c>
      <c r="M2646">
        <v>11144913830</v>
      </c>
      <c r="N2646">
        <v>8520037292</v>
      </c>
      <c r="O2646">
        <v>6533823432</v>
      </c>
      <c r="P2646">
        <v>3894</v>
      </c>
      <c r="Q2646" t="s">
        <v>5625</v>
      </c>
    </row>
    <row r="2647" spans="1:17" x14ac:dyDescent="0.3">
      <c r="A2647" t="s">
        <v>4729</v>
      </c>
      <c r="B2647" t="str">
        <f>"000939"</f>
        <v>000939</v>
      </c>
      <c r="C2647" t="s">
        <v>5626</v>
      </c>
      <c r="H2647">
        <v>2662598148</v>
      </c>
      <c r="I2647">
        <v>2404119732</v>
      </c>
      <c r="J2647">
        <v>5445743306</v>
      </c>
      <c r="K2647">
        <v>5000715469</v>
      </c>
      <c r="L2647">
        <v>3495676278</v>
      </c>
      <c r="M2647">
        <v>2848725133</v>
      </c>
      <c r="N2647">
        <v>2208832364</v>
      </c>
      <c r="O2647">
        <v>2639197122</v>
      </c>
      <c r="P2647">
        <v>61</v>
      </c>
      <c r="Q2647" t="s">
        <v>5627</v>
      </c>
    </row>
    <row r="2648" spans="1:17" x14ac:dyDescent="0.3">
      <c r="A2648" t="s">
        <v>4729</v>
      </c>
      <c r="B2648" t="str">
        <f>"000948"</f>
        <v>000948</v>
      </c>
      <c r="C2648" t="s">
        <v>5628</v>
      </c>
      <c r="D2648" t="s">
        <v>945</v>
      </c>
      <c r="F2648">
        <v>5592709013</v>
      </c>
      <c r="G2648">
        <v>4239438173</v>
      </c>
      <c r="H2648">
        <v>3303367428</v>
      </c>
      <c r="I2648">
        <v>2779803154</v>
      </c>
      <c r="J2648">
        <v>2315809791</v>
      </c>
      <c r="K2648">
        <v>2157812326</v>
      </c>
      <c r="L2648">
        <v>2138014376</v>
      </c>
      <c r="M2648">
        <v>1828726399</v>
      </c>
      <c r="N2648">
        <v>2156192464</v>
      </c>
      <c r="O2648">
        <v>1826566611</v>
      </c>
      <c r="P2648">
        <v>213</v>
      </c>
      <c r="Q2648" t="s">
        <v>5629</v>
      </c>
    </row>
    <row r="2649" spans="1:17" x14ac:dyDescent="0.3">
      <c r="A2649" t="s">
        <v>4729</v>
      </c>
      <c r="B2649" t="str">
        <f>"000949"</f>
        <v>000949</v>
      </c>
      <c r="C2649" t="s">
        <v>5630</v>
      </c>
      <c r="D2649" t="s">
        <v>5631</v>
      </c>
      <c r="F2649">
        <v>8740494707</v>
      </c>
      <c r="G2649">
        <v>4476509577</v>
      </c>
      <c r="H2649">
        <v>4804152548</v>
      </c>
      <c r="I2649">
        <v>4494184746</v>
      </c>
      <c r="J2649">
        <v>4107419763</v>
      </c>
      <c r="K2649">
        <v>3678365667</v>
      </c>
      <c r="L2649">
        <v>3066257628</v>
      </c>
      <c r="M2649">
        <v>2840804024</v>
      </c>
      <c r="N2649">
        <v>3269453469</v>
      </c>
      <c r="O2649">
        <v>3410659755</v>
      </c>
      <c r="P2649">
        <v>157</v>
      </c>
      <c r="Q2649" t="s">
        <v>5632</v>
      </c>
    </row>
    <row r="2650" spans="1:17" x14ac:dyDescent="0.3">
      <c r="A2650" t="s">
        <v>4729</v>
      </c>
      <c r="B2650" t="str">
        <f>"000950"</f>
        <v>000950</v>
      </c>
      <c r="C2650" t="s">
        <v>5633</v>
      </c>
      <c r="D2650" t="s">
        <v>125</v>
      </c>
      <c r="F2650">
        <v>62520755302</v>
      </c>
      <c r="G2650">
        <v>45219570786</v>
      </c>
      <c r="H2650">
        <v>33843821481</v>
      </c>
      <c r="I2650">
        <v>25802739160</v>
      </c>
      <c r="J2650">
        <v>23044600749</v>
      </c>
      <c r="K2650">
        <v>23415694769</v>
      </c>
      <c r="L2650">
        <v>3326469749</v>
      </c>
      <c r="M2650">
        <v>2968713282</v>
      </c>
      <c r="N2650">
        <v>3437228450</v>
      </c>
      <c r="O2650">
        <v>3322656520</v>
      </c>
      <c r="P2650">
        <v>145</v>
      </c>
      <c r="Q2650" t="s">
        <v>5634</v>
      </c>
    </row>
    <row r="2651" spans="1:17" x14ac:dyDescent="0.3">
      <c r="A2651" t="s">
        <v>4729</v>
      </c>
      <c r="B2651" t="str">
        <f>"000951"</f>
        <v>000951</v>
      </c>
      <c r="C2651" t="s">
        <v>5635</v>
      </c>
      <c r="D2651" t="s">
        <v>27</v>
      </c>
      <c r="F2651">
        <v>56099174003</v>
      </c>
      <c r="G2651">
        <v>59937578779</v>
      </c>
      <c r="H2651">
        <v>39842820013</v>
      </c>
      <c r="I2651">
        <v>40377879404</v>
      </c>
      <c r="J2651">
        <v>37310404648</v>
      </c>
      <c r="K2651">
        <v>21118994688</v>
      </c>
      <c r="L2651">
        <v>19363657641</v>
      </c>
      <c r="M2651">
        <v>23865956537</v>
      </c>
      <c r="N2651">
        <v>21453512363</v>
      </c>
      <c r="O2651">
        <v>19369538133</v>
      </c>
      <c r="P2651">
        <v>856</v>
      </c>
      <c r="Q2651" t="s">
        <v>5636</v>
      </c>
    </row>
    <row r="2652" spans="1:17" x14ac:dyDescent="0.3">
      <c r="A2652" t="s">
        <v>4729</v>
      </c>
      <c r="B2652" t="str">
        <f>"000952"</f>
        <v>000952</v>
      </c>
      <c r="C2652" t="s">
        <v>5637</v>
      </c>
      <c r="D2652" t="s">
        <v>496</v>
      </c>
      <c r="F2652">
        <v>837106649</v>
      </c>
      <c r="G2652">
        <v>688169324</v>
      </c>
      <c r="H2652">
        <v>731340518</v>
      </c>
      <c r="I2652">
        <v>843830942</v>
      </c>
      <c r="J2652">
        <v>801556326</v>
      </c>
      <c r="K2652">
        <v>714723953</v>
      </c>
      <c r="L2652">
        <v>560355472</v>
      </c>
      <c r="M2652">
        <v>485858038</v>
      </c>
      <c r="N2652">
        <v>487080366</v>
      </c>
      <c r="O2652">
        <v>394156326</v>
      </c>
      <c r="P2652">
        <v>169</v>
      </c>
      <c r="Q2652" t="s">
        <v>5638</v>
      </c>
    </row>
    <row r="2653" spans="1:17" x14ac:dyDescent="0.3">
      <c r="A2653" t="s">
        <v>4729</v>
      </c>
      <c r="B2653" t="str">
        <f>"000953"</f>
        <v>000953</v>
      </c>
      <c r="C2653" t="s">
        <v>5639</v>
      </c>
      <c r="D2653" t="s">
        <v>909</v>
      </c>
      <c r="F2653">
        <v>162273040</v>
      </c>
      <c r="G2653">
        <v>243512664</v>
      </c>
      <c r="H2653">
        <v>138660130</v>
      </c>
      <c r="I2653">
        <v>231109273</v>
      </c>
      <c r="J2653">
        <v>220881635</v>
      </c>
      <c r="K2653">
        <v>398327702</v>
      </c>
      <c r="L2653">
        <v>622898214</v>
      </c>
      <c r="M2653">
        <v>555288426</v>
      </c>
      <c r="N2653">
        <v>792106192</v>
      </c>
      <c r="O2653">
        <v>914916083</v>
      </c>
      <c r="P2653">
        <v>90</v>
      </c>
      <c r="Q2653" t="s">
        <v>5640</v>
      </c>
    </row>
    <row r="2654" spans="1:17" x14ac:dyDescent="0.3">
      <c r="A2654" t="s">
        <v>4729</v>
      </c>
      <c r="B2654" t="str">
        <f>"000955"</f>
        <v>000955</v>
      </c>
      <c r="C2654" t="s">
        <v>5641</v>
      </c>
      <c r="D2654" t="s">
        <v>366</v>
      </c>
      <c r="F2654">
        <v>1016691477</v>
      </c>
      <c r="G2654">
        <v>1379238129</v>
      </c>
      <c r="H2654">
        <v>733633958</v>
      </c>
      <c r="I2654">
        <v>742759556</v>
      </c>
      <c r="J2654">
        <v>631643717</v>
      </c>
      <c r="K2654">
        <v>486623599</v>
      </c>
      <c r="L2654">
        <v>303235248</v>
      </c>
      <c r="M2654">
        <v>259903577</v>
      </c>
      <c r="N2654">
        <v>226142926</v>
      </c>
      <c r="O2654">
        <v>227640453</v>
      </c>
      <c r="P2654">
        <v>241</v>
      </c>
      <c r="Q2654" t="s">
        <v>5642</v>
      </c>
    </row>
    <row r="2655" spans="1:17" x14ac:dyDescent="0.3">
      <c r="A2655" t="s">
        <v>4729</v>
      </c>
      <c r="B2655" t="str">
        <f>"000957"</f>
        <v>000957</v>
      </c>
      <c r="C2655" t="s">
        <v>5643</v>
      </c>
      <c r="D2655" t="s">
        <v>153</v>
      </c>
      <c r="F2655">
        <v>4586634006</v>
      </c>
      <c r="G2655">
        <v>4407596310</v>
      </c>
      <c r="H2655">
        <v>6741281369</v>
      </c>
      <c r="I2655">
        <v>6078590591</v>
      </c>
      <c r="J2655">
        <v>7851579165</v>
      </c>
      <c r="K2655">
        <v>9257190233</v>
      </c>
      <c r="L2655">
        <v>7113975873</v>
      </c>
      <c r="M2655">
        <v>3611978525</v>
      </c>
      <c r="N2655">
        <v>3216708137</v>
      </c>
      <c r="O2655">
        <v>2868380721</v>
      </c>
      <c r="P2655">
        <v>227</v>
      </c>
      <c r="Q2655" t="s">
        <v>5644</v>
      </c>
    </row>
    <row r="2656" spans="1:17" x14ac:dyDescent="0.3">
      <c r="A2656" t="s">
        <v>4729</v>
      </c>
      <c r="B2656" t="str">
        <f>"000958"</f>
        <v>000958</v>
      </c>
      <c r="C2656" t="s">
        <v>5645</v>
      </c>
      <c r="D2656" t="s">
        <v>41</v>
      </c>
      <c r="F2656">
        <v>6572085949</v>
      </c>
      <c r="G2656">
        <v>10300120542</v>
      </c>
      <c r="H2656">
        <v>8492676403</v>
      </c>
      <c r="I2656">
        <v>2958825739</v>
      </c>
      <c r="J2656">
        <v>2524131205</v>
      </c>
      <c r="K2656">
        <v>2380834754</v>
      </c>
      <c r="L2656">
        <v>2560409263</v>
      </c>
      <c r="M2656">
        <v>777743599</v>
      </c>
      <c r="N2656">
        <v>727775135</v>
      </c>
      <c r="O2656">
        <v>857412607</v>
      </c>
      <c r="P2656">
        <v>162</v>
      </c>
      <c r="Q2656" t="s">
        <v>5646</v>
      </c>
    </row>
    <row r="2657" spans="1:17" x14ac:dyDescent="0.3">
      <c r="A2657" t="s">
        <v>4729</v>
      </c>
      <c r="B2657" t="str">
        <f>"000959"</f>
        <v>000959</v>
      </c>
      <c r="C2657" t="s">
        <v>5647</v>
      </c>
      <c r="D2657" t="s">
        <v>38</v>
      </c>
      <c r="F2657">
        <v>134034486136</v>
      </c>
      <c r="G2657">
        <v>79951181948</v>
      </c>
      <c r="H2657">
        <v>69151432692</v>
      </c>
      <c r="I2657">
        <v>65776660539</v>
      </c>
      <c r="J2657">
        <v>60250154291</v>
      </c>
      <c r="K2657">
        <v>41850407993</v>
      </c>
      <c r="L2657">
        <v>17843232849</v>
      </c>
      <c r="M2657">
        <v>23985250721</v>
      </c>
      <c r="N2657">
        <v>9250190793</v>
      </c>
      <c r="O2657">
        <v>10103382167</v>
      </c>
      <c r="P2657">
        <v>254</v>
      </c>
      <c r="Q2657" t="s">
        <v>5648</v>
      </c>
    </row>
    <row r="2658" spans="1:17" x14ac:dyDescent="0.3">
      <c r="A2658" t="s">
        <v>4729</v>
      </c>
      <c r="B2658" t="str">
        <f>"000960"</f>
        <v>000960</v>
      </c>
      <c r="C2658" t="s">
        <v>5649</v>
      </c>
      <c r="D2658" t="s">
        <v>636</v>
      </c>
      <c r="F2658">
        <v>53844324139</v>
      </c>
      <c r="G2658">
        <v>44795277937</v>
      </c>
      <c r="H2658">
        <v>42887232440</v>
      </c>
      <c r="I2658">
        <v>39601073385</v>
      </c>
      <c r="J2658">
        <v>34410168632</v>
      </c>
      <c r="K2658">
        <v>33429059137</v>
      </c>
      <c r="L2658">
        <v>31079198293</v>
      </c>
      <c r="M2658">
        <v>26133649861</v>
      </c>
      <c r="N2658">
        <v>21921769773</v>
      </c>
      <c r="O2658">
        <v>16268432099</v>
      </c>
      <c r="P2658">
        <v>356</v>
      </c>
      <c r="Q2658" t="s">
        <v>5650</v>
      </c>
    </row>
    <row r="2659" spans="1:17" x14ac:dyDescent="0.3">
      <c r="A2659" t="s">
        <v>4729</v>
      </c>
      <c r="B2659" t="str">
        <f>"000961"</f>
        <v>000961</v>
      </c>
      <c r="C2659" t="s">
        <v>5651</v>
      </c>
      <c r="D2659" t="s">
        <v>104</v>
      </c>
      <c r="F2659">
        <v>79210505938</v>
      </c>
      <c r="G2659">
        <v>78600848307</v>
      </c>
      <c r="H2659">
        <v>71830786061</v>
      </c>
      <c r="I2659">
        <v>40110125872</v>
      </c>
      <c r="J2659">
        <v>30552327467</v>
      </c>
      <c r="K2659">
        <v>34439585805</v>
      </c>
      <c r="L2659">
        <v>20449655222</v>
      </c>
      <c r="M2659">
        <v>21792094179</v>
      </c>
      <c r="N2659">
        <v>18326408443</v>
      </c>
      <c r="O2659">
        <v>13034564226</v>
      </c>
      <c r="P2659">
        <v>898</v>
      </c>
      <c r="Q2659" t="s">
        <v>5652</v>
      </c>
    </row>
    <row r="2660" spans="1:17" x14ac:dyDescent="0.3">
      <c r="A2660" t="s">
        <v>4729</v>
      </c>
      <c r="B2660" t="str">
        <f>"000962"</f>
        <v>000962</v>
      </c>
      <c r="C2660" t="s">
        <v>5653</v>
      </c>
      <c r="D2660" t="s">
        <v>636</v>
      </c>
      <c r="F2660">
        <v>794733397</v>
      </c>
      <c r="G2660">
        <v>676442242</v>
      </c>
      <c r="H2660">
        <v>601068723</v>
      </c>
      <c r="I2660">
        <v>1095458920</v>
      </c>
      <c r="J2660">
        <v>945074614</v>
      </c>
      <c r="K2660">
        <v>871137228</v>
      </c>
      <c r="L2660">
        <v>1081011526</v>
      </c>
      <c r="M2660">
        <v>2452595902</v>
      </c>
      <c r="N2660">
        <v>2873430701</v>
      </c>
      <c r="O2660">
        <v>2248490286</v>
      </c>
      <c r="P2660">
        <v>131</v>
      </c>
      <c r="Q2660" t="s">
        <v>5654</v>
      </c>
    </row>
    <row r="2661" spans="1:17" x14ac:dyDescent="0.3">
      <c r="A2661" t="s">
        <v>4729</v>
      </c>
      <c r="B2661" t="str">
        <f>"000963"</f>
        <v>000963</v>
      </c>
      <c r="C2661" t="s">
        <v>5655</v>
      </c>
      <c r="D2661" t="s">
        <v>143</v>
      </c>
      <c r="F2661">
        <v>34563301234</v>
      </c>
      <c r="G2661">
        <v>33683058760</v>
      </c>
      <c r="H2661">
        <v>35445698216</v>
      </c>
      <c r="I2661">
        <v>30663374326</v>
      </c>
      <c r="J2661">
        <v>27831823148</v>
      </c>
      <c r="K2661">
        <v>25379667503</v>
      </c>
      <c r="L2661">
        <v>21727383494</v>
      </c>
      <c r="M2661">
        <v>18947379095</v>
      </c>
      <c r="N2661">
        <v>16717986447</v>
      </c>
      <c r="O2661">
        <v>14579230375</v>
      </c>
      <c r="P2661">
        <v>59262</v>
      </c>
      <c r="Q2661" t="s">
        <v>5656</v>
      </c>
    </row>
    <row r="2662" spans="1:17" x14ac:dyDescent="0.3">
      <c r="A2662" t="s">
        <v>4729</v>
      </c>
      <c r="B2662" t="str">
        <f>"000965"</f>
        <v>000965</v>
      </c>
      <c r="C2662" t="s">
        <v>5657</v>
      </c>
      <c r="D2662" t="s">
        <v>104</v>
      </c>
      <c r="F2662">
        <v>2540236606</v>
      </c>
      <c r="G2662">
        <v>819730385</v>
      </c>
      <c r="H2662">
        <v>1216110976</v>
      </c>
      <c r="I2662">
        <v>2289674253</v>
      </c>
      <c r="J2662">
        <v>1846068700</v>
      </c>
      <c r="K2662">
        <v>1654884216</v>
      </c>
      <c r="L2662">
        <v>1306307370</v>
      </c>
      <c r="M2662">
        <v>1579597458</v>
      </c>
      <c r="N2662">
        <v>872186617</v>
      </c>
      <c r="O2662">
        <v>1105881919</v>
      </c>
      <c r="P2662">
        <v>116</v>
      </c>
      <c r="Q2662" t="s">
        <v>5658</v>
      </c>
    </row>
    <row r="2663" spans="1:17" x14ac:dyDescent="0.3">
      <c r="A2663" t="s">
        <v>4729</v>
      </c>
      <c r="B2663" t="str">
        <f>"000966"</f>
        <v>000966</v>
      </c>
      <c r="C2663" t="s">
        <v>5659</v>
      </c>
      <c r="D2663" t="s">
        <v>41</v>
      </c>
      <c r="F2663">
        <v>12163965739</v>
      </c>
      <c r="G2663">
        <v>5722155055</v>
      </c>
      <c r="H2663">
        <v>7366107380</v>
      </c>
      <c r="I2663">
        <v>6562537391</v>
      </c>
      <c r="J2663">
        <v>5464035313</v>
      </c>
      <c r="K2663">
        <v>5377701683</v>
      </c>
      <c r="L2663">
        <v>6121266714</v>
      </c>
      <c r="M2663">
        <v>6595822151</v>
      </c>
      <c r="N2663">
        <v>7575227804</v>
      </c>
      <c r="O2663">
        <v>7177884446</v>
      </c>
      <c r="P2663">
        <v>398</v>
      </c>
      <c r="Q2663" t="s">
        <v>5660</v>
      </c>
    </row>
    <row r="2664" spans="1:17" x14ac:dyDescent="0.3">
      <c r="A2664" t="s">
        <v>4729</v>
      </c>
      <c r="B2664" t="str">
        <f>"000967"</f>
        <v>000967</v>
      </c>
      <c r="C2664" t="s">
        <v>5661</v>
      </c>
      <c r="D2664" t="s">
        <v>1070</v>
      </c>
      <c r="F2664">
        <v>11813537444</v>
      </c>
      <c r="G2664">
        <v>14332025075</v>
      </c>
      <c r="H2664">
        <v>12695858666</v>
      </c>
      <c r="I2664">
        <v>13044761115</v>
      </c>
      <c r="J2664">
        <v>4898388996</v>
      </c>
      <c r="K2664">
        <v>3407198360</v>
      </c>
      <c r="L2664">
        <v>3042602740</v>
      </c>
      <c r="M2664">
        <v>3019070633</v>
      </c>
      <c r="N2664">
        <v>2705246266</v>
      </c>
      <c r="O2664">
        <v>2576424719</v>
      </c>
      <c r="P2664">
        <v>329</v>
      </c>
      <c r="Q2664" t="s">
        <v>5662</v>
      </c>
    </row>
    <row r="2665" spans="1:17" x14ac:dyDescent="0.3">
      <c r="A2665" t="s">
        <v>4729</v>
      </c>
      <c r="B2665" t="str">
        <f>"000968"</f>
        <v>000968</v>
      </c>
      <c r="C2665" t="s">
        <v>5663</v>
      </c>
      <c r="D2665" t="s">
        <v>1541</v>
      </c>
      <c r="F2665">
        <v>1977632342</v>
      </c>
      <c r="G2665">
        <v>1440988099</v>
      </c>
      <c r="H2665">
        <v>1886941951</v>
      </c>
      <c r="I2665">
        <v>2333339560</v>
      </c>
      <c r="J2665">
        <v>1903719492</v>
      </c>
      <c r="K2665">
        <v>1250955624</v>
      </c>
      <c r="L2665">
        <v>1654837142</v>
      </c>
      <c r="M2665">
        <v>1723579529</v>
      </c>
      <c r="N2665">
        <v>2085651675</v>
      </c>
      <c r="O2665">
        <v>3312312707</v>
      </c>
      <c r="P2665">
        <v>246</v>
      </c>
      <c r="Q2665" t="s">
        <v>5664</v>
      </c>
    </row>
    <row r="2666" spans="1:17" x14ac:dyDescent="0.3">
      <c r="A2666" t="s">
        <v>4729</v>
      </c>
      <c r="B2666" t="str">
        <f>"000969"</f>
        <v>000969</v>
      </c>
      <c r="C2666" t="s">
        <v>5665</v>
      </c>
      <c r="D2666" t="s">
        <v>581</v>
      </c>
      <c r="F2666">
        <v>6271519668</v>
      </c>
      <c r="G2666">
        <v>4979150396</v>
      </c>
      <c r="H2666">
        <v>4780216900</v>
      </c>
      <c r="I2666">
        <v>5054086059</v>
      </c>
      <c r="J2666">
        <v>4659656425</v>
      </c>
      <c r="K2666">
        <v>3921200537</v>
      </c>
      <c r="L2666">
        <v>3758663488</v>
      </c>
      <c r="M2666">
        <v>4155698392</v>
      </c>
      <c r="N2666">
        <v>3848446118</v>
      </c>
      <c r="O2666">
        <v>3818705044</v>
      </c>
      <c r="P2666">
        <v>224</v>
      </c>
      <c r="Q2666" t="s">
        <v>5666</v>
      </c>
    </row>
    <row r="2667" spans="1:17" x14ac:dyDescent="0.3">
      <c r="A2667" t="s">
        <v>4729</v>
      </c>
      <c r="B2667" t="str">
        <f>"000970"</f>
        <v>000970</v>
      </c>
      <c r="C2667" t="s">
        <v>5667</v>
      </c>
      <c r="D2667" t="s">
        <v>808</v>
      </c>
      <c r="F2667">
        <v>7145763791</v>
      </c>
      <c r="G2667">
        <v>4652108161</v>
      </c>
      <c r="H2667">
        <v>4034511561</v>
      </c>
      <c r="I2667">
        <v>4164541446</v>
      </c>
      <c r="J2667">
        <v>3895267297</v>
      </c>
      <c r="K2667">
        <v>3540901425</v>
      </c>
      <c r="L2667">
        <v>3502345754</v>
      </c>
      <c r="M2667">
        <v>3885115628</v>
      </c>
      <c r="N2667">
        <v>3638668963</v>
      </c>
      <c r="O2667">
        <v>4933845147</v>
      </c>
      <c r="P2667">
        <v>365</v>
      </c>
      <c r="Q2667" t="s">
        <v>5668</v>
      </c>
    </row>
    <row r="2668" spans="1:17" x14ac:dyDescent="0.3">
      <c r="A2668" t="s">
        <v>4729</v>
      </c>
      <c r="B2668" t="str">
        <f>"000971"</f>
        <v>000971</v>
      </c>
      <c r="C2668" t="s">
        <v>5669</v>
      </c>
      <c r="D2668" t="s">
        <v>5670</v>
      </c>
      <c r="F2668">
        <v>718980667</v>
      </c>
      <c r="G2668">
        <v>874483408</v>
      </c>
      <c r="H2668">
        <v>824623140</v>
      </c>
      <c r="I2668">
        <v>900826495</v>
      </c>
      <c r="J2668">
        <v>868209878</v>
      </c>
      <c r="K2668">
        <v>665995270</v>
      </c>
      <c r="L2668">
        <v>157405960</v>
      </c>
      <c r="M2668">
        <v>52521674</v>
      </c>
      <c r="N2668">
        <v>105064311</v>
      </c>
      <c r="O2668">
        <v>204019375</v>
      </c>
      <c r="P2668">
        <v>74</v>
      </c>
      <c r="Q2668" t="s">
        <v>5671</v>
      </c>
    </row>
    <row r="2669" spans="1:17" x14ac:dyDescent="0.3">
      <c r="A2669" t="s">
        <v>4729</v>
      </c>
      <c r="B2669" t="str">
        <f>"000972"</f>
        <v>000972</v>
      </c>
      <c r="C2669" t="s">
        <v>5672</v>
      </c>
      <c r="D2669" t="s">
        <v>574</v>
      </c>
      <c r="F2669">
        <v>174451613</v>
      </c>
      <c r="G2669">
        <v>22966068</v>
      </c>
      <c r="H2669">
        <v>213188826</v>
      </c>
      <c r="I2669">
        <v>626669590</v>
      </c>
      <c r="J2669">
        <v>517710605</v>
      </c>
      <c r="K2669">
        <v>588176014</v>
      </c>
      <c r="L2669">
        <v>682896707</v>
      </c>
      <c r="M2669">
        <v>416772255</v>
      </c>
      <c r="N2669">
        <v>954944331</v>
      </c>
      <c r="O2669">
        <v>1245962132</v>
      </c>
      <c r="P2669">
        <v>78</v>
      </c>
      <c r="Q2669" t="s">
        <v>5673</v>
      </c>
    </row>
    <row r="2670" spans="1:17" x14ac:dyDescent="0.3">
      <c r="A2670" t="s">
        <v>4729</v>
      </c>
      <c r="B2670" t="str">
        <f>"000973"</f>
        <v>000973</v>
      </c>
      <c r="C2670" t="s">
        <v>5674</v>
      </c>
      <c r="D2670" t="s">
        <v>324</v>
      </c>
      <c r="F2670">
        <v>2457257564</v>
      </c>
      <c r="G2670">
        <v>2299403070</v>
      </c>
      <c r="H2670">
        <v>2848305155</v>
      </c>
      <c r="I2670">
        <v>2822841700</v>
      </c>
      <c r="J2670">
        <v>2511772199</v>
      </c>
      <c r="K2670">
        <v>2465590456</v>
      </c>
      <c r="L2670">
        <v>2886922503</v>
      </c>
      <c r="M2670">
        <v>2731483162</v>
      </c>
      <c r="N2670">
        <v>3019245751</v>
      </c>
      <c r="O2670">
        <v>3771880419</v>
      </c>
      <c r="P2670">
        <v>123</v>
      </c>
      <c r="Q2670" t="s">
        <v>5675</v>
      </c>
    </row>
    <row r="2671" spans="1:17" x14ac:dyDescent="0.3">
      <c r="A2671" t="s">
        <v>4729</v>
      </c>
      <c r="B2671" t="str">
        <f>"000975"</f>
        <v>000975</v>
      </c>
      <c r="C2671" t="s">
        <v>5676</v>
      </c>
      <c r="D2671" t="s">
        <v>701</v>
      </c>
      <c r="F2671">
        <v>9040243854</v>
      </c>
      <c r="G2671">
        <v>7905802339</v>
      </c>
      <c r="H2671">
        <v>5148950653</v>
      </c>
      <c r="I2671">
        <v>4826237157</v>
      </c>
      <c r="J2671">
        <v>1482617517</v>
      </c>
      <c r="K2671">
        <v>761851976</v>
      </c>
      <c r="L2671">
        <v>730880266</v>
      </c>
      <c r="M2671">
        <v>726121707</v>
      </c>
      <c r="N2671">
        <v>593733974</v>
      </c>
      <c r="O2671">
        <v>256179555</v>
      </c>
      <c r="P2671">
        <v>391</v>
      </c>
      <c r="Q2671" t="s">
        <v>5677</v>
      </c>
    </row>
    <row r="2672" spans="1:17" x14ac:dyDescent="0.3">
      <c r="A2672" t="s">
        <v>4729</v>
      </c>
      <c r="B2672" t="str">
        <f>"000976"</f>
        <v>000976</v>
      </c>
      <c r="C2672" t="s">
        <v>5678</v>
      </c>
      <c r="D2672" t="s">
        <v>1012</v>
      </c>
      <c r="F2672">
        <v>1989184800</v>
      </c>
      <c r="G2672">
        <v>2243218770</v>
      </c>
      <c r="H2672">
        <v>1672131506</v>
      </c>
      <c r="I2672">
        <v>1731293367</v>
      </c>
      <c r="J2672">
        <v>1738215867</v>
      </c>
      <c r="K2672">
        <v>1862268067</v>
      </c>
      <c r="L2672">
        <v>662714226</v>
      </c>
      <c r="M2672">
        <v>1046384336</v>
      </c>
      <c r="N2672">
        <v>1232734360</v>
      </c>
      <c r="O2672">
        <v>1319944242</v>
      </c>
      <c r="P2672">
        <v>145</v>
      </c>
      <c r="Q2672" t="s">
        <v>5679</v>
      </c>
    </row>
    <row r="2673" spans="1:17" x14ac:dyDescent="0.3">
      <c r="A2673" t="s">
        <v>4729</v>
      </c>
      <c r="B2673" t="str">
        <f>"000977"</f>
        <v>000977</v>
      </c>
      <c r="C2673" t="s">
        <v>5680</v>
      </c>
      <c r="D2673" t="s">
        <v>236</v>
      </c>
      <c r="F2673">
        <v>67047551558</v>
      </c>
      <c r="G2673">
        <v>63037990367</v>
      </c>
      <c r="H2673">
        <v>51653280174</v>
      </c>
      <c r="I2673">
        <v>46940820300</v>
      </c>
      <c r="J2673">
        <v>25488175697</v>
      </c>
      <c r="K2673">
        <v>12667745962</v>
      </c>
      <c r="L2673">
        <v>10123000358</v>
      </c>
      <c r="M2673">
        <v>7306636312</v>
      </c>
      <c r="N2673">
        <v>4223743426</v>
      </c>
      <c r="O2673">
        <v>2191045537</v>
      </c>
      <c r="P2673">
        <v>4425</v>
      </c>
      <c r="Q2673" t="s">
        <v>5681</v>
      </c>
    </row>
    <row r="2674" spans="1:17" x14ac:dyDescent="0.3">
      <c r="A2674" t="s">
        <v>4729</v>
      </c>
      <c r="B2674" t="str">
        <f>"000978"</f>
        <v>000978</v>
      </c>
      <c r="C2674" t="s">
        <v>5682</v>
      </c>
      <c r="D2674" t="s">
        <v>119</v>
      </c>
      <c r="F2674">
        <v>238740667</v>
      </c>
      <c r="G2674">
        <v>255027526</v>
      </c>
      <c r="H2674">
        <v>606147911</v>
      </c>
      <c r="I2674">
        <v>573070307</v>
      </c>
      <c r="J2674">
        <v>556290477</v>
      </c>
      <c r="K2674">
        <v>486241748</v>
      </c>
      <c r="L2674">
        <v>499996211</v>
      </c>
      <c r="M2674">
        <v>991375743</v>
      </c>
      <c r="N2674">
        <v>444304063</v>
      </c>
      <c r="O2674">
        <v>502175987</v>
      </c>
      <c r="P2674">
        <v>140</v>
      </c>
      <c r="Q2674" t="s">
        <v>5683</v>
      </c>
    </row>
    <row r="2675" spans="1:17" x14ac:dyDescent="0.3">
      <c r="A2675" t="s">
        <v>4729</v>
      </c>
      <c r="B2675" t="str">
        <f>"000979"</f>
        <v>000979</v>
      </c>
      <c r="C2675" t="s">
        <v>5684</v>
      </c>
      <c r="J2675">
        <v>1016052308</v>
      </c>
      <c r="K2675">
        <v>4452108162</v>
      </c>
      <c r="L2675">
        <v>1290121821.26</v>
      </c>
      <c r="M2675">
        <v>2484976917.2800002</v>
      </c>
      <c r="N2675">
        <v>1119394506.23</v>
      </c>
      <c r="O2675">
        <v>3755746050.0700002</v>
      </c>
      <c r="P2675">
        <v>30</v>
      </c>
      <c r="Q2675" t="s">
        <v>5685</v>
      </c>
    </row>
    <row r="2676" spans="1:17" x14ac:dyDescent="0.3">
      <c r="A2676" t="s">
        <v>4729</v>
      </c>
      <c r="B2676" t="str">
        <f>"000980"</f>
        <v>000980</v>
      </c>
      <c r="C2676" t="s">
        <v>5686</v>
      </c>
      <c r="D2676" t="s">
        <v>1415</v>
      </c>
      <c r="F2676">
        <v>825170423</v>
      </c>
      <c r="G2676">
        <v>1338170049</v>
      </c>
      <c r="H2676">
        <v>2985847123</v>
      </c>
      <c r="I2676">
        <v>14764439522</v>
      </c>
      <c r="J2676">
        <v>20804317034</v>
      </c>
      <c r="K2676">
        <v>1693500374</v>
      </c>
      <c r="L2676">
        <v>1625866225</v>
      </c>
      <c r="M2676">
        <v>1111380792</v>
      </c>
      <c r="N2676">
        <v>902475979</v>
      </c>
      <c r="O2676">
        <v>843703201</v>
      </c>
      <c r="P2676">
        <v>161</v>
      </c>
      <c r="Q2676" t="s">
        <v>5687</v>
      </c>
    </row>
    <row r="2677" spans="1:17" x14ac:dyDescent="0.3">
      <c r="A2677" t="s">
        <v>4729</v>
      </c>
      <c r="B2677" t="str">
        <f>"000981"</f>
        <v>000981</v>
      </c>
      <c r="C2677" t="s">
        <v>5688</v>
      </c>
      <c r="D2677" t="s">
        <v>104</v>
      </c>
      <c r="F2677">
        <v>3976285255</v>
      </c>
      <c r="G2677">
        <v>7959664190</v>
      </c>
      <c r="H2677">
        <v>7048447296</v>
      </c>
      <c r="I2677">
        <v>8969758925</v>
      </c>
      <c r="J2677">
        <v>12702742900</v>
      </c>
      <c r="K2677">
        <v>8057418839</v>
      </c>
      <c r="L2677">
        <v>8459460368</v>
      </c>
      <c r="M2677">
        <v>6313640137</v>
      </c>
      <c r="N2677">
        <v>4604869425</v>
      </c>
      <c r="O2677">
        <v>3549059875</v>
      </c>
      <c r="P2677">
        <v>118</v>
      </c>
      <c r="Q2677" t="s">
        <v>5689</v>
      </c>
    </row>
    <row r="2678" spans="1:17" x14ac:dyDescent="0.3">
      <c r="A2678" t="s">
        <v>4729</v>
      </c>
      <c r="B2678" t="str">
        <f>"000982"</f>
        <v>000982</v>
      </c>
      <c r="C2678" t="s">
        <v>5690</v>
      </c>
      <c r="D2678" t="s">
        <v>366</v>
      </c>
      <c r="F2678">
        <v>433495169</v>
      </c>
      <c r="G2678">
        <v>141569708</v>
      </c>
      <c r="H2678">
        <v>714586655</v>
      </c>
      <c r="I2678">
        <v>2019728751</v>
      </c>
      <c r="J2678">
        <v>2796575174</v>
      </c>
      <c r="K2678">
        <v>3312468805</v>
      </c>
      <c r="L2678">
        <v>3177116879</v>
      </c>
      <c r="M2678">
        <v>3103533560</v>
      </c>
      <c r="N2678">
        <v>3110651958</v>
      </c>
      <c r="O2678">
        <v>2426060419</v>
      </c>
      <c r="P2678">
        <v>83</v>
      </c>
      <c r="Q2678" t="s">
        <v>5691</v>
      </c>
    </row>
    <row r="2679" spans="1:17" x14ac:dyDescent="0.3">
      <c r="A2679" t="s">
        <v>4729</v>
      </c>
      <c r="B2679" t="str">
        <f>"000983"</f>
        <v>000983</v>
      </c>
      <c r="C2679" t="s">
        <v>5692</v>
      </c>
      <c r="D2679" t="s">
        <v>298</v>
      </c>
      <c r="F2679">
        <v>45285260702</v>
      </c>
      <c r="G2679">
        <v>33756582333</v>
      </c>
      <c r="H2679">
        <v>32954731135</v>
      </c>
      <c r="I2679">
        <v>32271005488</v>
      </c>
      <c r="J2679">
        <v>28655273711</v>
      </c>
      <c r="K2679">
        <v>19610944280</v>
      </c>
      <c r="L2679">
        <v>18658268403</v>
      </c>
      <c r="M2679">
        <v>24390919515</v>
      </c>
      <c r="N2679">
        <v>29500131502</v>
      </c>
      <c r="O2679">
        <v>31228777275</v>
      </c>
      <c r="P2679">
        <v>688</v>
      </c>
      <c r="Q2679" t="s">
        <v>5693</v>
      </c>
    </row>
    <row r="2680" spans="1:17" x14ac:dyDescent="0.3">
      <c r="A2680" t="s">
        <v>4729</v>
      </c>
      <c r="B2680" t="str">
        <f>"000985"</f>
        <v>000985</v>
      </c>
      <c r="C2680" t="s">
        <v>5694</v>
      </c>
      <c r="D2680" t="s">
        <v>1617</v>
      </c>
      <c r="F2680">
        <v>2073428195</v>
      </c>
      <c r="G2680">
        <v>1763044476</v>
      </c>
      <c r="H2680">
        <v>2155889875</v>
      </c>
      <c r="I2680">
        <v>1690168980</v>
      </c>
      <c r="J2680">
        <v>1530402899</v>
      </c>
      <c r="K2680">
        <v>1032507823</v>
      </c>
      <c r="L2680">
        <v>789582737</v>
      </c>
      <c r="M2680">
        <v>1422843436</v>
      </c>
      <c r="N2680">
        <v>1175389136</v>
      </c>
      <c r="O2680">
        <v>1193793734</v>
      </c>
      <c r="P2680">
        <v>82</v>
      </c>
      <c r="Q2680" t="s">
        <v>5695</v>
      </c>
    </row>
    <row r="2681" spans="1:17" x14ac:dyDescent="0.3">
      <c r="A2681" t="s">
        <v>4729</v>
      </c>
      <c r="B2681" t="str">
        <f>"000987"</f>
        <v>000987</v>
      </c>
      <c r="C2681" t="s">
        <v>5696</v>
      </c>
      <c r="D2681" t="s">
        <v>140</v>
      </c>
      <c r="G2681">
        <v>9686696648</v>
      </c>
      <c r="H2681">
        <v>8371976599</v>
      </c>
      <c r="I2681">
        <v>6670960235</v>
      </c>
      <c r="J2681">
        <v>5326388719</v>
      </c>
      <c r="K2681">
        <v>2805428122</v>
      </c>
      <c r="L2681">
        <v>2804290571</v>
      </c>
      <c r="M2681">
        <v>3362620920</v>
      </c>
      <c r="N2681">
        <v>4092054944</v>
      </c>
      <c r="O2681">
        <v>4460539249</v>
      </c>
      <c r="P2681">
        <v>520</v>
      </c>
      <c r="Q2681" t="s">
        <v>5697</v>
      </c>
    </row>
    <row r="2682" spans="1:17" x14ac:dyDescent="0.3">
      <c r="A2682" t="s">
        <v>4729</v>
      </c>
      <c r="B2682" t="str">
        <f>"000988"</f>
        <v>000988</v>
      </c>
      <c r="C2682" t="s">
        <v>5698</v>
      </c>
      <c r="D2682" t="s">
        <v>3811</v>
      </c>
      <c r="F2682">
        <v>10166747479</v>
      </c>
      <c r="G2682">
        <v>6137548872</v>
      </c>
      <c r="H2682">
        <v>5460245492</v>
      </c>
      <c r="I2682">
        <v>5232838884</v>
      </c>
      <c r="J2682">
        <v>4480552788</v>
      </c>
      <c r="K2682">
        <v>3313699243</v>
      </c>
      <c r="L2682">
        <v>2619553081</v>
      </c>
      <c r="M2682">
        <v>2353327611</v>
      </c>
      <c r="N2682">
        <v>1777374931</v>
      </c>
      <c r="O2682">
        <v>1754338851</v>
      </c>
      <c r="P2682">
        <v>710</v>
      </c>
      <c r="Q2682" t="s">
        <v>5699</v>
      </c>
    </row>
    <row r="2683" spans="1:17" x14ac:dyDescent="0.3">
      <c r="A2683" t="s">
        <v>4729</v>
      </c>
      <c r="B2683" t="str">
        <f>"000989"</f>
        <v>000989</v>
      </c>
      <c r="C2683" t="s">
        <v>5700</v>
      </c>
      <c r="D2683" t="s">
        <v>188</v>
      </c>
      <c r="F2683">
        <v>3784155237</v>
      </c>
      <c r="G2683">
        <v>3559540964</v>
      </c>
      <c r="H2683">
        <v>3183694790</v>
      </c>
      <c r="I2683">
        <v>3162109003</v>
      </c>
      <c r="J2683">
        <v>3797212594</v>
      </c>
      <c r="K2683">
        <v>2673798043</v>
      </c>
      <c r="L2683">
        <v>871512681</v>
      </c>
      <c r="M2683">
        <v>1405350432</v>
      </c>
      <c r="N2683">
        <v>1211844140</v>
      </c>
      <c r="O2683">
        <v>1042414979</v>
      </c>
      <c r="P2683">
        <v>370</v>
      </c>
      <c r="Q2683" t="s">
        <v>5701</v>
      </c>
    </row>
    <row r="2684" spans="1:17" x14ac:dyDescent="0.3">
      <c r="A2684" t="s">
        <v>4729</v>
      </c>
      <c r="B2684" t="str">
        <f>"000990"</f>
        <v>000990</v>
      </c>
      <c r="C2684" t="s">
        <v>5702</v>
      </c>
      <c r="D2684" t="s">
        <v>914</v>
      </c>
      <c r="F2684">
        <v>12183915610</v>
      </c>
      <c r="G2684">
        <v>9731805769</v>
      </c>
      <c r="H2684">
        <v>6912211739</v>
      </c>
      <c r="I2684">
        <v>5868374318</v>
      </c>
      <c r="J2684">
        <v>5694725350</v>
      </c>
      <c r="K2684">
        <v>2574040702</v>
      </c>
      <c r="L2684">
        <v>4042453664</v>
      </c>
      <c r="M2684">
        <v>4010857984</v>
      </c>
      <c r="N2684">
        <v>3999935252</v>
      </c>
      <c r="O2684">
        <v>3383211529</v>
      </c>
      <c r="P2684">
        <v>196</v>
      </c>
      <c r="Q2684" t="s">
        <v>5703</v>
      </c>
    </row>
    <row r="2685" spans="1:17" x14ac:dyDescent="0.3">
      <c r="A2685" t="s">
        <v>4729</v>
      </c>
      <c r="B2685" t="str">
        <f>"000993"</f>
        <v>000993</v>
      </c>
      <c r="C2685" t="s">
        <v>5704</v>
      </c>
      <c r="D2685" t="s">
        <v>66</v>
      </c>
      <c r="F2685">
        <v>583046446</v>
      </c>
      <c r="G2685">
        <v>369419936</v>
      </c>
      <c r="H2685">
        <v>596851052</v>
      </c>
      <c r="I2685">
        <v>557868755</v>
      </c>
      <c r="J2685">
        <v>901400202</v>
      </c>
      <c r="K2685">
        <v>645414443</v>
      </c>
      <c r="L2685">
        <v>910134660</v>
      </c>
      <c r="M2685">
        <v>1159453961</v>
      </c>
      <c r="N2685">
        <v>1678480506</v>
      </c>
      <c r="O2685">
        <v>1236908170</v>
      </c>
      <c r="P2685">
        <v>163</v>
      </c>
      <c r="Q2685" t="s">
        <v>5705</v>
      </c>
    </row>
    <row r="2686" spans="1:17" x14ac:dyDescent="0.3">
      <c r="A2686" t="s">
        <v>4729</v>
      </c>
      <c r="B2686" t="str">
        <f>"000995"</f>
        <v>000995</v>
      </c>
      <c r="C2686" t="s">
        <v>5706</v>
      </c>
      <c r="D2686" t="s">
        <v>458</v>
      </c>
      <c r="F2686">
        <v>91088143</v>
      </c>
      <c r="G2686">
        <v>101688479</v>
      </c>
      <c r="H2686">
        <v>99046293</v>
      </c>
      <c r="I2686">
        <v>25483383</v>
      </c>
      <c r="J2686">
        <v>47605091</v>
      </c>
      <c r="K2686">
        <v>177828067</v>
      </c>
      <c r="L2686">
        <v>104519918</v>
      </c>
      <c r="M2686">
        <v>57268193</v>
      </c>
      <c r="N2686">
        <v>107885090</v>
      </c>
      <c r="O2686">
        <v>133926275</v>
      </c>
      <c r="P2686">
        <v>175</v>
      </c>
      <c r="Q2686" t="s">
        <v>5707</v>
      </c>
    </row>
    <row r="2687" spans="1:17" x14ac:dyDescent="0.3">
      <c r="A2687" t="s">
        <v>4729</v>
      </c>
      <c r="B2687" t="str">
        <f>"000996"</f>
        <v>000996</v>
      </c>
      <c r="C2687" t="s">
        <v>5708</v>
      </c>
      <c r="D2687" t="s">
        <v>672</v>
      </c>
      <c r="F2687">
        <v>49481986</v>
      </c>
      <c r="G2687">
        <v>49935096</v>
      </c>
      <c r="H2687">
        <v>62307786</v>
      </c>
      <c r="I2687">
        <v>66548917</v>
      </c>
      <c r="J2687">
        <v>60928580</v>
      </c>
      <c r="K2687">
        <v>113218534</v>
      </c>
      <c r="L2687">
        <v>84632027</v>
      </c>
      <c r="M2687">
        <v>82998693</v>
      </c>
      <c r="N2687">
        <v>94838675</v>
      </c>
      <c r="O2687">
        <v>84859826</v>
      </c>
      <c r="P2687">
        <v>70</v>
      </c>
      <c r="Q2687" t="s">
        <v>5709</v>
      </c>
    </row>
    <row r="2688" spans="1:17" x14ac:dyDescent="0.3">
      <c r="A2688" t="s">
        <v>4729</v>
      </c>
      <c r="B2688" t="str">
        <f>"000997"</f>
        <v>000997</v>
      </c>
      <c r="C2688" t="s">
        <v>5710</v>
      </c>
      <c r="D2688" t="s">
        <v>236</v>
      </c>
      <c r="F2688">
        <v>7032011199</v>
      </c>
      <c r="G2688">
        <v>6356950911</v>
      </c>
      <c r="H2688">
        <v>5631027316</v>
      </c>
      <c r="I2688">
        <v>5759682039</v>
      </c>
      <c r="J2688">
        <v>4855897041</v>
      </c>
      <c r="K2688">
        <v>3543922751</v>
      </c>
      <c r="L2688">
        <v>3045275354</v>
      </c>
      <c r="M2688">
        <v>2235456210</v>
      </c>
      <c r="N2688">
        <v>1859822976</v>
      </c>
      <c r="O2688">
        <v>1345648541</v>
      </c>
      <c r="P2688">
        <v>583</v>
      </c>
      <c r="Q2688" t="s">
        <v>5711</v>
      </c>
    </row>
    <row r="2689" spans="1:17" x14ac:dyDescent="0.3">
      <c r="A2689" t="s">
        <v>4729</v>
      </c>
      <c r="B2689" t="str">
        <f>"000998"</f>
        <v>000998</v>
      </c>
      <c r="C2689" t="s">
        <v>5712</v>
      </c>
      <c r="D2689" t="s">
        <v>706</v>
      </c>
      <c r="F2689">
        <v>3503442454</v>
      </c>
      <c r="G2689">
        <v>3290527651</v>
      </c>
      <c r="H2689">
        <v>3129540712</v>
      </c>
      <c r="I2689">
        <v>3579717393</v>
      </c>
      <c r="J2689">
        <v>3190019342</v>
      </c>
      <c r="K2689">
        <v>2299410171</v>
      </c>
      <c r="L2689">
        <v>2025824712</v>
      </c>
      <c r="M2689">
        <v>1815424947</v>
      </c>
      <c r="N2689">
        <v>1884716267</v>
      </c>
      <c r="O2689">
        <v>1705309762</v>
      </c>
      <c r="P2689">
        <v>649</v>
      </c>
      <c r="Q2689" t="s">
        <v>5713</v>
      </c>
    </row>
    <row r="2690" spans="1:17" x14ac:dyDescent="0.3">
      <c r="A2690" t="s">
        <v>4729</v>
      </c>
      <c r="B2690" t="str">
        <f>"000999"</f>
        <v>000999</v>
      </c>
      <c r="C2690" t="s">
        <v>5714</v>
      </c>
      <c r="D2690" t="s">
        <v>188</v>
      </c>
      <c r="F2690">
        <v>15319993635</v>
      </c>
      <c r="G2690">
        <v>13637258154</v>
      </c>
      <c r="H2690">
        <v>14701918764</v>
      </c>
      <c r="I2690">
        <v>13427746163</v>
      </c>
      <c r="J2690">
        <v>11119916380</v>
      </c>
      <c r="K2690">
        <v>8981721081</v>
      </c>
      <c r="L2690">
        <v>7900189564</v>
      </c>
      <c r="M2690">
        <v>7276585572</v>
      </c>
      <c r="N2690">
        <v>7801603747</v>
      </c>
      <c r="O2690">
        <v>6891102633</v>
      </c>
      <c r="P2690">
        <v>5771</v>
      </c>
      <c r="Q2690" t="s">
        <v>5715</v>
      </c>
    </row>
    <row r="2691" spans="1:17" x14ac:dyDescent="0.3">
      <c r="A2691" t="s">
        <v>4729</v>
      </c>
      <c r="B2691" t="str">
        <f>"001201"</f>
        <v>001201</v>
      </c>
      <c r="C2691" t="s">
        <v>5716</v>
      </c>
      <c r="D2691" t="s">
        <v>1900</v>
      </c>
      <c r="F2691">
        <v>1051843098</v>
      </c>
      <c r="G2691">
        <v>1366478266</v>
      </c>
      <c r="H2691">
        <v>871976957</v>
      </c>
      <c r="I2691">
        <v>613623416</v>
      </c>
      <c r="J2691">
        <v>634193425</v>
      </c>
      <c r="P2691">
        <v>61</v>
      </c>
      <c r="Q2691" t="s">
        <v>5717</v>
      </c>
    </row>
    <row r="2692" spans="1:17" x14ac:dyDescent="0.3">
      <c r="A2692" t="s">
        <v>4729</v>
      </c>
      <c r="B2692" t="str">
        <f>"001202"</f>
        <v>001202</v>
      </c>
      <c r="C2692" t="s">
        <v>5718</v>
      </c>
      <c r="D2692" t="s">
        <v>128</v>
      </c>
      <c r="F2692">
        <v>746780061</v>
      </c>
      <c r="G2692">
        <v>975879483</v>
      </c>
      <c r="H2692">
        <v>796761287</v>
      </c>
      <c r="I2692">
        <v>442588286</v>
      </c>
      <c r="J2692">
        <v>225172584</v>
      </c>
      <c r="P2692">
        <v>32</v>
      </c>
      <c r="Q2692" t="s">
        <v>5719</v>
      </c>
    </row>
    <row r="2693" spans="1:17" x14ac:dyDescent="0.3">
      <c r="A2693" t="s">
        <v>4729</v>
      </c>
      <c r="B2693" t="str">
        <f>"001203"</f>
        <v>001203</v>
      </c>
      <c r="C2693" t="s">
        <v>5720</v>
      </c>
      <c r="D2693" t="s">
        <v>2376</v>
      </c>
      <c r="F2693">
        <v>4894885825</v>
      </c>
      <c r="G2693">
        <v>2496099858</v>
      </c>
      <c r="H2693">
        <v>2566818074</v>
      </c>
      <c r="I2693">
        <v>1537477995</v>
      </c>
      <c r="J2693">
        <v>1376217976</v>
      </c>
      <c r="P2693">
        <v>80</v>
      </c>
      <c r="Q2693" t="s">
        <v>5721</v>
      </c>
    </row>
    <row r="2694" spans="1:17" x14ac:dyDescent="0.3">
      <c r="A2694" t="s">
        <v>4729</v>
      </c>
      <c r="B2694" t="str">
        <f>"001205"</f>
        <v>001205</v>
      </c>
      <c r="C2694" t="s">
        <v>5722</v>
      </c>
      <c r="D2694" t="s">
        <v>69</v>
      </c>
      <c r="F2694">
        <v>612714442</v>
      </c>
      <c r="G2694">
        <v>480019530</v>
      </c>
      <c r="H2694">
        <v>382359845</v>
      </c>
      <c r="I2694">
        <v>295618652</v>
      </c>
      <c r="J2694">
        <v>266516872</v>
      </c>
      <c r="P2694">
        <v>44</v>
      </c>
      <c r="Q2694" t="s">
        <v>5723</v>
      </c>
    </row>
    <row r="2695" spans="1:17" x14ac:dyDescent="0.3">
      <c r="A2695" t="s">
        <v>4729</v>
      </c>
      <c r="B2695" t="str">
        <f>"001206"</f>
        <v>001206</v>
      </c>
      <c r="C2695" t="s">
        <v>5724</v>
      </c>
      <c r="D2695" t="s">
        <v>2751</v>
      </c>
      <c r="F2695">
        <v>1310016883</v>
      </c>
      <c r="G2695">
        <v>1241009627</v>
      </c>
      <c r="H2695">
        <v>1027693145</v>
      </c>
      <c r="I2695">
        <v>903416217</v>
      </c>
      <c r="J2695">
        <v>743286258</v>
      </c>
      <c r="P2695">
        <v>53</v>
      </c>
      <c r="Q2695" t="s">
        <v>5725</v>
      </c>
    </row>
    <row r="2696" spans="1:17" x14ac:dyDescent="0.3">
      <c r="A2696" t="s">
        <v>4729</v>
      </c>
      <c r="B2696" t="str">
        <f>"001207"</f>
        <v>001207</v>
      </c>
      <c r="C2696" t="s">
        <v>5726</v>
      </c>
      <c r="D2696" t="s">
        <v>3646</v>
      </c>
      <c r="F2696">
        <v>1447069566</v>
      </c>
      <c r="G2696">
        <v>995993536</v>
      </c>
      <c r="H2696">
        <v>971524851</v>
      </c>
      <c r="I2696">
        <v>941337932</v>
      </c>
      <c r="J2696">
        <v>664342472</v>
      </c>
      <c r="P2696">
        <v>25</v>
      </c>
      <c r="Q2696" t="s">
        <v>5727</v>
      </c>
    </row>
    <row r="2697" spans="1:17" x14ac:dyDescent="0.3">
      <c r="A2697" t="s">
        <v>4729</v>
      </c>
      <c r="B2697" t="str">
        <f>"001208"</f>
        <v>001208</v>
      </c>
      <c r="C2697" t="s">
        <v>5728</v>
      </c>
      <c r="D2697" t="s">
        <v>1164</v>
      </c>
      <c r="F2697">
        <v>2543190870</v>
      </c>
      <c r="G2697">
        <v>1698393308</v>
      </c>
      <c r="H2697">
        <v>1503110230</v>
      </c>
      <c r="I2697">
        <v>1212701332</v>
      </c>
      <c r="J2697">
        <v>919991772</v>
      </c>
      <c r="P2697">
        <v>66</v>
      </c>
      <c r="Q2697" t="s">
        <v>5729</v>
      </c>
    </row>
    <row r="2698" spans="1:17" x14ac:dyDescent="0.3">
      <c r="A2698" t="s">
        <v>4729</v>
      </c>
      <c r="B2698" t="str">
        <f>"001209"</f>
        <v>001209</v>
      </c>
      <c r="C2698" t="s">
        <v>5730</v>
      </c>
      <c r="D2698" t="s">
        <v>255</v>
      </c>
      <c r="F2698">
        <v>1284667254</v>
      </c>
      <c r="G2698">
        <v>1131357350</v>
      </c>
      <c r="H2698">
        <v>1008417769</v>
      </c>
      <c r="I2698">
        <v>860127955</v>
      </c>
      <c r="J2698">
        <v>652000460</v>
      </c>
      <c r="P2698">
        <v>22</v>
      </c>
      <c r="Q2698" t="s">
        <v>5731</v>
      </c>
    </row>
    <row r="2699" spans="1:17" x14ac:dyDescent="0.3">
      <c r="A2699" t="s">
        <v>4729</v>
      </c>
      <c r="B2699" t="str">
        <f>"001210"</f>
        <v>001210</v>
      </c>
      <c r="C2699" t="s">
        <v>5732</v>
      </c>
      <c r="D2699" t="s">
        <v>351</v>
      </c>
      <c r="F2699">
        <v>790322487</v>
      </c>
      <c r="G2699">
        <v>758607140</v>
      </c>
      <c r="H2699">
        <v>713330278</v>
      </c>
      <c r="I2699">
        <v>650325745</v>
      </c>
      <c r="J2699">
        <v>614656951</v>
      </c>
      <c r="P2699">
        <v>27</v>
      </c>
      <c r="Q2699" t="s">
        <v>5733</v>
      </c>
    </row>
    <row r="2700" spans="1:17" x14ac:dyDescent="0.3">
      <c r="A2700" t="s">
        <v>4729</v>
      </c>
      <c r="B2700" t="str">
        <f>"001211"</f>
        <v>001211</v>
      </c>
      <c r="C2700" t="s">
        <v>5734</v>
      </c>
      <c r="D2700" t="s">
        <v>2445</v>
      </c>
      <c r="F2700">
        <v>975706802</v>
      </c>
      <c r="G2700">
        <v>833961501</v>
      </c>
      <c r="H2700">
        <v>717755797</v>
      </c>
      <c r="I2700">
        <v>608046510</v>
      </c>
      <c r="J2700">
        <v>500330100</v>
      </c>
      <c r="P2700">
        <v>13</v>
      </c>
      <c r="Q2700" t="s">
        <v>5735</v>
      </c>
    </row>
    <row r="2701" spans="1:17" x14ac:dyDescent="0.3">
      <c r="A2701" t="s">
        <v>4729</v>
      </c>
      <c r="B2701" t="str">
        <f>"001212"</f>
        <v>001212</v>
      </c>
      <c r="C2701" t="s">
        <v>5736</v>
      </c>
      <c r="D2701" t="s">
        <v>722</v>
      </c>
      <c r="F2701">
        <v>724605679</v>
      </c>
      <c r="G2701">
        <v>554866306</v>
      </c>
      <c r="H2701">
        <v>528583585</v>
      </c>
      <c r="I2701">
        <v>565105314</v>
      </c>
      <c r="J2701">
        <v>541784295</v>
      </c>
      <c r="P2701">
        <v>19</v>
      </c>
      <c r="Q2701" t="s">
        <v>5737</v>
      </c>
    </row>
    <row r="2702" spans="1:17" x14ac:dyDescent="0.3">
      <c r="A2702" t="s">
        <v>4729</v>
      </c>
      <c r="B2702" t="str">
        <f>"001213"</f>
        <v>001213</v>
      </c>
      <c r="C2702" t="s">
        <v>5738</v>
      </c>
      <c r="D2702" t="s">
        <v>301</v>
      </c>
      <c r="F2702">
        <v>8844041041</v>
      </c>
      <c r="G2702">
        <v>8457956836</v>
      </c>
      <c r="H2702">
        <v>8647210501</v>
      </c>
      <c r="I2702">
        <v>7884495439</v>
      </c>
      <c r="J2702">
        <v>6091731500</v>
      </c>
      <c r="P2702">
        <v>27</v>
      </c>
      <c r="Q2702" t="s">
        <v>5739</v>
      </c>
    </row>
    <row r="2703" spans="1:17" x14ac:dyDescent="0.3">
      <c r="A2703" t="s">
        <v>4729</v>
      </c>
      <c r="B2703" t="str">
        <f>"001215"</f>
        <v>001215</v>
      </c>
      <c r="C2703" t="s">
        <v>5740</v>
      </c>
      <c r="D2703" t="s">
        <v>2865</v>
      </c>
      <c r="F2703">
        <v>1273896732</v>
      </c>
      <c r="G2703">
        <v>944374160</v>
      </c>
      <c r="H2703">
        <v>889282896</v>
      </c>
      <c r="I2703">
        <v>701202672</v>
      </c>
      <c r="J2703">
        <v>593317078</v>
      </c>
      <c r="P2703">
        <v>59</v>
      </c>
      <c r="Q2703" t="s">
        <v>5741</v>
      </c>
    </row>
    <row r="2704" spans="1:17" x14ac:dyDescent="0.3">
      <c r="A2704" t="s">
        <v>4729</v>
      </c>
      <c r="B2704" t="str">
        <f>"001216"</f>
        <v>001216</v>
      </c>
      <c r="C2704" t="s">
        <v>5742</v>
      </c>
      <c r="D2704" t="s">
        <v>2445</v>
      </c>
      <c r="F2704">
        <v>1203747608</v>
      </c>
      <c r="G2704">
        <v>921102152</v>
      </c>
      <c r="H2704">
        <v>949570685</v>
      </c>
      <c r="I2704">
        <v>844734902</v>
      </c>
      <c r="J2704">
        <v>727540447</v>
      </c>
      <c r="P2704">
        <v>19</v>
      </c>
      <c r="Q2704" t="s">
        <v>5743</v>
      </c>
    </row>
    <row r="2705" spans="1:17" x14ac:dyDescent="0.3">
      <c r="A2705" t="s">
        <v>4729</v>
      </c>
      <c r="B2705" t="str">
        <f>"001217"</f>
        <v>001217</v>
      </c>
      <c r="C2705" t="s">
        <v>5744</v>
      </c>
      <c r="D2705" t="s">
        <v>1233</v>
      </c>
      <c r="F2705">
        <v>1893732050</v>
      </c>
      <c r="G2705">
        <v>1147553163</v>
      </c>
      <c r="H2705">
        <v>1256911892</v>
      </c>
      <c r="I2705">
        <v>1274618395</v>
      </c>
      <c r="J2705">
        <v>1123434879</v>
      </c>
      <c r="P2705">
        <v>27</v>
      </c>
      <c r="Q2705" t="s">
        <v>5745</v>
      </c>
    </row>
    <row r="2706" spans="1:17" x14ac:dyDescent="0.3">
      <c r="A2706" t="s">
        <v>4729</v>
      </c>
      <c r="B2706" t="str">
        <f>"001218"</f>
        <v>001218</v>
      </c>
      <c r="C2706" t="s">
        <v>5746</v>
      </c>
      <c r="D2706" t="s">
        <v>386</v>
      </c>
      <c r="F2706">
        <v>2748534841</v>
      </c>
      <c r="G2706">
        <v>2370664971</v>
      </c>
      <c r="H2706">
        <v>1993375532</v>
      </c>
      <c r="I2706">
        <v>1834566696</v>
      </c>
      <c r="J2706">
        <v>1804857200</v>
      </c>
      <c r="P2706">
        <v>15</v>
      </c>
      <c r="Q2706" t="s">
        <v>5747</v>
      </c>
    </row>
    <row r="2707" spans="1:17" x14ac:dyDescent="0.3">
      <c r="A2707" t="s">
        <v>4729</v>
      </c>
      <c r="B2707" t="str">
        <f>"001219"</f>
        <v>001219</v>
      </c>
      <c r="C2707" t="s">
        <v>5748</v>
      </c>
      <c r="D2707" t="s">
        <v>2488</v>
      </c>
      <c r="F2707">
        <v>434049777</v>
      </c>
      <c r="G2707">
        <v>480442705</v>
      </c>
      <c r="H2707">
        <v>482857994</v>
      </c>
      <c r="I2707">
        <v>473582159</v>
      </c>
      <c r="J2707">
        <v>444195889</v>
      </c>
      <c r="P2707">
        <v>33</v>
      </c>
      <c r="Q2707" t="s">
        <v>5749</v>
      </c>
    </row>
    <row r="2708" spans="1:17" x14ac:dyDescent="0.3">
      <c r="A2708" t="s">
        <v>4729</v>
      </c>
      <c r="B2708" t="str">
        <f>"001227"</f>
        <v>001227</v>
      </c>
      <c r="C2708" t="s">
        <v>5750</v>
      </c>
      <c r="D2708" t="s">
        <v>1842</v>
      </c>
      <c r="F2708">
        <v>7836084847</v>
      </c>
      <c r="G2708">
        <v>7303663453</v>
      </c>
      <c r="H2708">
        <v>7617739163</v>
      </c>
      <c r="I2708">
        <v>6799926158</v>
      </c>
      <c r="J2708">
        <v>6577425000</v>
      </c>
      <c r="K2708">
        <v>6080518000</v>
      </c>
      <c r="P2708">
        <v>31</v>
      </c>
      <c r="Q2708" t="s">
        <v>5751</v>
      </c>
    </row>
    <row r="2709" spans="1:17" x14ac:dyDescent="0.3">
      <c r="A2709" t="s">
        <v>4729</v>
      </c>
      <c r="B2709" t="str">
        <f>"001228"</f>
        <v>001228</v>
      </c>
      <c r="C2709" t="s">
        <v>5752</v>
      </c>
      <c r="F2709">
        <v>2144575495</v>
      </c>
      <c r="G2709">
        <v>952289272</v>
      </c>
      <c r="H2709">
        <v>826551615</v>
      </c>
      <c r="I2709">
        <v>668179973</v>
      </c>
      <c r="J2709">
        <v>537251970</v>
      </c>
      <c r="P2709">
        <v>2</v>
      </c>
      <c r="Q2709" t="s">
        <v>5753</v>
      </c>
    </row>
    <row r="2710" spans="1:17" x14ac:dyDescent="0.3">
      <c r="A2710" t="s">
        <v>4729</v>
      </c>
      <c r="B2710" t="str">
        <f>"001234"</f>
        <v>001234</v>
      </c>
      <c r="C2710" t="s">
        <v>5754</v>
      </c>
      <c r="D2710" t="s">
        <v>366</v>
      </c>
      <c r="F2710">
        <v>869337605</v>
      </c>
      <c r="G2710">
        <v>693538468</v>
      </c>
      <c r="H2710">
        <v>791387005</v>
      </c>
      <c r="I2710">
        <v>754747201</v>
      </c>
      <c r="J2710">
        <v>651061823</v>
      </c>
      <c r="P2710">
        <v>16</v>
      </c>
      <c r="Q2710" t="s">
        <v>5755</v>
      </c>
    </row>
    <row r="2711" spans="1:17" x14ac:dyDescent="0.3">
      <c r="A2711" t="s">
        <v>4729</v>
      </c>
      <c r="B2711" t="str">
        <f>"001235"</f>
        <v>001235</v>
      </c>
      <c r="C2711" t="s">
        <v>5756</v>
      </c>
      <c r="F2711">
        <v>459232563</v>
      </c>
      <c r="G2711">
        <v>403750206</v>
      </c>
      <c r="H2711">
        <v>326146094</v>
      </c>
      <c r="I2711">
        <v>270709989</v>
      </c>
      <c r="Q2711" t="s">
        <v>5757</v>
      </c>
    </row>
    <row r="2712" spans="1:17" x14ac:dyDescent="0.3">
      <c r="A2712" t="s">
        <v>4729</v>
      </c>
      <c r="B2712" t="str">
        <f>"001266"</f>
        <v>001266</v>
      </c>
      <c r="C2712" t="s">
        <v>5758</v>
      </c>
      <c r="F2712">
        <v>502482422</v>
      </c>
      <c r="G2712">
        <v>400028500</v>
      </c>
      <c r="H2712">
        <v>249387706</v>
      </c>
      <c r="I2712">
        <v>141339100</v>
      </c>
      <c r="P2712">
        <v>8</v>
      </c>
      <c r="Q2712" t="s">
        <v>5759</v>
      </c>
    </row>
    <row r="2713" spans="1:17" x14ac:dyDescent="0.3">
      <c r="A2713" t="s">
        <v>4729</v>
      </c>
      <c r="B2713" t="str">
        <f>"001267"</f>
        <v>001267</v>
      </c>
      <c r="C2713" t="s">
        <v>5760</v>
      </c>
      <c r="D2713" t="s">
        <v>2417</v>
      </c>
      <c r="F2713">
        <v>774822743</v>
      </c>
      <c r="G2713">
        <v>814256428</v>
      </c>
      <c r="H2713">
        <v>769044387</v>
      </c>
      <c r="I2713">
        <v>741435385</v>
      </c>
      <c r="P2713">
        <v>10</v>
      </c>
      <c r="Q2713" t="s">
        <v>5761</v>
      </c>
    </row>
    <row r="2714" spans="1:17" x14ac:dyDescent="0.3">
      <c r="A2714" t="s">
        <v>4729</v>
      </c>
      <c r="B2714" t="str">
        <f>"001288"</f>
        <v>001288</v>
      </c>
      <c r="C2714" t="s">
        <v>5762</v>
      </c>
      <c r="D2714" t="s">
        <v>395</v>
      </c>
      <c r="F2714">
        <v>787952586</v>
      </c>
      <c r="G2714">
        <v>690941274</v>
      </c>
      <c r="H2714">
        <v>774646015</v>
      </c>
      <c r="I2714">
        <v>782056925</v>
      </c>
      <c r="J2714">
        <v>626007386</v>
      </c>
      <c r="P2714">
        <v>14</v>
      </c>
      <c r="Q2714" t="s">
        <v>5763</v>
      </c>
    </row>
    <row r="2715" spans="1:17" x14ac:dyDescent="0.3">
      <c r="A2715" t="s">
        <v>4729</v>
      </c>
      <c r="B2715" t="str">
        <f>"001289"</f>
        <v>001289</v>
      </c>
      <c r="C2715" t="s">
        <v>5764</v>
      </c>
      <c r="F2715">
        <v>37208491000</v>
      </c>
      <c r="P2715">
        <v>28</v>
      </c>
      <c r="Q2715" t="s">
        <v>5765</v>
      </c>
    </row>
    <row r="2716" spans="1:17" x14ac:dyDescent="0.3">
      <c r="A2716" t="s">
        <v>4729</v>
      </c>
      <c r="B2716" t="str">
        <f>"001296"</f>
        <v>001296</v>
      </c>
      <c r="C2716" t="s">
        <v>5766</v>
      </c>
      <c r="D2716" t="s">
        <v>2762</v>
      </c>
      <c r="F2716">
        <v>933190775</v>
      </c>
      <c r="G2716">
        <v>945619144</v>
      </c>
      <c r="H2716">
        <v>861899779</v>
      </c>
      <c r="I2716">
        <v>749048283</v>
      </c>
      <c r="K2716">
        <v>653555098</v>
      </c>
      <c r="P2716">
        <v>15</v>
      </c>
      <c r="Q2716" t="s">
        <v>5767</v>
      </c>
    </row>
    <row r="2717" spans="1:17" x14ac:dyDescent="0.3">
      <c r="A2717" t="s">
        <v>4729</v>
      </c>
      <c r="B2717" t="str">
        <f>"001308"</f>
        <v>001308</v>
      </c>
      <c r="C2717" t="s">
        <v>5768</v>
      </c>
      <c r="F2717">
        <v>11888745138</v>
      </c>
      <c r="G2717">
        <v>7413593386</v>
      </c>
      <c r="H2717">
        <v>7031373660</v>
      </c>
      <c r="I2717">
        <v>6851538831</v>
      </c>
      <c r="P2717">
        <v>5</v>
      </c>
      <c r="Q2717" t="s">
        <v>5769</v>
      </c>
    </row>
    <row r="2718" spans="1:17" x14ac:dyDescent="0.3">
      <c r="A2718" t="s">
        <v>4729</v>
      </c>
      <c r="B2718" t="str">
        <f>"001313"</f>
        <v>001313</v>
      </c>
      <c r="C2718" t="s">
        <v>5770</v>
      </c>
      <c r="F2718">
        <v>6725075889</v>
      </c>
      <c r="G2718">
        <v>5843720741</v>
      </c>
      <c r="H2718">
        <v>5066527521</v>
      </c>
      <c r="I2718">
        <v>5252271087</v>
      </c>
      <c r="J2718">
        <v>4576896766</v>
      </c>
      <c r="P2718">
        <v>10</v>
      </c>
      <c r="Q2718" t="s">
        <v>5771</v>
      </c>
    </row>
    <row r="2719" spans="1:17" x14ac:dyDescent="0.3">
      <c r="A2719" t="s">
        <v>4729</v>
      </c>
      <c r="B2719" t="str">
        <f>"001317"</f>
        <v>001317</v>
      </c>
      <c r="C2719" t="s">
        <v>5772</v>
      </c>
      <c r="D2719" t="s">
        <v>301</v>
      </c>
      <c r="F2719">
        <v>922725158</v>
      </c>
      <c r="G2719">
        <v>867402606</v>
      </c>
      <c r="H2719">
        <v>919864695</v>
      </c>
      <c r="I2719">
        <v>829163205</v>
      </c>
      <c r="J2719">
        <v>784602250</v>
      </c>
      <c r="P2719">
        <v>23</v>
      </c>
      <c r="Q2719" t="s">
        <v>5773</v>
      </c>
    </row>
    <row r="2720" spans="1:17" x14ac:dyDescent="0.3">
      <c r="A2720" t="s">
        <v>4729</v>
      </c>
      <c r="B2720" t="str">
        <f>"001318"</f>
        <v>001318</v>
      </c>
      <c r="C2720" t="s">
        <v>5774</v>
      </c>
      <c r="F2720">
        <v>630617857</v>
      </c>
      <c r="G2720">
        <v>522571949</v>
      </c>
      <c r="H2720">
        <v>542969466</v>
      </c>
      <c r="I2720">
        <v>539574978</v>
      </c>
      <c r="Q2720" t="s">
        <v>5775</v>
      </c>
    </row>
    <row r="2721" spans="1:17" x14ac:dyDescent="0.3">
      <c r="A2721" t="s">
        <v>4729</v>
      </c>
      <c r="B2721" t="str">
        <f>"001319"</f>
        <v>001319</v>
      </c>
      <c r="C2721" t="s">
        <v>5776</v>
      </c>
      <c r="F2721">
        <v>855631476</v>
      </c>
      <c r="G2721">
        <v>731983164</v>
      </c>
      <c r="H2721">
        <v>744597899</v>
      </c>
      <c r="I2721">
        <v>645428303</v>
      </c>
      <c r="P2721">
        <v>0</v>
      </c>
      <c r="Q2721" t="s">
        <v>5777</v>
      </c>
    </row>
    <row r="2722" spans="1:17" x14ac:dyDescent="0.3">
      <c r="A2722" t="s">
        <v>4729</v>
      </c>
      <c r="B2722" t="str">
        <f>"001696"</f>
        <v>001696</v>
      </c>
      <c r="C2722" t="s">
        <v>5778</v>
      </c>
      <c r="D2722" t="s">
        <v>560</v>
      </c>
      <c r="F2722">
        <v>9176592166</v>
      </c>
      <c r="G2722">
        <v>7630172704</v>
      </c>
      <c r="H2722">
        <v>5593877444</v>
      </c>
      <c r="I2722">
        <v>5788336181</v>
      </c>
      <c r="J2722">
        <v>5022828213</v>
      </c>
      <c r="K2722">
        <v>4560670257</v>
      </c>
      <c r="L2722">
        <v>4524801072</v>
      </c>
      <c r="M2722">
        <v>4437789228</v>
      </c>
      <c r="N2722">
        <v>4368123944</v>
      </c>
      <c r="O2722">
        <v>4262650321</v>
      </c>
      <c r="P2722">
        <v>274</v>
      </c>
      <c r="Q2722" t="s">
        <v>5779</v>
      </c>
    </row>
    <row r="2723" spans="1:17" x14ac:dyDescent="0.3">
      <c r="A2723" t="s">
        <v>4729</v>
      </c>
      <c r="B2723" t="str">
        <f>"001872"</f>
        <v>001872</v>
      </c>
      <c r="C2723" t="s">
        <v>5780</v>
      </c>
      <c r="D2723" t="s">
        <v>51</v>
      </c>
      <c r="F2723">
        <v>15283808175</v>
      </c>
      <c r="G2723">
        <v>12618529996</v>
      </c>
      <c r="H2723">
        <v>12123829424</v>
      </c>
      <c r="I2723">
        <v>9703394623</v>
      </c>
      <c r="J2723">
        <v>2456218835</v>
      </c>
      <c r="K2723">
        <v>1905107140</v>
      </c>
      <c r="L2723">
        <v>1872608596</v>
      </c>
      <c r="M2723">
        <v>1804766176</v>
      </c>
      <c r="N2723">
        <v>1780774836</v>
      </c>
      <c r="O2723">
        <v>1783846135</v>
      </c>
      <c r="P2723">
        <v>254</v>
      </c>
      <c r="Q2723" t="s">
        <v>5781</v>
      </c>
    </row>
    <row r="2724" spans="1:17" x14ac:dyDescent="0.3">
      <c r="A2724" t="s">
        <v>4729</v>
      </c>
      <c r="B2724" t="str">
        <f>"001896"</f>
        <v>001896</v>
      </c>
      <c r="C2724" t="s">
        <v>5782</v>
      </c>
      <c r="D2724" t="s">
        <v>41</v>
      </c>
      <c r="F2724">
        <v>11906120270</v>
      </c>
      <c r="G2724">
        <v>8680912573</v>
      </c>
      <c r="H2724">
        <v>8089292688</v>
      </c>
      <c r="I2724">
        <v>8081518818</v>
      </c>
      <c r="J2724">
        <v>8760331491</v>
      </c>
      <c r="K2724">
        <v>5915004536</v>
      </c>
      <c r="L2724">
        <v>3655524210</v>
      </c>
      <c r="M2724">
        <v>3355950299</v>
      </c>
      <c r="N2724">
        <v>3500195823</v>
      </c>
      <c r="O2724">
        <v>3802025374</v>
      </c>
      <c r="P2724">
        <v>202</v>
      </c>
      <c r="Q2724" t="s">
        <v>5783</v>
      </c>
    </row>
    <row r="2725" spans="1:17" x14ac:dyDescent="0.3">
      <c r="A2725" t="s">
        <v>4729</v>
      </c>
      <c r="B2725" t="str">
        <f>"001914"</f>
        <v>001914</v>
      </c>
      <c r="C2725" t="s">
        <v>5784</v>
      </c>
      <c r="D2725" t="s">
        <v>2975</v>
      </c>
      <c r="F2725">
        <v>10590930093</v>
      </c>
      <c r="G2725">
        <v>8635147481</v>
      </c>
      <c r="H2725">
        <v>6077903716</v>
      </c>
      <c r="I2725">
        <v>6655646452</v>
      </c>
      <c r="J2725">
        <v>5893494038</v>
      </c>
      <c r="K2725">
        <v>6322693627</v>
      </c>
      <c r="L2725">
        <v>5518758980</v>
      </c>
      <c r="M2725">
        <v>6226241818</v>
      </c>
      <c r="N2725">
        <v>6224573654</v>
      </c>
      <c r="O2725">
        <v>4185324359</v>
      </c>
      <c r="P2725">
        <v>264</v>
      </c>
      <c r="Q2725" t="s">
        <v>5785</v>
      </c>
    </row>
    <row r="2726" spans="1:17" x14ac:dyDescent="0.3">
      <c r="A2726" t="s">
        <v>4729</v>
      </c>
      <c r="B2726" t="str">
        <f>"001965"</f>
        <v>001965</v>
      </c>
      <c r="C2726" t="s">
        <v>5786</v>
      </c>
      <c r="D2726" t="s">
        <v>44</v>
      </c>
      <c r="F2726">
        <v>8626031576</v>
      </c>
      <c r="G2726">
        <v>7068918715</v>
      </c>
      <c r="H2726">
        <v>8185073879</v>
      </c>
      <c r="I2726">
        <v>6759340168</v>
      </c>
      <c r="J2726">
        <v>5340664304</v>
      </c>
      <c r="K2726">
        <v>5053238300</v>
      </c>
      <c r="L2726">
        <v>4585271900</v>
      </c>
      <c r="M2726">
        <v>4448681900</v>
      </c>
      <c r="P2726">
        <v>359</v>
      </c>
      <c r="Q2726" t="s">
        <v>5787</v>
      </c>
    </row>
    <row r="2727" spans="1:17" x14ac:dyDescent="0.3">
      <c r="A2727" t="s">
        <v>4729</v>
      </c>
      <c r="B2727" t="str">
        <f>"001979"</f>
        <v>001979</v>
      </c>
      <c r="C2727" t="s">
        <v>5788</v>
      </c>
      <c r="D2727" t="s">
        <v>30</v>
      </c>
      <c r="F2727">
        <v>160643413000</v>
      </c>
      <c r="G2727">
        <v>129620818395</v>
      </c>
      <c r="H2727">
        <v>97672181192</v>
      </c>
      <c r="I2727">
        <v>88277854683</v>
      </c>
      <c r="J2727">
        <v>75454682170</v>
      </c>
      <c r="K2727">
        <v>63572826671</v>
      </c>
      <c r="L2727">
        <v>49222414971</v>
      </c>
      <c r="M2727">
        <v>45485947400</v>
      </c>
      <c r="N2727">
        <v>34782419900</v>
      </c>
      <c r="O2727">
        <v>27651821500</v>
      </c>
      <c r="P2727">
        <v>1456</v>
      </c>
      <c r="Q2727" t="s">
        <v>5789</v>
      </c>
    </row>
    <row r="2728" spans="1:17" x14ac:dyDescent="0.3">
      <c r="A2728" t="s">
        <v>4729</v>
      </c>
      <c r="B2728" t="str">
        <f>"002001"</f>
        <v>002001</v>
      </c>
      <c r="C2728" t="s">
        <v>5790</v>
      </c>
      <c r="D2728" t="s">
        <v>496</v>
      </c>
      <c r="F2728">
        <v>14797989091</v>
      </c>
      <c r="G2728">
        <v>10314084354</v>
      </c>
      <c r="H2728">
        <v>7620982936</v>
      </c>
      <c r="I2728">
        <v>8683381747</v>
      </c>
      <c r="J2728">
        <v>6235108150</v>
      </c>
      <c r="K2728">
        <v>4696277328</v>
      </c>
      <c r="L2728">
        <v>3822542972</v>
      </c>
      <c r="M2728">
        <v>4164209211</v>
      </c>
      <c r="N2728">
        <v>4237635148</v>
      </c>
      <c r="O2728">
        <v>3631417484</v>
      </c>
      <c r="P2728">
        <v>1984</v>
      </c>
      <c r="Q2728" t="s">
        <v>5791</v>
      </c>
    </row>
    <row r="2729" spans="1:17" x14ac:dyDescent="0.3">
      <c r="A2729" t="s">
        <v>4729</v>
      </c>
      <c r="B2729" t="str">
        <f>"002002"</f>
        <v>002002</v>
      </c>
      <c r="C2729" t="s">
        <v>5792</v>
      </c>
      <c r="D2729" t="s">
        <v>175</v>
      </c>
      <c r="F2729">
        <v>6522929537</v>
      </c>
      <c r="G2729">
        <v>5393922727</v>
      </c>
      <c r="H2729">
        <v>5299650818</v>
      </c>
      <c r="I2729">
        <v>6044700259</v>
      </c>
      <c r="J2729">
        <v>6540626309</v>
      </c>
      <c r="K2729">
        <v>6157736776</v>
      </c>
      <c r="L2729">
        <v>3809982566</v>
      </c>
      <c r="M2729">
        <v>3320010119</v>
      </c>
      <c r="N2729">
        <v>2416571436</v>
      </c>
      <c r="O2729">
        <v>208250503</v>
      </c>
      <c r="P2729">
        <v>451</v>
      </c>
      <c r="Q2729" t="s">
        <v>5793</v>
      </c>
    </row>
    <row r="2730" spans="1:17" x14ac:dyDescent="0.3">
      <c r="A2730" t="s">
        <v>4729</v>
      </c>
      <c r="B2730" t="str">
        <f>"002003"</f>
        <v>002003</v>
      </c>
      <c r="C2730" t="s">
        <v>5794</v>
      </c>
      <c r="D2730" t="s">
        <v>2956</v>
      </c>
      <c r="F2730">
        <v>3355676052</v>
      </c>
      <c r="G2730">
        <v>2496116313</v>
      </c>
      <c r="H2730">
        <v>2732484404</v>
      </c>
      <c r="I2730">
        <v>2711568244</v>
      </c>
      <c r="J2730">
        <v>2624372911</v>
      </c>
      <c r="K2730">
        <v>2173905063</v>
      </c>
      <c r="L2730">
        <v>1873718981</v>
      </c>
      <c r="M2730">
        <v>1848628884</v>
      </c>
      <c r="N2730">
        <v>1772064457</v>
      </c>
      <c r="O2730">
        <v>1855734854</v>
      </c>
      <c r="P2730">
        <v>763</v>
      </c>
      <c r="Q2730" t="s">
        <v>5795</v>
      </c>
    </row>
    <row r="2731" spans="1:17" x14ac:dyDescent="0.3">
      <c r="A2731" t="s">
        <v>4729</v>
      </c>
      <c r="B2731" t="str">
        <f>"002004"</f>
        <v>002004</v>
      </c>
      <c r="C2731" t="s">
        <v>5796</v>
      </c>
      <c r="D2731" t="s">
        <v>143</v>
      </c>
      <c r="F2731">
        <v>12359182988</v>
      </c>
      <c r="G2731">
        <v>10876361873</v>
      </c>
      <c r="H2731">
        <v>10091370487</v>
      </c>
      <c r="I2731">
        <v>10573627541</v>
      </c>
      <c r="J2731">
        <v>9108900359</v>
      </c>
      <c r="K2731">
        <v>7092779974</v>
      </c>
      <c r="L2731">
        <v>6174305698</v>
      </c>
      <c r="M2731">
        <v>4866688803</v>
      </c>
      <c r="N2731">
        <v>4463630641</v>
      </c>
      <c r="O2731">
        <v>3877392815</v>
      </c>
      <c r="P2731">
        <v>327</v>
      </c>
      <c r="Q2731" t="s">
        <v>5797</v>
      </c>
    </row>
    <row r="2732" spans="1:17" x14ac:dyDescent="0.3">
      <c r="A2732" t="s">
        <v>4729</v>
      </c>
      <c r="B2732" t="str">
        <f>"002005"</f>
        <v>002005</v>
      </c>
      <c r="C2732" t="s">
        <v>5798</v>
      </c>
      <c r="D2732" t="s">
        <v>5799</v>
      </c>
      <c r="F2732">
        <v>2078480321</v>
      </c>
      <c r="G2732">
        <v>2216002596</v>
      </c>
      <c r="H2732">
        <v>2980356543</v>
      </c>
      <c r="I2732">
        <v>4001232176</v>
      </c>
      <c r="J2732">
        <v>4202957030</v>
      </c>
      <c r="K2732">
        <v>4049764848</v>
      </c>
      <c r="L2732">
        <v>4506356886</v>
      </c>
      <c r="M2732">
        <v>4154733583</v>
      </c>
      <c r="N2732">
        <v>3129893522</v>
      </c>
      <c r="O2732">
        <v>2757637805</v>
      </c>
      <c r="P2732">
        <v>74</v>
      </c>
      <c r="Q2732" t="s">
        <v>5800</v>
      </c>
    </row>
    <row r="2733" spans="1:17" x14ac:dyDescent="0.3">
      <c r="A2733" t="s">
        <v>4729</v>
      </c>
      <c r="B2733" t="str">
        <f>"002006"</f>
        <v>002006</v>
      </c>
      <c r="C2733" t="s">
        <v>5801</v>
      </c>
      <c r="D2733" t="s">
        <v>741</v>
      </c>
      <c r="F2733">
        <v>1728426070</v>
      </c>
      <c r="G2733">
        <v>1069894615</v>
      </c>
      <c r="H2733">
        <v>865386565</v>
      </c>
      <c r="I2733">
        <v>1004355167</v>
      </c>
      <c r="J2733">
        <v>950398933</v>
      </c>
      <c r="K2733">
        <v>697543068</v>
      </c>
      <c r="L2733">
        <v>651334232</v>
      </c>
      <c r="M2733">
        <v>901867675</v>
      </c>
      <c r="N2733">
        <v>744178855</v>
      </c>
      <c r="O2733">
        <v>735488493</v>
      </c>
      <c r="P2733">
        <v>127</v>
      </c>
      <c r="Q2733" t="s">
        <v>5802</v>
      </c>
    </row>
    <row r="2734" spans="1:17" x14ac:dyDescent="0.3">
      <c r="A2734" t="s">
        <v>4729</v>
      </c>
      <c r="B2734" t="str">
        <f>"002007"</f>
        <v>002007</v>
      </c>
      <c r="C2734" t="s">
        <v>5803</v>
      </c>
      <c r="D2734" t="s">
        <v>378</v>
      </c>
      <c r="F2734">
        <v>4436200125</v>
      </c>
      <c r="G2734">
        <v>5023206263</v>
      </c>
      <c r="H2734">
        <v>3699941990</v>
      </c>
      <c r="I2734">
        <v>3216898723</v>
      </c>
      <c r="J2734">
        <v>2368176569</v>
      </c>
      <c r="K2734">
        <v>1934669663</v>
      </c>
      <c r="L2734">
        <v>1471763308</v>
      </c>
      <c r="M2734">
        <v>1243487961</v>
      </c>
      <c r="N2734">
        <v>1117611999</v>
      </c>
      <c r="O2734">
        <v>972460215</v>
      </c>
      <c r="P2734">
        <v>13194</v>
      </c>
      <c r="Q2734" t="s">
        <v>5804</v>
      </c>
    </row>
    <row r="2735" spans="1:17" x14ac:dyDescent="0.3">
      <c r="A2735" t="s">
        <v>4729</v>
      </c>
      <c r="B2735" t="str">
        <f>"002008"</f>
        <v>002008</v>
      </c>
      <c r="C2735" t="s">
        <v>5805</v>
      </c>
      <c r="D2735" t="s">
        <v>3811</v>
      </c>
      <c r="F2735">
        <v>16332335531</v>
      </c>
      <c r="G2735">
        <v>11942482606</v>
      </c>
      <c r="H2735">
        <v>9562627344</v>
      </c>
      <c r="I2735">
        <v>11029485680</v>
      </c>
      <c r="J2735">
        <v>11560093510</v>
      </c>
      <c r="K2735">
        <v>6958888024</v>
      </c>
      <c r="L2735">
        <v>5587344729</v>
      </c>
      <c r="M2735">
        <v>5565593515</v>
      </c>
      <c r="N2735">
        <v>4334252888</v>
      </c>
      <c r="O2735">
        <v>4333014542</v>
      </c>
      <c r="P2735">
        <v>4831</v>
      </c>
      <c r="Q2735" t="s">
        <v>5806</v>
      </c>
    </row>
    <row r="2736" spans="1:17" x14ac:dyDescent="0.3">
      <c r="A2736" t="s">
        <v>4729</v>
      </c>
      <c r="B2736" t="str">
        <f>"002009"</f>
        <v>002009</v>
      </c>
      <c r="C2736" t="s">
        <v>5807</v>
      </c>
      <c r="D2736" t="s">
        <v>741</v>
      </c>
      <c r="F2736">
        <v>3778545928</v>
      </c>
      <c r="G2736">
        <v>3592247900</v>
      </c>
      <c r="H2736">
        <v>3157573032</v>
      </c>
      <c r="I2736">
        <v>3502762535</v>
      </c>
      <c r="J2736">
        <v>2458332709</v>
      </c>
      <c r="K2736">
        <v>2436786642</v>
      </c>
      <c r="L2736">
        <v>2174791560</v>
      </c>
      <c r="M2736">
        <v>1781167423</v>
      </c>
      <c r="N2736">
        <v>1746901155</v>
      </c>
      <c r="O2736">
        <v>1718867608</v>
      </c>
      <c r="P2736">
        <v>148</v>
      </c>
      <c r="Q2736" t="s">
        <v>5808</v>
      </c>
    </row>
    <row r="2737" spans="1:17" x14ac:dyDescent="0.3">
      <c r="A2737" t="s">
        <v>4729</v>
      </c>
      <c r="B2737" t="str">
        <f>"002010"</f>
        <v>002010</v>
      </c>
      <c r="C2737" t="s">
        <v>5809</v>
      </c>
      <c r="D2737" t="s">
        <v>2503</v>
      </c>
      <c r="F2737">
        <v>35392207813</v>
      </c>
      <c r="G2737">
        <v>21496560454</v>
      </c>
      <c r="H2737">
        <v>20143339040</v>
      </c>
      <c r="I2737">
        <v>20148069887</v>
      </c>
      <c r="J2737">
        <v>19215357660</v>
      </c>
      <c r="K2737">
        <v>8166726777</v>
      </c>
      <c r="L2737">
        <v>5340340368</v>
      </c>
      <c r="M2737">
        <v>5029958747</v>
      </c>
      <c r="N2737">
        <v>4095279476</v>
      </c>
      <c r="O2737">
        <v>3353527474</v>
      </c>
      <c r="P2737">
        <v>279</v>
      </c>
      <c r="Q2737" t="s">
        <v>5810</v>
      </c>
    </row>
    <row r="2738" spans="1:17" x14ac:dyDescent="0.3">
      <c r="A2738" t="s">
        <v>4729</v>
      </c>
      <c r="B2738" t="str">
        <f>"002011"</f>
        <v>002011</v>
      </c>
      <c r="C2738" t="s">
        <v>5811</v>
      </c>
      <c r="D2738" t="s">
        <v>1253</v>
      </c>
      <c r="F2738">
        <v>9836984026</v>
      </c>
      <c r="G2738">
        <v>7380558841</v>
      </c>
      <c r="H2738">
        <v>9104342089</v>
      </c>
      <c r="I2738">
        <v>9400534426</v>
      </c>
      <c r="J2738">
        <v>8278758726</v>
      </c>
      <c r="K2738">
        <v>5830191340</v>
      </c>
      <c r="L2738">
        <v>5858860792</v>
      </c>
      <c r="M2738">
        <v>6601451247</v>
      </c>
      <c r="N2738">
        <v>6466699211</v>
      </c>
      <c r="O2738">
        <v>7579309505</v>
      </c>
      <c r="P2738">
        <v>201</v>
      </c>
      <c r="Q2738" t="s">
        <v>5812</v>
      </c>
    </row>
    <row r="2739" spans="1:17" x14ac:dyDescent="0.3">
      <c r="A2739" t="s">
        <v>4729</v>
      </c>
      <c r="B2739" t="str">
        <f>"002012"</f>
        <v>002012</v>
      </c>
      <c r="C2739" t="s">
        <v>5813</v>
      </c>
      <c r="D2739" t="s">
        <v>244</v>
      </c>
      <c r="F2739">
        <v>1829712080</v>
      </c>
      <c r="G2739">
        <v>1550229941</v>
      </c>
      <c r="H2739">
        <v>1152307200</v>
      </c>
      <c r="I2739">
        <v>1128316972</v>
      </c>
      <c r="J2739">
        <v>1028390123</v>
      </c>
      <c r="K2739">
        <v>942570194</v>
      </c>
      <c r="L2739">
        <v>892500619</v>
      </c>
      <c r="M2739">
        <v>932756582</v>
      </c>
      <c r="N2739">
        <v>979836249</v>
      </c>
      <c r="O2739">
        <v>863918728</v>
      </c>
      <c r="P2739">
        <v>131</v>
      </c>
      <c r="Q2739" t="s">
        <v>5814</v>
      </c>
    </row>
    <row r="2740" spans="1:17" x14ac:dyDescent="0.3">
      <c r="A2740" t="s">
        <v>4729</v>
      </c>
      <c r="B2740" t="str">
        <f>"002013"</f>
        <v>002013</v>
      </c>
      <c r="C2740" t="s">
        <v>5815</v>
      </c>
      <c r="D2740" t="s">
        <v>98</v>
      </c>
      <c r="F2740">
        <v>14992204845</v>
      </c>
      <c r="G2740">
        <v>12224098838</v>
      </c>
      <c r="H2740">
        <v>12131383071</v>
      </c>
      <c r="I2740">
        <v>11637179956</v>
      </c>
      <c r="J2740">
        <v>9232191954</v>
      </c>
      <c r="K2740">
        <v>8512484448</v>
      </c>
      <c r="L2740">
        <v>7328150720</v>
      </c>
      <c r="M2740">
        <v>7562193304</v>
      </c>
      <c r="N2740">
        <v>6729586286</v>
      </c>
      <c r="O2740">
        <v>6673825364</v>
      </c>
      <c r="P2740">
        <v>656</v>
      </c>
      <c r="Q2740" t="s">
        <v>5816</v>
      </c>
    </row>
    <row r="2741" spans="1:17" x14ac:dyDescent="0.3">
      <c r="A2741" t="s">
        <v>4729</v>
      </c>
      <c r="B2741" t="str">
        <f>"002014"</f>
        <v>002014</v>
      </c>
      <c r="C2741" t="s">
        <v>5817</v>
      </c>
      <c r="D2741" t="s">
        <v>485</v>
      </c>
      <c r="F2741">
        <v>3023694552</v>
      </c>
      <c r="G2741">
        <v>2737497377</v>
      </c>
      <c r="H2741">
        <v>2599724041</v>
      </c>
      <c r="I2741">
        <v>2332267545</v>
      </c>
      <c r="J2741">
        <v>2008242606</v>
      </c>
      <c r="K2741">
        <v>1904193777</v>
      </c>
      <c r="L2741">
        <v>1783867801</v>
      </c>
      <c r="M2741">
        <v>1668452273</v>
      </c>
      <c r="N2741">
        <v>1618458051</v>
      </c>
      <c r="O2741">
        <v>1521013204</v>
      </c>
      <c r="P2741">
        <v>467</v>
      </c>
      <c r="Q2741" t="s">
        <v>5818</v>
      </c>
    </row>
    <row r="2742" spans="1:17" x14ac:dyDescent="0.3">
      <c r="A2742" t="s">
        <v>4729</v>
      </c>
      <c r="B2742" t="str">
        <f>"002015"</f>
        <v>002015</v>
      </c>
      <c r="C2742" t="s">
        <v>5819</v>
      </c>
      <c r="D2742" t="s">
        <v>351</v>
      </c>
      <c r="F2742">
        <v>11314324571</v>
      </c>
      <c r="G2742">
        <v>11305931719</v>
      </c>
      <c r="H2742">
        <v>10898257594</v>
      </c>
      <c r="I2742">
        <v>471813617</v>
      </c>
      <c r="J2742">
        <v>409899037</v>
      </c>
      <c r="K2742">
        <v>379741433</v>
      </c>
      <c r="L2742">
        <v>393181646</v>
      </c>
      <c r="M2742">
        <v>1155567001</v>
      </c>
      <c r="N2742">
        <v>2078552185</v>
      </c>
      <c r="O2742">
        <v>1722699550</v>
      </c>
      <c r="P2742">
        <v>239</v>
      </c>
      <c r="Q2742" t="s">
        <v>5820</v>
      </c>
    </row>
    <row r="2743" spans="1:17" x14ac:dyDescent="0.3">
      <c r="A2743" t="s">
        <v>4729</v>
      </c>
      <c r="B2743" t="str">
        <f>"002016"</f>
        <v>002016</v>
      </c>
      <c r="C2743" t="s">
        <v>5821</v>
      </c>
      <c r="D2743" t="s">
        <v>104</v>
      </c>
      <c r="F2743">
        <v>2380482132</v>
      </c>
      <c r="G2743">
        <v>2947576077</v>
      </c>
      <c r="H2743">
        <v>2752899566</v>
      </c>
      <c r="I2743">
        <v>2353478723</v>
      </c>
      <c r="J2743">
        <v>3105248137</v>
      </c>
      <c r="K2743">
        <v>1432955498</v>
      </c>
      <c r="L2743">
        <v>1349018043</v>
      </c>
      <c r="M2743">
        <v>421053061</v>
      </c>
      <c r="N2743">
        <v>972969485</v>
      </c>
      <c r="O2743">
        <v>617581363</v>
      </c>
      <c r="P2743">
        <v>457</v>
      </c>
      <c r="Q2743" t="s">
        <v>5822</v>
      </c>
    </row>
    <row r="2744" spans="1:17" x14ac:dyDescent="0.3">
      <c r="A2744" t="s">
        <v>4729</v>
      </c>
      <c r="B2744" t="str">
        <f>"002017"</f>
        <v>002017</v>
      </c>
      <c r="C2744" t="s">
        <v>5823</v>
      </c>
      <c r="D2744" t="s">
        <v>786</v>
      </c>
      <c r="F2744">
        <v>1072485757</v>
      </c>
      <c r="G2744">
        <v>1062684714</v>
      </c>
      <c r="H2744">
        <v>1178720034</v>
      </c>
      <c r="I2744">
        <v>1152713286</v>
      </c>
      <c r="J2744">
        <v>1189810003</v>
      </c>
      <c r="K2744">
        <v>1496767854</v>
      </c>
      <c r="L2744">
        <v>1439347993</v>
      </c>
      <c r="M2744">
        <v>1287020629</v>
      </c>
      <c r="N2744">
        <v>1168242040</v>
      </c>
      <c r="O2744">
        <v>1033902401</v>
      </c>
      <c r="P2744">
        <v>216</v>
      </c>
      <c r="Q2744" t="s">
        <v>5824</v>
      </c>
    </row>
    <row r="2745" spans="1:17" x14ac:dyDescent="0.3">
      <c r="A2745" t="s">
        <v>4729</v>
      </c>
      <c r="B2745" t="str">
        <f>"002018"</f>
        <v>002018</v>
      </c>
      <c r="C2745" t="s">
        <v>5825</v>
      </c>
      <c r="H2745">
        <v>124225055</v>
      </c>
      <c r="I2745">
        <v>986083251</v>
      </c>
      <c r="J2745">
        <v>16778922778</v>
      </c>
      <c r="K2745">
        <v>19027657339</v>
      </c>
      <c r="L2745">
        <v>7983334553</v>
      </c>
      <c r="M2745">
        <v>5417599533</v>
      </c>
      <c r="N2745">
        <v>3954357258</v>
      </c>
      <c r="O2745">
        <v>942656026</v>
      </c>
      <c r="P2745">
        <v>40</v>
      </c>
      <c r="Q2745" t="s">
        <v>5826</v>
      </c>
    </row>
    <row r="2746" spans="1:17" x14ac:dyDescent="0.3">
      <c r="A2746" t="s">
        <v>4729</v>
      </c>
      <c r="B2746" t="str">
        <f>"002019"</f>
        <v>002019</v>
      </c>
      <c r="C2746" t="s">
        <v>5827</v>
      </c>
      <c r="D2746" t="s">
        <v>143</v>
      </c>
      <c r="F2746">
        <v>4409035586</v>
      </c>
      <c r="G2746">
        <v>5400380581</v>
      </c>
      <c r="H2746">
        <v>5186843636</v>
      </c>
      <c r="I2746">
        <v>4631795440</v>
      </c>
      <c r="J2746">
        <v>4373293979</v>
      </c>
      <c r="K2746">
        <v>3504600953</v>
      </c>
      <c r="L2746">
        <v>2434929766</v>
      </c>
      <c r="M2746">
        <v>1684984365</v>
      </c>
      <c r="N2746">
        <v>698020774</v>
      </c>
      <c r="O2746">
        <v>644191139</v>
      </c>
      <c r="P2746">
        <v>973</v>
      </c>
      <c r="Q2746" t="s">
        <v>5828</v>
      </c>
    </row>
    <row r="2747" spans="1:17" x14ac:dyDescent="0.3">
      <c r="A2747" t="s">
        <v>4729</v>
      </c>
      <c r="B2747" t="str">
        <f>"002020"</f>
        <v>002020</v>
      </c>
      <c r="C2747" t="s">
        <v>5829</v>
      </c>
      <c r="D2747" t="s">
        <v>143</v>
      </c>
      <c r="F2747">
        <v>3335970889</v>
      </c>
      <c r="G2747">
        <v>3258075481</v>
      </c>
      <c r="H2747">
        <v>3646683906</v>
      </c>
      <c r="I2747">
        <v>2943801996</v>
      </c>
      <c r="J2747">
        <v>2219065970</v>
      </c>
      <c r="K2747">
        <v>1875460915</v>
      </c>
      <c r="L2747">
        <v>1415696357</v>
      </c>
      <c r="M2747">
        <v>1235496146</v>
      </c>
      <c r="N2747">
        <v>974427376</v>
      </c>
      <c r="O2747">
        <v>857582263</v>
      </c>
      <c r="P2747">
        <v>619</v>
      </c>
      <c r="Q2747" t="s">
        <v>5830</v>
      </c>
    </row>
    <row r="2748" spans="1:17" x14ac:dyDescent="0.3">
      <c r="A2748" t="s">
        <v>4729</v>
      </c>
      <c r="B2748" t="str">
        <f>"002021"</f>
        <v>002021</v>
      </c>
      <c r="C2748" t="s">
        <v>5831</v>
      </c>
      <c r="D2748" t="s">
        <v>534</v>
      </c>
      <c r="F2748">
        <v>959337001</v>
      </c>
      <c r="G2748">
        <v>525535335</v>
      </c>
      <c r="H2748">
        <v>706762459</v>
      </c>
      <c r="I2748">
        <v>1141269501</v>
      </c>
      <c r="J2748">
        <v>1002449150</v>
      </c>
      <c r="K2748">
        <v>644257130</v>
      </c>
      <c r="L2748">
        <v>727062212</v>
      </c>
      <c r="M2748">
        <v>1123360375</v>
      </c>
      <c r="N2748">
        <v>1274931376</v>
      </c>
      <c r="O2748">
        <v>976456175</v>
      </c>
      <c r="P2748">
        <v>57</v>
      </c>
      <c r="Q2748" t="s">
        <v>5832</v>
      </c>
    </row>
    <row r="2749" spans="1:17" x14ac:dyDescent="0.3">
      <c r="A2749" t="s">
        <v>4729</v>
      </c>
      <c r="B2749" t="str">
        <f>"002022"</f>
        <v>002022</v>
      </c>
      <c r="C2749" t="s">
        <v>5833</v>
      </c>
      <c r="D2749" t="s">
        <v>1305</v>
      </c>
      <c r="F2749">
        <v>4268011809</v>
      </c>
      <c r="G2749">
        <v>4155428847</v>
      </c>
      <c r="H2749">
        <v>2414471289</v>
      </c>
      <c r="I2749">
        <v>1990213558</v>
      </c>
      <c r="J2749">
        <v>1594116212</v>
      </c>
      <c r="K2749">
        <v>1396672089</v>
      </c>
      <c r="L2749">
        <v>1155783343</v>
      </c>
      <c r="M2749">
        <v>1217885733</v>
      </c>
      <c r="N2749">
        <v>1114434632</v>
      </c>
      <c r="O2749">
        <v>1013681321</v>
      </c>
      <c r="P2749">
        <v>1024</v>
      </c>
      <c r="Q2749" t="s">
        <v>5834</v>
      </c>
    </row>
    <row r="2750" spans="1:17" x14ac:dyDescent="0.3">
      <c r="A2750" t="s">
        <v>4729</v>
      </c>
      <c r="B2750" t="str">
        <f>"002023"</f>
        <v>002023</v>
      </c>
      <c r="C2750" t="s">
        <v>5835</v>
      </c>
      <c r="D2750" t="s">
        <v>98</v>
      </c>
      <c r="F2750">
        <v>840824591</v>
      </c>
      <c r="G2750">
        <v>964133094</v>
      </c>
      <c r="H2750">
        <v>807878769</v>
      </c>
      <c r="I2750">
        <v>515622697</v>
      </c>
      <c r="J2750">
        <v>426075459</v>
      </c>
      <c r="K2750">
        <v>494747601</v>
      </c>
      <c r="L2750">
        <v>428526766</v>
      </c>
      <c r="M2750">
        <v>501801456</v>
      </c>
      <c r="N2750">
        <v>431388614</v>
      </c>
      <c r="O2750">
        <v>295884244</v>
      </c>
      <c r="P2750">
        <v>580</v>
      </c>
      <c r="Q2750" t="s">
        <v>5836</v>
      </c>
    </row>
    <row r="2751" spans="1:17" x14ac:dyDescent="0.3">
      <c r="A2751" t="s">
        <v>4729</v>
      </c>
      <c r="B2751" t="str">
        <f>"002024"</f>
        <v>002024</v>
      </c>
      <c r="C2751" t="s">
        <v>5837</v>
      </c>
      <c r="D2751" t="s">
        <v>3093</v>
      </c>
      <c r="F2751">
        <v>138904337000</v>
      </c>
      <c r="G2751">
        <v>252295666000</v>
      </c>
      <c r="H2751">
        <v>269228900000</v>
      </c>
      <c r="I2751">
        <v>244956573000</v>
      </c>
      <c r="J2751">
        <v>187927764000</v>
      </c>
      <c r="K2751">
        <v>148585331000</v>
      </c>
      <c r="L2751">
        <v>135547633000</v>
      </c>
      <c r="M2751">
        <v>108925296000</v>
      </c>
      <c r="N2751">
        <v>105292229000</v>
      </c>
      <c r="O2751">
        <v>98357161000</v>
      </c>
      <c r="P2751">
        <v>1902</v>
      </c>
      <c r="Q2751" t="s">
        <v>5838</v>
      </c>
    </row>
    <row r="2752" spans="1:17" x14ac:dyDescent="0.3">
      <c r="A2752" t="s">
        <v>4729</v>
      </c>
      <c r="B2752" t="str">
        <f>"002025"</f>
        <v>002025</v>
      </c>
      <c r="C2752" t="s">
        <v>5839</v>
      </c>
      <c r="D2752" t="s">
        <v>1136</v>
      </c>
      <c r="F2752">
        <v>5037852151</v>
      </c>
      <c r="G2752">
        <v>4218411903</v>
      </c>
      <c r="H2752">
        <v>3533710585</v>
      </c>
      <c r="I2752">
        <v>2834084194</v>
      </c>
      <c r="J2752">
        <v>2612127320</v>
      </c>
      <c r="K2752">
        <v>2256403255</v>
      </c>
      <c r="L2752">
        <v>1873434141</v>
      </c>
      <c r="M2752">
        <v>1604339229</v>
      </c>
      <c r="N2752">
        <v>1370840539</v>
      </c>
      <c r="O2752">
        <v>1094161914</v>
      </c>
      <c r="P2752">
        <v>468</v>
      </c>
      <c r="Q2752" t="s">
        <v>5840</v>
      </c>
    </row>
    <row r="2753" spans="1:17" x14ac:dyDescent="0.3">
      <c r="A2753" t="s">
        <v>4729</v>
      </c>
      <c r="B2753" t="str">
        <f>"002026"</f>
        <v>002026</v>
      </c>
      <c r="C2753" t="s">
        <v>5841</v>
      </c>
      <c r="D2753" t="s">
        <v>274</v>
      </c>
      <c r="F2753">
        <v>3309710388</v>
      </c>
      <c r="G2753">
        <v>2165052832</v>
      </c>
      <c r="H2753">
        <v>1575109440</v>
      </c>
      <c r="I2753">
        <v>1661996646</v>
      </c>
      <c r="J2753">
        <v>1469448741</v>
      </c>
      <c r="K2753">
        <v>1180581447</v>
      </c>
      <c r="L2753">
        <v>828278321</v>
      </c>
      <c r="M2753">
        <v>806297912</v>
      </c>
      <c r="N2753">
        <v>718220284</v>
      </c>
      <c r="O2753">
        <v>644601999</v>
      </c>
      <c r="P2753">
        <v>208</v>
      </c>
      <c r="Q2753" t="s">
        <v>5842</v>
      </c>
    </row>
    <row r="2754" spans="1:17" x14ac:dyDescent="0.3">
      <c r="A2754" t="s">
        <v>4729</v>
      </c>
      <c r="B2754" t="str">
        <f>"002027"</f>
        <v>002027</v>
      </c>
      <c r="C2754" t="s">
        <v>5843</v>
      </c>
      <c r="D2754" t="s">
        <v>5132</v>
      </c>
      <c r="F2754">
        <v>14836422937</v>
      </c>
      <c r="G2754">
        <v>12097106053</v>
      </c>
      <c r="H2754">
        <v>12135948051</v>
      </c>
      <c r="I2754">
        <v>14551285133</v>
      </c>
      <c r="J2754">
        <v>12013553185</v>
      </c>
      <c r="K2754">
        <v>10213134292</v>
      </c>
      <c r="L2754">
        <v>8627411562</v>
      </c>
      <c r="M2754">
        <v>396648399</v>
      </c>
      <c r="N2754">
        <v>1417780745</v>
      </c>
      <c r="O2754">
        <v>1337336902</v>
      </c>
      <c r="P2754">
        <v>5234</v>
      </c>
      <c r="Q2754" t="s">
        <v>5844</v>
      </c>
    </row>
    <row r="2755" spans="1:17" x14ac:dyDescent="0.3">
      <c r="A2755" t="s">
        <v>4729</v>
      </c>
      <c r="B2755" t="str">
        <f>"002028"</f>
        <v>002028</v>
      </c>
      <c r="C2755" t="s">
        <v>5845</v>
      </c>
      <c r="D2755" t="s">
        <v>210</v>
      </c>
      <c r="F2755">
        <v>8695335077</v>
      </c>
      <c r="G2755">
        <v>7372519864</v>
      </c>
      <c r="H2755">
        <v>6380095191</v>
      </c>
      <c r="I2755">
        <v>4806616780</v>
      </c>
      <c r="J2755">
        <v>4494788143</v>
      </c>
      <c r="K2755">
        <v>4403730404</v>
      </c>
      <c r="L2755">
        <v>3997420744</v>
      </c>
      <c r="M2755">
        <v>3671304783</v>
      </c>
      <c r="N2755">
        <v>3385571191</v>
      </c>
      <c r="O2755">
        <v>2891734580</v>
      </c>
      <c r="P2755">
        <v>603</v>
      </c>
      <c r="Q2755" t="s">
        <v>5846</v>
      </c>
    </row>
    <row r="2756" spans="1:17" x14ac:dyDescent="0.3">
      <c r="A2756" t="s">
        <v>4729</v>
      </c>
      <c r="B2756" t="str">
        <f>"002029"</f>
        <v>002029</v>
      </c>
      <c r="C2756" t="s">
        <v>5847</v>
      </c>
      <c r="D2756" t="s">
        <v>255</v>
      </c>
      <c r="F2756">
        <v>3514224820</v>
      </c>
      <c r="G2756">
        <v>3330357256</v>
      </c>
      <c r="H2756">
        <v>3623196872</v>
      </c>
      <c r="I2756">
        <v>3517032254</v>
      </c>
      <c r="J2756">
        <v>3084894273</v>
      </c>
      <c r="K2756">
        <v>2639603027</v>
      </c>
      <c r="L2756">
        <v>2486469113</v>
      </c>
      <c r="M2756">
        <v>2391034759</v>
      </c>
      <c r="N2756">
        <v>2773490672</v>
      </c>
      <c r="O2756">
        <v>3476991142</v>
      </c>
      <c r="P2756">
        <v>219</v>
      </c>
      <c r="Q2756" t="s">
        <v>5848</v>
      </c>
    </row>
    <row r="2757" spans="1:17" x14ac:dyDescent="0.3">
      <c r="A2757" t="s">
        <v>4729</v>
      </c>
      <c r="B2757" t="str">
        <f>"002030"</f>
        <v>002030</v>
      </c>
      <c r="C2757" t="s">
        <v>5849</v>
      </c>
      <c r="D2757" t="s">
        <v>1305</v>
      </c>
      <c r="F2757">
        <v>7664262202</v>
      </c>
      <c r="G2757">
        <v>5341209628</v>
      </c>
      <c r="H2757">
        <v>1098217159</v>
      </c>
      <c r="I2757">
        <v>1478663128</v>
      </c>
      <c r="J2757">
        <v>1540211374</v>
      </c>
      <c r="K2757">
        <v>1608556125</v>
      </c>
      <c r="L2757">
        <v>1474339102</v>
      </c>
      <c r="M2757">
        <v>1086153434</v>
      </c>
      <c r="N2757">
        <v>854372323</v>
      </c>
      <c r="O2757">
        <v>582692342</v>
      </c>
      <c r="P2757">
        <v>1177</v>
      </c>
      <c r="Q2757" t="s">
        <v>5850</v>
      </c>
    </row>
    <row r="2758" spans="1:17" x14ac:dyDescent="0.3">
      <c r="A2758" t="s">
        <v>4729</v>
      </c>
      <c r="B2758" t="str">
        <f>"002031"</f>
        <v>002031</v>
      </c>
      <c r="C2758" t="s">
        <v>5851</v>
      </c>
      <c r="D2758" t="s">
        <v>741</v>
      </c>
      <c r="F2758">
        <v>2208794912</v>
      </c>
      <c r="G2758">
        <v>1678113240</v>
      </c>
      <c r="H2758">
        <v>1406523306</v>
      </c>
      <c r="I2758">
        <v>1402025481</v>
      </c>
      <c r="J2758">
        <v>1154800321</v>
      </c>
      <c r="K2758">
        <v>817939813</v>
      </c>
      <c r="L2758">
        <v>987583895</v>
      </c>
      <c r="M2758">
        <v>1067148781</v>
      </c>
      <c r="N2758">
        <v>901167343</v>
      </c>
      <c r="O2758">
        <v>776526461</v>
      </c>
      <c r="P2758">
        <v>137</v>
      </c>
      <c r="Q2758" t="s">
        <v>5852</v>
      </c>
    </row>
    <row r="2759" spans="1:17" x14ac:dyDescent="0.3">
      <c r="A2759" t="s">
        <v>4729</v>
      </c>
      <c r="B2759" t="str">
        <f>"002032"</f>
        <v>002032</v>
      </c>
      <c r="C2759" t="s">
        <v>5853</v>
      </c>
      <c r="D2759" t="s">
        <v>5799</v>
      </c>
      <c r="F2759">
        <v>21585331407</v>
      </c>
      <c r="G2759">
        <v>18596944289</v>
      </c>
      <c r="H2759">
        <v>19853477883</v>
      </c>
      <c r="I2759">
        <v>17851264802</v>
      </c>
      <c r="J2759">
        <v>14187347426</v>
      </c>
      <c r="K2759">
        <v>11947123201</v>
      </c>
      <c r="L2759">
        <v>10909686626</v>
      </c>
      <c r="M2759">
        <v>9534643946</v>
      </c>
      <c r="N2759">
        <v>8383249627</v>
      </c>
      <c r="O2759">
        <v>6889460448</v>
      </c>
      <c r="P2759">
        <v>52888</v>
      </c>
      <c r="Q2759" t="s">
        <v>5854</v>
      </c>
    </row>
    <row r="2760" spans="1:17" x14ac:dyDescent="0.3">
      <c r="A2760" t="s">
        <v>4729</v>
      </c>
      <c r="B2760" t="str">
        <f>"002033"</f>
        <v>002033</v>
      </c>
      <c r="C2760" t="s">
        <v>5855</v>
      </c>
      <c r="D2760" t="s">
        <v>119</v>
      </c>
      <c r="F2760">
        <v>358348180</v>
      </c>
      <c r="G2760">
        <v>431044774</v>
      </c>
      <c r="H2760">
        <v>722695469</v>
      </c>
      <c r="I2760">
        <v>678422269</v>
      </c>
      <c r="J2760">
        <v>687203991</v>
      </c>
      <c r="K2760">
        <v>779682466</v>
      </c>
      <c r="L2760">
        <v>786012210</v>
      </c>
      <c r="M2760">
        <v>742754151</v>
      </c>
      <c r="N2760">
        <v>667173450</v>
      </c>
      <c r="O2760">
        <v>589582322</v>
      </c>
      <c r="P2760">
        <v>278</v>
      </c>
      <c r="Q2760" t="s">
        <v>5856</v>
      </c>
    </row>
    <row r="2761" spans="1:17" x14ac:dyDescent="0.3">
      <c r="A2761" t="s">
        <v>4729</v>
      </c>
      <c r="B2761" t="str">
        <f>"002034"</f>
        <v>002034</v>
      </c>
      <c r="C2761" t="s">
        <v>5857</v>
      </c>
      <c r="D2761" t="s">
        <v>499</v>
      </c>
      <c r="F2761">
        <v>2967934300</v>
      </c>
      <c r="G2761">
        <v>1698376921</v>
      </c>
      <c r="H2761">
        <v>1135044547</v>
      </c>
      <c r="I2761">
        <v>836480164</v>
      </c>
      <c r="J2761">
        <v>1405074077</v>
      </c>
      <c r="K2761">
        <v>818858380</v>
      </c>
      <c r="L2761">
        <v>898615659</v>
      </c>
      <c r="M2761">
        <v>1086618397</v>
      </c>
      <c r="N2761">
        <v>1342723833</v>
      </c>
      <c r="O2761">
        <v>1321570167</v>
      </c>
      <c r="P2761">
        <v>246</v>
      </c>
      <c r="Q2761" t="s">
        <v>5858</v>
      </c>
    </row>
    <row r="2762" spans="1:17" x14ac:dyDescent="0.3">
      <c r="A2762" t="s">
        <v>4729</v>
      </c>
      <c r="B2762" t="str">
        <f>"002035"</f>
        <v>002035</v>
      </c>
      <c r="C2762" t="s">
        <v>5859</v>
      </c>
      <c r="D2762" t="s">
        <v>3707</v>
      </c>
      <c r="F2762">
        <v>5587867582</v>
      </c>
      <c r="G2762">
        <v>4360467124</v>
      </c>
      <c r="H2762">
        <v>5748057619</v>
      </c>
      <c r="I2762">
        <v>6095050007</v>
      </c>
      <c r="J2762">
        <v>5730696745</v>
      </c>
      <c r="K2762">
        <v>4395036328</v>
      </c>
      <c r="L2762">
        <v>3719782345</v>
      </c>
      <c r="M2762">
        <v>4229783617</v>
      </c>
      <c r="N2762">
        <v>3708628790</v>
      </c>
      <c r="O2762">
        <v>2488102057</v>
      </c>
      <c r="P2762">
        <v>1344</v>
      </c>
      <c r="Q2762" t="s">
        <v>5860</v>
      </c>
    </row>
    <row r="2763" spans="1:17" x14ac:dyDescent="0.3">
      <c r="A2763" t="s">
        <v>4729</v>
      </c>
      <c r="B2763" t="str">
        <f>"002036"</f>
        <v>002036</v>
      </c>
      <c r="C2763" t="s">
        <v>5861</v>
      </c>
      <c r="D2763" t="s">
        <v>164</v>
      </c>
      <c r="F2763">
        <v>10557942618</v>
      </c>
      <c r="G2763">
        <v>7531942899</v>
      </c>
      <c r="H2763">
        <v>6081932972</v>
      </c>
      <c r="I2763">
        <v>4802264162</v>
      </c>
      <c r="J2763">
        <v>5054383547</v>
      </c>
      <c r="K2763">
        <v>2971514747</v>
      </c>
      <c r="L2763">
        <v>1423326736</v>
      </c>
      <c r="M2763">
        <v>402355483</v>
      </c>
      <c r="N2763">
        <v>429298238</v>
      </c>
      <c r="O2763">
        <v>395135320</v>
      </c>
      <c r="P2763">
        <v>548</v>
      </c>
      <c r="Q2763" t="s">
        <v>5862</v>
      </c>
    </row>
    <row r="2764" spans="1:17" x14ac:dyDescent="0.3">
      <c r="A2764" t="s">
        <v>4729</v>
      </c>
      <c r="B2764" t="str">
        <f>"002037"</f>
        <v>002037</v>
      </c>
      <c r="C2764" t="s">
        <v>5863</v>
      </c>
      <c r="D2764" t="s">
        <v>2736</v>
      </c>
      <c r="F2764">
        <v>6028172799</v>
      </c>
      <c r="G2764">
        <v>5980164914</v>
      </c>
      <c r="H2764">
        <v>5024484112</v>
      </c>
      <c r="I2764">
        <v>6035039388</v>
      </c>
      <c r="J2764">
        <v>4587205668</v>
      </c>
      <c r="K2764">
        <v>3385071836</v>
      </c>
      <c r="L2764">
        <v>3164535105</v>
      </c>
      <c r="M2764">
        <v>3906926064</v>
      </c>
      <c r="N2764">
        <v>3406521736</v>
      </c>
      <c r="O2764">
        <v>3098648382</v>
      </c>
      <c r="P2764">
        <v>81</v>
      </c>
      <c r="Q2764" t="s">
        <v>5864</v>
      </c>
    </row>
    <row r="2765" spans="1:17" x14ac:dyDescent="0.3">
      <c r="A2765" t="s">
        <v>4729</v>
      </c>
      <c r="B2765" t="str">
        <f>"002038"</f>
        <v>002038</v>
      </c>
      <c r="C2765" t="s">
        <v>5865</v>
      </c>
      <c r="D2765" t="s">
        <v>1379</v>
      </c>
      <c r="F2765">
        <v>1214810525</v>
      </c>
      <c r="G2765">
        <v>1112733803</v>
      </c>
      <c r="H2765">
        <v>2029703660</v>
      </c>
      <c r="I2765">
        <v>2167471669</v>
      </c>
      <c r="J2765">
        <v>1242076269</v>
      </c>
      <c r="K2765">
        <v>1009847414</v>
      </c>
      <c r="L2765">
        <v>1156548151</v>
      </c>
      <c r="M2765">
        <v>1242951524</v>
      </c>
      <c r="N2765">
        <v>1161778749</v>
      </c>
      <c r="O2765">
        <v>1007017783</v>
      </c>
      <c r="P2765">
        <v>5165</v>
      </c>
      <c r="Q2765" t="s">
        <v>5866</v>
      </c>
    </row>
    <row r="2766" spans="1:17" x14ac:dyDescent="0.3">
      <c r="A2766" t="s">
        <v>4729</v>
      </c>
      <c r="B2766" t="str">
        <f>"002039"</f>
        <v>002039</v>
      </c>
      <c r="C2766" t="s">
        <v>5867</v>
      </c>
      <c r="D2766" t="s">
        <v>66</v>
      </c>
      <c r="F2766">
        <v>2036096382</v>
      </c>
      <c r="G2766">
        <v>2650566472</v>
      </c>
      <c r="H2766">
        <v>2174381798</v>
      </c>
      <c r="I2766">
        <v>2388665025</v>
      </c>
      <c r="J2766">
        <v>2419414720</v>
      </c>
      <c r="K2766">
        <v>1918108124</v>
      </c>
      <c r="L2766">
        <v>2699940476</v>
      </c>
      <c r="M2766">
        <v>2147119375</v>
      </c>
      <c r="N2766">
        <v>1017416606</v>
      </c>
      <c r="O2766">
        <v>1771492082</v>
      </c>
      <c r="P2766">
        <v>431</v>
      </c>
      <c r="Q2766" t="s">
        <v>5868</v>
      </c>
    </row>
    <row r="2767" spans="1:17" x14ac:dyDescent="0.3">
      <c r="A2767" t="s">
        <v>4729</v>
      </c>
      <c r="B2767" t="str">
        <f>"002040"</f>
        <v>002040</v>
      </c>
      <c r="C2767" t="s">
        <v>5869</v>
      </c>
      <c r="D2767" t="s">
        <v>51</v>
      </c>
      <c r="F2767">
        <v>796728451</v>
      </c>
      <c r="G2767">
        <v>754712258</v>
      </c>
      <c r="H2767">
        <v>736824715</v>
      </c>
      <c r="I2767">
        <v>717718176</v>
      </c>
      <c r="J2767">
        <v>677836191</v>
      </c>
      <c r="K2767">
        <v>222737743</v>
      </c>
      <c r="L2767">
        <v>158158007</v>
      </c>
      <c r="M2767">
        <v>150265673</v>
      </c>
      <c r="N2767">
        <v>169362454</v>
      </c>
      <c r="O2767">
        <v>170399125</v>
      </c>
      <c r="P2767">
        <v>100</v>
      </c>
      <c r="Q2767" t="s">
        <v>5870</v>
      </c>
    </row>
    <row r="2768" spans="1:17" x14ac:dyDescent="0.3">
      <c r="A2768" t="s">
        <v>4729</v>
      </c>
      <c r="B2768" t="str">
        <f>"002041"</f>
        <v>002041</v>
      </c>
      <c r="C2768" t="s">
        <v>5871</v>
      </c>
      <c r="D2768" t="s">
        <v>706</v>
      </c>
      <c r="F2768">
        <v>1100726996</v>
      </c>
      <c r="G2768">
        <v>900744000</v>
      </c>
      <c r="H2768">
        <v>823176984</v>
      </c>
      <c r="I2768">
        <v>761065670</v>
      </c>
      <c r="J2768">
        <v>803820974</v>
      </c>
      <c r="K2768">
        <v>1602630739</v>
      </c>
      <c r="L2768">
        <v>1530773335</v>
      </c>
      <c r="M2768">
        <v>1480081484</v>
      </c>
      <c r="N2768">
        <v>1505375097</v>
      </c>
      <c r="O2768">
        <v>1170806749</v>
      </c>
      <c r="P2768">
        <v>446</v>
      </c>
      <c r="Q2768" t="s">
        <v>5872</v>
      </c>
    </row>
    <row r="2769" spans="1:17" x14ac:dyDescent="0.3">
      <c r="A2769" t="s">
        <v>4729</v>
      </c>
      <c r="B2769" t="str">
        <f>"002042"</f>
        <v>002042</v>
      </c>
      <c r="C2769" t="s">
        <v>5873</v>
      </c>
      <c r="D2769" t="s">
        <v>1009</v>
      </c>
      <c r="F2769">
        <v>16708437212</v>
      </c>
      <c r="G2769">
        <v>14231727950</v>
      </c>
      <c r="H2769">
        <v>15886871683</v>
      </c>
      <c r="I2769">
        <v>14307433720</v>
      </c>
      <c r="J2769">
        <v>12596539032</v>
      </c>
      <c r="K2769">
        <v>8836907482</v>
      </c>
      <c r="L2769">
        <v>6803657914</v>
      </c>
      <c r="M2769">
        <v>6132747502</v>
      </c>
      <c r="N2769">
        <v>6240127588</v>
      </c>
      <c r="O2769">
        <v>5732429341</v>
      </c>
      <c r="P2769">
        <v>196</v>
      </c>
      <c r="Q2769" t="s">
        <v>5874</v>
      </c>
    </row>
    <row r="2770" spans="1:17" x14ac:dyDescent="0.3">
      <c r="A2770" t="s">
        <v>4729</v>
      </c>
      <c r="B2770" t="str">
        <f>"002043"</f>
        <v>002043</v>
      </c>
      <c r="C2770" t="s">
        <v>5875</v>
      </c>
      <c r="D2770" t="s">
        <v>722</v>
      </c>
      <c r="F2770">
        <v>9425925258</v>
      </c>
      <c r="G2770">
        <v>6465756931</v>
      </c>
      <c r="H2770">
        <v>4631831172</v>
      </c>
      <c r="I2770">
        <v>4306456708</v>
      </c>
      <c r="J2770">
        <v>4119558474</v>
      </c>
      <c r="K2770">
        <v>2677012261</v>
      </c>
      <c r="L2770">
        <v>1646807040</v>
      </c>
      <c r="M2770">
        <v>1412002767</v>
      </c>
      <c r="N2770">
        <v>1242869226</v>
      </c>
      <c r="O2770">
        <v>1120178810</v>
      </c>
      <c r="P2770">
        <v>666</v>
      </c>
      <c r="Q2770" t="s">
        <v>5876</v>
      </c>
    </row>
    <row r="2771" spans="1:17" x14ac:dyDescent="0.3">
      <c r="A2771" t="s">
        <v>4729</v>
      </c>
      <c r="B2771" t="str">
        <f>"002044"</f>
        <v>002044</v>
      </c>
      <c r="C2771" t="s">
        <v>5877</v>
      </c>
      <c r="D2771" t="s">
        <v>1147</v>
      </c>
      <c r="F2771">
        <v>9155566968</v>
      </c>
      <c r="G2771">
        <v>7814896550</v>
      </c>
      <c r="H2771">
        <v>8525026063</v>
      </c>
      <c r="I2771">
        <v>8458450180</v>
      </c>
      <c r="J2771">
        <v>6233050789</v>
      </c>
      <c r="K2771">
        <v>3081860748</v>
      </c>
      <c r="L2771">
        <v>2101482138</v>
      </c>
      <c r="M2771">
        <v>696008522</v>
      </c>
      <c r="N2771">
        <v>758700416</v>
      </c>
      <c r="O2771">
        <v>691214661</v>
      </c>
      <c r="P2771">
        <v>1237</v>
      </c>
      <c r="Q2771" t="s">
        <v>5878</v>
      </c>
    </row>
    <row r="2772" spans="1:17" x14ac:dyDescent="0.3">
      <c r="A2772" t="s">
        <v>4729</v>
      </c>
      <c r="B2772" t="str">
        <f>"002045"</f>
        <v>002045</v>
      </c>
      <c r="C2772" t="s">
        <v>5879</v>
      </c>
      <c r="D2772" t="s">
        <v>3526</v>
      </c>
      <c r="F2772">
        <v>4815385910</v>
      </c>
      <c r="G2772">
        <v>4254027904</v>
      </c>
      <c r="H2772">
        <v>4445544317</v>
      </c>
      <c r="I2772">
        <v>4041902113</v>
      </c>
      <c r="J2772">
        <v>4048817227</v>
      </c>
      <c r="K2772">
        <v>2568911745</v>
      </c>
      <c r="L2772">
        <v>2231400561</v>
      </c>
      <c r="M2772">
        <v>2015619983</v>
      </c>
      <c r="N2772">
        <v>2021440900</v>
      </c>
      <c r="O2772">
        <v>1817329180</v>
      </c>
      <c r="P2772">
        <v>216</v>
      </c>
      <c r="Q2772" t="s">
        <v>5880</v>
      </c>
    </row>
    <row r="2773" spans="1:17" x14ac:dyDescent="0.3">
      <c r="A2773" t="s">
        <v>4729</v>
      </c>
      <c r="B2773" t="str">
        <f>"002046"</f>
        <v>002046</v>
      </c>
      <c r="C2773" t="s">
        <v>5881</v>
      </c>
      <c r="D2773" t="s">
        <v>274</v>
      </c>
      <c r="F2773">
        <v>3327889633</v>
      </c>
      <c r="G2773">
        <v>2355123651</v>
      </c>
      <c r="H2773">
        <v>2085129258</v>
      </c>
      <c r="I2773">
        <v>2065970260</v>
      </c>
      <c r="J2773">
        <v>1494046926</v>
      </c>
      <c r="K2773">
        <v>426950746</v>
      </c>
      <c r="L2773">
        <v>424396030</v>
      </c>
      <c r="M2773">
        <v>512625946</v>
      </c>
      <c r="N2773">
        <v>651107108</v>
      </c>
      <c r="O2773">
        <v>660863912</v>
      </c>
      <c r="P2773">
        <v>148</v>
      </c>
      <c r="Q2773" t="s">
        <v>5882</v>
      </c>
    </row>
    <row r="2774" spans="1:17" x14ac:dyDescent="0.3">
      <c r="A2774" t="s">
        <v>4729</v>
      </c>
      <c r="B2774" t="str">
        <f>"002047"</f>
        <v>002047</v>
      </c>
      <c r="C2774" t="s">
        <v>5883</v>
      </c>
      <c r="D2774" t="s">
        <v>450</v>
      </c>
      <c r="F2774">
        <v>4669446321</v>
      </c>
      <c r="G2774">
        <v>5954903194</v>
      </c>
      <c r="H2774">
        <v>6676833260</v>
      </c>
      <c r="I2774">
        <v>6855820254</v>
      </c>
      <c r="J2774">
        <v>7164451375</v>
      </c>
      <c r="K2774">
        <v>6815510073</v>
      </c>
      <c r="L2774">
        <v>6853661299</v>
      </c>
      <c r="M2774">
        <v>5382464813</v>
      </c>
      <c r="N2774">
        <v>3726811296</v>
      </c>
      <c r="O2774">
        <v>1421399164</v>
      </c>
      <c r="P2774">
        <v>103</v>
      </c>
      <c r="Q2774" t="s">
        <v>5884</v>
      </c>
    </row>
    <row r="2775" spans="1:17" x14ac:dyDescent="0.3">
      <c r="A2775" t="s">
        <v>4729</v>
      </c>
      <c r="B2775" t="str">
        <f>"002048"</f>
        <v>002048</v>
      </c>
      <c r="C2775" t="s">
        <v>5885</v>
      </c>
      <c r="D2775" t="s">
        <v>191</v>
      </c>
      <c r="F2775">
        <v>17587822804</v>
      </c>
      <c r="G2775">
        <v>16892357702</v>
      </c>
      <c r="H2775">
        <v>17093435580</v>
      </c>
      <c r="I2775">
        <v>14927081526</v>
      </c>
      <c r="J2775">
        <v>14806613721</v>
      </c>
      <c r="K2775">
        <v>12505963091</v>
      </c>
      <c r="L2775">
        <v>9809929399</v>
      </c>
      <c r="M2775">
        <v>8712813027</v>
      </c>
      <c r="N2775">
        <v>7291826322</v>
      </c>
      <c r="O2775">
        <v>5599700058</v>
      </c>
      <c r="P2775">
        <v>645</v>
      </c>
      <c r="Q2775" t="s">
        <v>5886</v>
      </c>
    </row>
    <row r="2776" spans="1:17" x14ac:dyDescent="0.3">
      <c r="A2776" t="s">
        <v>4729</v>
      </c>
      <c r="B2776" t="str">
        <f>"002049"</f>
        <v>002049</v>
      </c>
      <c r="C2776" t="s">
        <v>5887</v>
      </c>
      <c r="D2776" t="s">
        <v>461</v>
      </c>
      <c r="F2776">
        <v>5342115109</v>
      </c>
      <c r="G2776">
        <v>3270255230</v>
      </c>
      <c r="H2776">
        <v>3430409965</v>
      </c>
      <c r="I2776">
        <v>2458423475</v>
      </c>
      <c r="J2776">
        <v>1829095735</v>
      </c>
      <c r="K2776">
        <v>1418572250</v>
      </c>
      <c r="L2776">
        <v>1249795034</v>
      </c>
      <c r="M2776">
        <v>1086561898</v>
      </c>
      <c r="N2776">
        <v>919987596</v>
      </c>
      <c r="O2776">
        <v>584562791</v>
      </c>
      <c r="P2776">
        <v>4606</v>
      </c>
      <c r="Q2776" t="s">
        <v>5888</v>
      </c>
    </row>
    <row r="2777" spans="1:17" x14ac:dyDescent="0.3">
      <c r="A2777" t="s">
        <v>4729</v>
      </c>
      <c r="B2777" t="str">
        <f>"002050"</f>
        <v>002050</v>
      </c>
      <c r="C2777" t="s">
        <v>5889</v>
      </c>
      <c r="D2777" t="s">
        <v>1253</v>
      </c>
      <c r="F2777">
        <v>16020809806</v>
      </c>
      <c r="G2777">
        <v>12109833368</v>
      </c>
      <c r="H2777">
        <v>11287489442</v>
      </c>
      <c r="I2777">
        <v>10835990678</v>
      </c>
      <c r="J2777">
        <v>9581243802</v>
      </c>
      <c r="K2777">
        <v>6769206736</v>
      </c>
      <c r="L2777">
        <v>6160817658</v>
      </c>
      <c r="M2777">
        <v>5823907652</v>
      </c>
      <c r="N2777">
        <v>5274170938</v>
      </c>
      <c r="O2777">
        <v>3826346180</v>
      </c>
      <c r="P2777">
        <v>2038</v>
      </c>
      <c r="Q2777" t="s">
        <v>5890</v>
      </c>
    </row>
    <row r="2778" spans="1:17" x14ac:dyDescent="0.3">
      <c r="A2778" t="s">
        <v>4729</v>
      </c>
      <c r="B2778" t="str">
        <f>"002051"</f>
        <v>002051</v>
      </c>
      <c r="C2778" t="s">
        <v>5891</v>
      </c>
      <c r="D2778" t="s">
        <v>1893</v>
      </c>
      <c r="F2778">
        <v>8639764505</v>
      </c>
      <c r="G2778">
        <v>7965990109</v>
      </c>
      <c r="H2778">
        <v>10656800244</v>
      </c>
      <c r="I2778">
        <v>13515013434</v>
      </c>
      <c r="J2778">
        <v>10908506574</v>
      </c>
      <c r="K2778">
        <v>8066153041</v>
      </c>
      <c r="L2778">
        <v>8119940514</v>
      </c>
      <c r="M2778">
        <v>9532877480</v>
      </c>
      <c r="N2778">
        <v>9235717731</v>
      </c>
      <c r="O2778">
        <v>10154429389</v>
      </c>
      <c r="P2778">
        <v>556</v>
      </c>
      <c r="Q2778" t="s">
        <v>5892</v>
      </c>
    </row>
    <row r="2779" spans="1:17" x14ac:dyDescent="0.3">
      <c r="A2779" t="s">
        <v>4729</v>
      </c>
      <c r="B2779" t="str">
        <f>"002052"</f>
        <v>002052</v>
      </c>
      <c r="C2779" t="s">
        <v>5893</v>
      </c>
      <c r="D2779" t="s">
        <v>4467</v>
      </c>
      <c r="F2779">
        <v>139244439</v>
      </c>
      <c r="G2779">
        <v>288468802</v>
      </c>
      <c r="H2779">
        <v>779521152</v>
      </c>
      <c r="I2779">
        <v>798133417</v>
      </c>
      <c r="J2779">
        <v>672865179</v>
      </c>
      <c r="K2779">
        <v>563495343</v>
      </c>
      <c r="L2779">
        <v>1028067675</v>
      </c>
      <c r="M2779">
        <v>1601835868</v>
      </c>
      <c r="N2779">
        <v>1956087078</v>
      </c>
      <c r="O2779">
        <v>2106437528</v>
      </c>
      <c r="P2779">
        <v>76</v>
      </c>
      <c r="Q2779" t="s">
        <v>5894</v>
      </c>
    </row>
    <row r="2780" spans="1:17" x14ac:dyDescent="0.3">
      <c r="A2780" t="s">
        <v>4729</v>
      </c>
      <c r="B2780" t="str">
        <f>"002053"</f>
        <v>002053</v>
      </c>
      <c r="C2780" t="s">
        <v>5895</v>
      </c>
      <c r="D2780" t="s">
        <v>736</v>
      </c>
      <c r="F2780">
        <v>2258831335</v>
      </c>
      <c r="G2780">
        <v>1990278508</v>
      </c>
      <c r="H2780">
        <v>1933137924</v>
      </c>
      <c r="I2780">
        <v>1430218531</v>
      </c>
      <c r="J2780">
        <v>1446947409</v>
      </c>
      <c r="K2780">
        <v>1455018730</v>
      </c>
      <c r="L2780">
        <v>1665534208</v>
      </c>
      <c r="M2780">
        <v>1877451171</v>
      </c>
      <c r="N2780">
        <v>1829934171</v>
      </c>
      <c r="O2780">
        <v>1472040498</v>
      </c>
      <c r="P2780">
        <v>107</v>
      </c>
      <c r="Q2780" t="s">
        <v>5896</v>
      </c>
    </row>
    <row r="2781" spans="1:17" x14ac:dyDescent="0.3">
      <c r="A2781" t="s">
        <v>4729</v>
      </c>
      <c r="B2781" t="str">
        <f>"002054"</f>
        <v>002054</v>
      </c>
      <c r="C2781" t="s">
        <v>5897</v>
      </c>
      <c r="D2781" t="s">
        <v>779</v>
      </c>
      <c r="F2781">
        <v>1997142739</v>
      </c>
      <c r="G2781">
        <v>1626081061</v>
      </c>
      <c r="H2781">
        <v>1571312190</v>
      </c>
      <c r="I2781">
        <v>1660438168</v>
      </c>
      <c r="J2781">
        <v>2455500981</v>
      </c>
      <c r="K2781">
        <v>2411904629</v>
      </c>
      <c r="L2781">
        <v>2092109316</v>
      </c>
      <c r="M2781">
        <v>1228504466</v>
      </c>
      <c r="N2781">
        <v>1184255531</v>
      </c>
      <c r="O2781">
        <v>1106213350</v>
      </c>
      <c r="P2781">
        <v>110</v>
      </c>
      <c r="Q2781" t="s">
        <v>5898</v>
      </c>
    </row>
    <row r="2782" spans="1:17" x14ac:dyDescent="0.3">
      <c r="A2782" t="s">
        <v>4729</v>
      </c>
      <c r="B2782" t="str">
        <f>"002055"</f>
        <v>002055</v>
      </c>
      <c r="C2782" t="s">
        <v>5899</v>
      </c>
      <c r="D2782" t="s">
        <v>313</v>
      </c>
      <c r="F2782">
        <v>7586755070</v>
      </c>
      <c r="G2782">
        <v>7272228518</v>
      </c>
      <c r="H2782">
        <v>7486212150</v>
      </c>
      <c r="I2782">
        <v>7454105562</v>
      </c>
      <c r="J2782">
        <v>5851032309</v>
      </c>
      <c r="K2782">
        <v>4583529187</v>
      </c>
      <c r="L2782">
        <v>3037786772</v>
      </c>
      <c r="M2782">
        <v>2634867552</v>
      </c>
      <c r="N2782">
        <v>2070039314</v>
      </c>
      <c r="O2782">
        <v>1553934695</v>
      </c>
      <c r="P2782">
        <v>245</v>
      </c>
      <c r="Q2782" t="s">
        <v>5900</v>
      </c>
    </row>
    <row r="2783" spans="1:17" x14ac:dyDescent="0.3">
      <c r="A2783" t="s">
        <v>4729</v>
      </c>
      <c r="B2783" t="str">
        <f>"002056"</f>
        <v>002056</v>
      </c>
      <c r="C2783" t="s">
        <v>5901</v>
      </c>
      <c r="D2783" t="s">
        <v>808</v>
      </c>
      <c r="F2783">
        <v>12607410411</v>
      </c>
      <c r="G2783">
        <v>8105787994</v>
      </c>
      <c r="H2783">
        <v>6563638226</v>
      </c>
      <c r="I2783">
        <v>6488527426</v>
      </c>
      <c r="J2783">
        <v>6010098429</v>
      </c>
      <c r="K2783">
        <v>4710421227</v>
      </c>
      <c r="L2783">
        <v>3958288174</v>
      </c>
      <c r="M2783">
        <v>3668800086</v>
      </c>
      <c r="N2783">
        <v>3268503002</v>
      </c>
      <c r="O2783">
        <v>2910289702</v>
      </c>
      <c r="P2783">
        <v>781</v>
      </c>
      <c r="Q2783" t="s">
        <v>5902</v>
      </c>
    </row>
    <row r="2784" spans="1:17" x14ac:dyDescent="0.3">
      <c r="A2784" t="s">
        <v>4729</v>
      </c>
      <c r="B2784" t="str">
        <f>"002057"</f>
        <v>002057</v>
      </c>
      <c r="C2784" t="s">
        <v>5903</v>
      </c>
      <c r="D2784" t="s">
        <v>808</v>
      </c>
      <c r="F2784">
        <v>2587854353</v>
      </c>
      <c r="G2784">
        <v>1672124976</v>
      </c>
      <c r="H2784">
        <v>1381484764</v>
      </c>
      <c r="I2784">
        <v>1279419209</v>
      </c>
      <c r="J2784">
        <v>1156896566</v>
      </c>
      <c r="K2784">
        <v>344943712</v>
      </c>
      <c r="L2784">
        <v>307253626</v>
      </c>
      <c r="M2784">
        <v>350245203</v>
      </c>
      <c r="N2784">
        <v>317631341</v>
      </c>
      <c r="O2784">
        <v>367972973</v>
      </c>
      <c r="P2784">
        <v>126</v>
      </c>
      <c r="Q2784" t="s">
        <v>5904</v>
      </c>
    </row>
    <row r="2785" spans="1:17" x14ac:dyDescent="0.3">
      <c r="A2785" t="s">
        <v>4729</v>
      </c>
      <c r="B2785" t="str">
        <f>"002058"</f>
        <v>002058</v>
      </c>
      <c r="C2785" t="s">
        <v>5905</v>
      </c>
      <c r="D2785" t="s">
        <v>2180</v>
      </c>
      <c r="F2785">
        <v>244869718</v>
      </c>
      <c r="G2785">
        <v>82323296</v>
      </c>
      <c r="H2785">
        <v>89512575</v>
      </c>
      <c r="I2785">
        <v>117081432</v>
      </c>
      <c r="J2785">
        <v>111976665</v>
      </c>
      <c r="K2785">
        <v>99687766</v>
      </c>
      <c r="L2785">
        <v>97964521</v>
      </c>
      <c r="M2785">
        <v>123374512</v>
      </c>
      <c r="N2785">
        <v>132092574</v>
      </c>
      <c r="O2785">
        <v>125095650</v>
      </c>
      <c r="P2785">
        <v>55</v>
      </c>
      <c r="Q2785" t="s">
        <v>5906</v>
      </c>
    </row>
    <row r="2786" spans="1:17" x14ac:dyDescent="0.3">
      <c r="A2786" t="s">
        <v>4729</v>
      </c>
      <c r="B2786" t="str">
        <f>"002059"</f>
        <v>002059</v>
      </c>
      <c r="C2786" t="s">
        <v>5907</v>
      </c>
      <c r="D2786" t="s">
        <v>333</v>
      </c>
      <c r="F2786">
        <v>1417835782</v>
      </c>
      <c r="G2786">
        <v>1812267105</v>
      </c>
      <c r="H2786">
        <v>2878663132</v>
      </c>
      <c r="I2786">
        <v>2260358814</v>
      </c>
      <c r="J2786">
        <v>1621470860</v>
      </c>
      <c r="K2786">
        <v>1459534463</v>
      </c>
      <c r="L2786">
        <v>1426497461</v>
      </c>
      <c r="M2786">
        <v>941476399</v>
      </c>
      <c r="N2786">
        <v>702146563</v>
      </c>
      <c r="O2786">
        <v>461663149</v>
      </c>
      <c r="P2786">
        <v>160</v>
      </c>
      <c r="Q2786" t="s">
        <v>5908</v>
      </c>
    </row>
    <row r="2787" spans="1:17" x14ac:dyDescent="0.3">
      <c r="A2787" t="s">
        <v>4729</v>
      </c>
      <c r="B2787" t="str">
        <f>"002060"</f>
        <v>002060</v>
      </c>
      <c r="C2787" t="s">
        <v>5909</v>
      </c>
      <c r="D2787" t="s">
        <v>101</v>
      </c>
      <c r="F2787">
        <v>14361313764</v>
      </c>
      <c r="G2787">
        <v>12583024874</v>
      </c>
      <c r="H2787">
        <v>11143485046</v>
      </c>
      <c r="I2787">
        <v>8308385137</v>
      </c>
      <c r="J2787">
        <v>6630455459</v>
      </c>
      <c r="K2787">
        <v>6322745491</v>
      </c>
      <c r="L2787">
        <v>6685781977</v>
      </c>
      <c r="M2787">
        <v>6002451474</v>
      </c>
      <c r="N2787">
        <v>5397650979</v>
      </c>
      <c r="O2787">
        <v>4512063896</v>
      </c>
      <c r="P2787">
        <v>169</v>
      </c>
      <c r="Q2787" t="s">
        <v>5910</v>
      </c>
    </row>
    <row r="2788" spans="1:17" x14ac:dyDescent="0.3">
      <c r="A2788" t="s">
        <v>4729</v>
      </c>
      <c r="B2788" t="str">
        <f>"002061"</f>
        <v>002061</v>
      </c>
      <c r="C2788" t="s">
        <v>5911</v>
      </c>
      <c r="D2788" t="s">
        <v>101</v>
      </c>
      <c r="F2788">
        <v>46057964738</v>
      </c>
      <c r="G2788">
        <v>36737717661</v>
      </c>
      <c r="H2788">
        <v>28897411149</v>
      </c>
      <c r="I2788">
        <v>26377074368</v>
      </c>
      <c r="J2788">
        <v>20768411378</v>
      </c>
      <c r="K2788">
        <v>3646302304</v>
      </c>
      <c r="L2788">
        <v>2479964542</v>
      </c>
      <c r="M2788">
        <v>2378538788</v>
      </c>
      <c r="N2788">
        <v>1521988774</v>
      </c>
      <c r="O2788">
        <v>1765522136</v>
      </c>
      <c r="P2788">
        <v>215</v>
      </c>
      <c r="Q2788" t="s">
        <v>5912</v>
      </c>
    </row>
    <row r="2789" spans="1:17" x14ac:dyDescent="0.3">
      <c r="A2789" t="s">
        <v>4729</v>
      </c>
      <c r="B2789" t="str">
        <f>"002062"</f>
        <v>002062</v>
      </c>
      <c r="C2789" t="s">
        <v>5913</v>
      </c>
      <c r="D2789" t="s">
        <v>101</v>
      </c>
      <c r="F2789">
        <v>10321504293</v>
      </c>
      <c r="G2789">
        <v>11316572808</v>
      </c>
      <c r="H2789">
        <v>11943356934</v>
      </c>
      <c r="I2789">
        <v>9888258302</v>
      </c>
      <c r="J2789">
        <v>8127247316</v>
      </c>
      <c r="K2789">
        <v>8797774966</v>
      </c>
      <c r="L2789">
        <v>8507984273</v>
      </c>
      <c r="M2789">
        <v>7973617216</v>
      </c>
      <c r="N2789">
        <v>7857795493</v>
      </c>
      <c r="O2789">
        <v>6824800756</v>
      </c>
      <c r="P2789">
        <v>145</v>
      </c>
      <c r="Q2789" t="s">
        <v>5914</v>
      </c>
    </row>
    <row r="2790" spans="1:17" x14ac:dyDescent="0.3">
      <c r="A2790" t="s">
        <v>4729</v>
      </c>
      <c r="B2790" t="str">
        <f>"002063"</f>
        <v>002063</v>
      </c>
      <c r="C2790" t="s">
        <v>5915</v>
      </c>
      <c r="D2790" t="s">
        <v>945</v>
      </c>
      <c r="F2790">
        <v>1915262774</v>
      </c>
      <c r="G2790">
        <v>1691519226</v>
      </c>
      <c r="H2790">
        <v>1565208559</v>
      </c>
      <c r="I2790">
        <v>1278381651</v>
      </c>
      <c r="J2790">
        <v>1179258733</v>
      </c>
      <c r="K2790">
        <v>1094329115</v>
      </c>
      <c r="L2790">
        <v>914786922</v>
      </c>
      <c r="M2790">
        <v>816945466</v>
      </c>
      <c r="N2790">
        <v>929206636</v>
      </c>
      <c r="O2790">
        <v>779780492</v>
      </c>
      <c r="P2790">
        <v>489</v>
      </c>
      <c r="Q2790" t="s">
        <v>5916</v>
      </c>
    </row>
    <row r="2791" spans="1:17" x14ac:dyDescent="0.3">
      <c r="A2791" t="s">
        <v>4729</v>
      </c>
      <c r="B2791" t="str">
        <f>"002064"</f>
        <v>002064</v>
      </c>
      <c r="C2791" t="s">
        <v>5917</v>
      </c>
      <c r="D2791" t="s">
        <v>5631</v>
      </c>
      <c r="F2791">
        <v>28367201943</v>
      </c>
      <c r="G2791">
        <v>14723882559</v>
      </c>
      <c r="H2791">
        <v>13785247595</v>
      </c>
      <c r="I2791">
        <v>4435713893</v>
      </c>
      <c r="J2791">
        <v>4149684214</v>
      </c>
      <c r="K2791">
        <v>2844228368</v>
      </c>
      <c r="L2791">
        <v>2547361903</v>
      </c>
      <c r="M2791">
        <v>2361537483</v>
      </c>
      <c r="N2791">
        <v>2372442215</v>
      </c>
      <c r="O2791">
        <v>1727313774</v>
      </c>
      <c r="P2791">
        <v>686</v>
      </c>
      <c r="Q2791" t="s">
        <v>5918</v>
      </c>
    </row>
    <row r="2792" spans="1:17" x14ac:dyDescent="0.3">
      <c r="A2792" t="s">
        <v>4729</v>
      </c>
      <c r="B2792" t="str">
        <f>"002065"</f>
        <v>002065</v>
      </c>
      <c r="C2792" t="s">
        <v>5919</v>
      </c>
      <c r="D2792" t="s">
        <v>316</v>
      </c>
      <c r="F2792">
        <v>10884288643</v>
      </c>
      <c r="G2792">
        <v>9167186700</v>
      </c>
      <c r="H2792">
        <v>8849012664</v>
      </c>
      <c r="I2792">
        <v>8470591084</v>
      </c>
      <c r="J2792">
        <v>7290128453</v>
      </c>
      <c r="K2792">
        <v>6476747733</v>
      </c>
      <c r="L2792">
        <v>5629416583</v>
      </c>
      <c r="M2792">
        <v>5171048660</v>
      </c>
      <c r="N2792">
        <v>4422914442</v>
      </c>
      <c r="O2792">
        <v>3491378131</v>
      </c>
      <c r="P2792">
        <v>942</v>
      </c>
      <c r="Q2792" t="s">
        <v>5920</v>
      </c>
    </row>
    <row r="2793" spans="1:17" x14ac:dyDescent="0.3">
      <c r="A2793" t="s">
        <v>4729</v>
      </c>
      <c r="B2793" t="str">
        <f>"002066"</f>
        <v>002066</v>
      </c>
      <c r="C2793" t="s">
        <v>5921</v>
      </c>
      <c r="D2793" t="s">
        <v>5922</v>
      </c>
      <c r="F2793">
        <v>4537914836</v>
      </c>
      <c r="G2793">
        <v>4216290068</v>
      </c>
      <c r="H2793">
        <v>3900341152</v>
      </c>
      <c r="I2793">
        <v>3786416601</v>
      </c>
      <c r="J2793">
        <v>2176605410</v>
      </c>
      <c r="K2793">
        <v>1755377467</v>
      </c>
      <c r="L2793">
        <v>1845466915</v>
      </c>
      <c r="M2793">
        <v>2089511118</v>
      </c>
      <c r="N2793">
        <v>1864395793</v>
      </c>
      <c r="O2793">
        <v>1486249074</v>
      </c>
      <c r="P2793">
        <v>74</v>
      </c>
      <c r="Q2793" t="s">
        <v>5923</v>
      </c>
    </row>
    <row r="2794" spans="1:17" x14ac:dyDescent="0.3">
      <c r="A2794" t="s">
        <v>4729</v>
      </c>
      <c r="B2794" t="str">
        <f>"002067"</f>
        <v>002067</v>
      </c>
      <c r="C2794" t="s">
        <v>5924</v>
      </c>
      <c r="D2794" t="s">
        <v>694</v>
      </c>
      <c r="F2794">
        <v>6224614595</v>
      </c>
      <c r="G2794">
        <v>4874550664</v>
      </c>
      <c r="H2794">
        <v>5251104950</v>
      </c>
      <c r="I2794">
        <v>5938130949</v>
      </c>
      <c r="J2794">
        <v>5359616136</v>
      </c>
      <c r="K2794">
        <v>3680969790</v>
      </c>
      <c r="L2794">
        <v>2954105553</v>
      </c>
      <c r="M2794">
        <v>2888214411</v>
      </c>
      <c r="N2794">
        <v>3021515327</v>
      </c>
      <c r="O2794">
        <v>3104041765</v>
      </c>
      <c r="P2794">
        <v>173</v>
      </c>
      <c r="Q2794" t="s">
        <v>5925</v>
      </c>
    </row>
    <row r="2795" spans="1:17" x14ac:dyDescent="0.3">
      <c r="A2795" t="s">
        <v>4729</v>
      </c>
      <c r="B2795" t="str">
        <f>"002068"</f>
        <v>002068</v>
      </c>
      <c r="C2795" t="s">
        <v>5926</v>
      </c>
      <c r="D2795" t="s">
        <v>3646</v>
      </c>
      <c r="F2795">
        <v>7930397692</v>
      </c>
      <c r="G2795">
        <v>5559775958</v>
      </c>
      <c r="H2795">
        <v>6544208711</v>
      </c>
      <c r="I2795">
        <v>7892980795</v>
      </c>
      <c r="J2795">
        <v>6947338884</v>
      </c>
      <c r="K2795">
        <v>4381097337</v>
      </c>
      <c r="L2795">
        <v>4774694227</v>
      </c>
      <c r="M2795">
        <v>6167907732</v>
      </c>
      <c r="N2795">
        <v>5986822235</v>
      </c>
      <c r="O2795">
        <v>4654932332</v>
      </c>
      <c r="P2795">
        <v>300</v>
      </c>
      <c r="Q2795" t="s">
        <v>5927</v>
      </c>
    </row>
    <row r="2796" spans="1:17" x14ac:dyDescent="0.3">
      <c r="A2796" t="s">
        <v>4729</v>
      </c>
      <c r="B2796" t="str">
        <f>"002069"</f>
        <v>002069</v>
      </c>
      <c r="C2796" t="s">
        <v>5928</v>
      </c>
      <c r="D2796" t="s">
        <v>587</v>
      </c>
      <c r="F2796">
        <v>2082837515</v>
      </c>
      <c r="G2796">
        <v>1926660964</v>
      </c>
      <c r="H2796">
        <v>2728869245</v>
      </c>
      <c r="I2796">
        <v>2797997388</v>
      </c>
      <c r="J2796">
        <v>3205845989</v>
      </c>
      <c r="K2796">
        <v>3052101909</v>
      </c>
      <c r="L2796">
        <v>2726780244</v>
      </c>
      <c r="M2796">
        <v>2662211458</v>
      </c>
      <c r="N2796">
        <v>2620857768</v>
      </c>
      <c r="O2796">
        <v>2608284110</v>
      </c>
      <c r="P2796">
        <v>406</v>
      </c>
      <c r="Q2796" t="s">
        <v>5929</v>
      </c>
    </row>
    <row r="2797" spans="1:17" x14ac:dyDescent="0.3">
      <c r="A2797" t="s">
        <v>4729</v>
      </c>
      <c r="B2797" t="str">
        <f>"002070"</f>
        <v>002070</v>
      </c>
      <c r="C2797" t="s">
        <v>5930</v>
      </c>
      <c r="I2797">
        <v>201407577</v>
      </c>
      <c r="J2797">
        <v>753977077</v>
      </c>
      <c r="K2797">
        <v>886101545</v>
      </c>
      <c r="L2797">
        <v>689015916</v>
      </c>
      <c r="M2797">
        <v>1260183072.9400001</v>
      </c>
      <c r="N2797">
        <v>1482828832.3399999</v>
      </c>
      <c r="O2797">
        <v>1219958654.01</v>
      </c>
      <c r="P2797">
        <v>27</v>
      </c>
      <c r="Q2797" t="s">
        <v>5931</v>
      </c>
    </row>
    <row r="2798" spans="1:17" x14ac:dyDescent="0.3">
      <c r="A2798" t="s">
        <v>4729</v>
      </c>
      <c r="B2798" t="str">
        <f>"002071"</f>
        <v>002071</v>
      </c>
      <c r="C2798" t="s">
        <v>5932</v>
      </c>
      <c r="G2798">
        <v>160502147</v>
      </c>
      <c r="H2798">
        <v>490771618</v>
      </c>
      <c r="I2798">
        <v>1446698511</v>
      </c>
      <c r="J2798">
        <v>1245324272</v>
      </c>
      <c r="K2798">
        <v>1355621552</v>
      </c>
      <c r="L2798">
        <v>993443414</v>
      </c>
      <c r="M2798">
        <v>507764061</v>
      </c>
      <c r="N2798">
        <v>417389223</v>
      </c>
      <c r="O2798">
        <v>414517257</v>
      </c>
      <c r="P2798">
        <v>97</v>
      </c>
      <c r="Q2798" t="s">
        <v>5933</v>
      </c>
    </row>
    <row r="2799" spans="1:17" x14ac:dyDescent="0.3">
      <c r="A2799" t="s">
        <v>4729</v>
      </c>
      <c r="B2799" t="str">
        <f>"002072"</f>
        <v>002072</v>
      </c>
      <c r="C2799" t="s">
        <v>5934</v>
      </c>
      <c r="D2799" t="s">
        <v>110</v>
      </c>
      <c r="F2799">
        <v>127165541</v>
      </c>
      <c r="G2799">
        <v>26513668</v>
      </c>
      <c r="H2799">
        <v>15326700</v>
      </c>
      <c r="I2799">
        <v>25035581</v>
      </c>
      <c r="J2799">
        <v>78020885</v>
      </c>
      <c r="K2799">
        <v>33633615</v>
      </c>
      <c r="L2799">
        <v>60350433</v>
      </c>
      <c r="M2799">
        <v>709670380</v>
      </c>
      <c r="N2799">
        <v>870079032</v>
      </c>
      <c r="O2799">
        <v>1094172143</v>
      </c>
      <c r="P2799">
        <v>64</v>
      </c>
      <c r="Q2799" t="s">
        <v>5935</v>
      </c>
    </row>
    <row r="2800" spans="1:17" x14ac:dyDescent="0.3">
      <c r="A2800" t="s">
        <v>4729</v>
      </c>
      <c r="B2800" t="str">
        <f>"002073"</f>
        <v>002073</v>
      </c>
      <c r="C2800" t="s">
        <v>5936</v>
      </c>
      <c r="D2800" t="s">
        <v>741</v>
      </c>
      <c r="F2800">
        <v>5454796037</v>
      </c>
      <c r="G2800">
        <v>3082064915</v>
      </c>
      <c r="H2800">
        <v>2865379107</v>
      </c>
      <c r="I2800">
        <v>2760999108</v>
      </c>
      <c r="J2800">
        <v>2733763967</v>
      </c>
      <c r="K2800">
        <v>1932911679</v>
      </c>
      <c r="L2800">
        <v>2516329712</v>
      </c>
      <c r="M2800">
        <v>2949608273</v>
      </c>
      <c r="N2800">
        <v>2519801263</v>
      </c>
      <c r="O2800">
        <v>1618601853</v>
      </c>
      <c r="P2800">
        <v>150</v>
      </c>
      <c r="Q2800" t="s">
        <v>5937</v>
      </c>
    </row>
    <row r="2801" spans="1:17" x14ac:dyDescent="0.3">
      <c r="A2801" t="s">
        <v>4729</v>
      </c>
      <c r="B2801" t="str">
        <f>"002074"</f>
        <v>002074</v>
      </c>
      <c r="C2801" t="s">
        <v>5938</v>
      </c>
      <c r="D2801" t="s">
        <v>359</v>
      </c>
      <c r="F2801">
        <v>10356081192</v>
      </c>
      <c r="G2801">
        <v>6724233231</v>
      </c>
      <c r="H2801">
        <v>4958898582</v>
      </c>
      <c r="I2801">
        <v>5126995194</v>
      </c>
      <c r="J2801">
        <v>4838098642</v>
      </c>
      <c r="K2801">
        <v>4757931944</v>
      </c>
      <c r="L2801">
        <v>2745496179</v>
      </c>
      <c r="M2801">
        <v>885506247</v>
      </c>
      <c r="N2801">
        <v>738454890</v>
      </c>
      <c r="O2801">
        <v>593375536</v>
      </c>
      <c r="P2801">
        <v>1003</v>
      </c>
      <c r="Q2801" t="s">
        <v>5939</v>
      </c>
    </row>
    <row r="2802" spans="1:17" x14ac:dyDescent="0.3">
      <c r="A2802" t="s">
        <v>4729</v>
      </c>
      <c r="B2802" t="str">
        <f>"002075"</f>
        <v>002075</v>
      </c>
      <c r="C2802" t="s">
        <v>5940</v>
      </c>
      <c r="D2802" t="s">
        <v>281</v>
      </c>
      <c r="F2802">
        <v>18487246482</v>
      </c>
      <c r="G2802">
        <v>14427221782</v>
      </c>
      <c r="H2802">
        <v>13474565781</v>
      </c>
      <c r="I2802">
        <v>14712449109</v>
      </c>
      <c r="J2802">
        <v>12414348798</v>
      </c>
      <c r="K2802">
        <v>7585485679</v>
      </c>
      <c r="L2802">
        <v>7357344198</v>
      </c>
      <c r="M2802">
        <v>10308066919</v>
      </c>
      <c r="N2802">
        <v>10786859722</v>
      </c>
      <c r="O2802">
        <v>12147999074</v>
      </c>
      <c r="P2802">
        <v>281</v>
      </c>
      <c r="Q2802" t="s">
        <v>5941</v>
      </c>
    </row>
    <row r="2803" spans="1:17" x14ac:dyDescent="0.3">
      <c r="A2803" t="s">
        <v>4729</v>
      </c>
      <c r="B2803" t="str">
        <f>"002076"</f>
        <v>002076</v>
      </c>
      <c r="C2803" t="s">
        <v>5942</v>
      </c>
      <c r="D2803" t="s">
        <v>598</v>
      </c>
      <c r="F2803">
        <v>155484985</v>
      </c>
      <c r="G2803">
        <v>334296653</v>
      </c>
      <c r="H2803">
        <v>353529640</v>
      </c>
      <c r="I2803">
        <v>566067658</v>
      </c>
      <c r="J2803">
        <v>1025567734</v>
      </c>
      <c r="K2803">
        <v>813397060</v>
      </c>
      <c r="L2803">
        <v>801614968</v>
      </c>
      <c r="M2803">
        <v>441854100</v>
      </c>
      <c r="N2803">
        <v>392049378</v>
      </c>
      <c r="O2803">
        <v>422426436</v>
      </c>
      <c r="P2803">
        <v>100</v>
      </c>
      <c r="Q2803" t="s">
        <v>5943</v>
      </c>
    </row>
    <row r="2804" spans="1:17" x14ac:dyDescent="0.3">
      <c r="A2804" t="s">
        <v>4729</v>
      </c>
      <c r="B2804" t="str">
        <f>"002077"</f>
        <v>002077</v>
      </c>
      <c r="C2804" t="s">
        <v>5944</v>
      </c>
      <c r="D2804" t="s">
        <v>1180</v>
      </c>
      <c r="F2804">
        <v>683626938</v>
      </c>
      <c r="G2804">
        <v>860346913</v>
      </c>
      <c r="H2804">
        <v>932396472</v>
      </c>
      <c r="I2804">
        <v>1689944001</v>
      </c>
      <c r="J2804">
        <v>1310686562</v>
      </c>
      <c r="K2804">
        <v>1369594104</v>
      </c>
      <c r="L2804">
        <v>1077707890</v>
      </c>
      <c r="M2804">
        <v>1537692796</v>
      </c>
      <c r="N2804">
        <v>2692453791</v>
      </c>
      <c r="O2804">
        <v>2240288828</v>
      </c>
      <c r="P2804">
        <v>125</v>
      </c>
      <c r="Q2804" t="s">
        <v>5945</v>
      </c>
    </row>
    <row r="2805" spans="1:17" x14ac:dyDescent="0.3">
      <c r="A2805" t="s">
        <v>4729</v>
      </c>
      <c r="B2805" t="str">
        <f>"002078"</f>
        <v>002078</v>
      </c>
      <c r="C2805" t="s">
        <v>5946</v>
      </c>
      <c r="D2805" t="s">
        <v>694</v>
      </c>
      <c r="F2805">
        <v>31996643206</v>
      </c>
      <c r="G2805">
        <v>21588648353</v>
      </c>
      <c r="H2805">
        <v>22762704536</v>
      </c>
      <c r="I2805">
        <v>21768398462</v>
      </c>
      <c r="J2805">
        <v>18894287950</v>
      </c>
      <c r="K2805">
        <v>14455491145</v>
      </c>
      <c r="L2805">
        <v>10825123853</v>
      </c>
      <c r="M2805">
        <v>10457882049</v>
      </c>
      <c r="N2805">
        <v>10895094105</v>
      </c>
      <c r="O2805">
        <v>10408640842</v>
      </c>
      <c r="P2805">
        <v>1103</v>
      </c>
      <c r="Q2805" t="s">
        <v>5947</v>
      </c>
    </row>
    <row r="2806" spans="1:17" x14ac:dyDescent="0.3">
      <c r="A2806" t="s">
        <v>4729</v>
      </c>
      <c r="B2806" t="str">
        <f>"002079"</f>
        <v>002079</v>
      </c>
      <c r="C2806" t="s">
        <v>5948</v>
      </c>
      <c r="D2806" t="s">
        <v>795</v>
      </c>
      <c r="F2806">
        <v>2475686140</v>
      </c>
      <c r="G2806">
        <v>1804661200</v>
      </c>
      <c r="H2806">
        <v>1980553309</v>
      </c>
      <c r="I2806">
        <v>1885325487</v>
      </c>
      <c r="J2806">
        <v>1854591461</v>
      </c>
      <c r="K2806">
        <v>1187334429</v>
      </c>
      <c r="L2806">
        <v>811945946</v>
      </c>
      <c r="M2806">
        <v>922113193</v>
      </c>
      <c r="N2806">
        <v>819064403</v>
      </c>
      <c r="O2806">
        <v>808899674</v>
      </c>
      <c r="P2806">
        <v>372</v>
      </c>
      <c r="Q2806" t="s">
        <v>5949</v>
      </c>
    </row>
    <row r="2807" spans="1:17" x14ac:dyDescent="0.3">
      <c r="A2807" t="s">
        <v>4729</v>
      </c>
      <c r="B2807" t="str">
        <f>"002080"</f>
        <v>002080</v>
      </c>
      <c r="C2807" t="s">
        <v>5950</v>
      </c>
      <c r="D2807" t="s">
        <v>411</v>
      </c>
      <c r="F2807">
        <v>20295390923</v>
      </c>
      <c r="G2807">
        <v>18710871800</v>
      </c>
      <c r="H2807">
        <v>13590466951</v>
      </c>
      <c r="I2807">
        <v>11446869453</v>
      </c>
      <c r="J2807">
        <v>10267819232</v>
      </c>
      <c r="K2807">
        <v>8968929125</v>
      </c>
      <c r="L2807">
        <v>5827586250</v>
      </c>
      <c r="M2807">
        <v>4424452414</v>
      </c>
      <c r="N2807">
        <v>3443076200</v>
      </c>
      <c r="O2807">
        <v>2803247159</v>
      </c>
      <c r="P2807">
        <v>913</v>
      </c>
      <c r="Q2807" t="s">
        <v>5951</v>
      </c>
    </row>
    <row r="2808" spans="1:17" x14ac:dyDescent="0.3">
      <c r="A2808" t="s">
        <v>4729</v>
      </c>
      <c r="B2808" t="str">
        <f>"002081"</f>
        <v>002081</v>
      </c>
      <c r="C2808" t="s">
        <v>5952</v>
      </c>
      <c r="D2808" t="s">
        <v>450</v>
      </c>
      <c r="F2808">
        <v>25374151841</v>
      </c>
      <c r="G2808">
        <v>31243227802</v>
      </c>
      <c r="H2808">
        <v>30834654530</v>
      </c>
      <c r="I2808">
        <v>25088596106</v>
      </c>
      <c r="J2808">
        <v>20996405936</v>
      </c>
      <c r="K2808">
        <v>19600655406</v>
      </c>
      <c r="L2808">
        <v>18654092630</v>
      </c>
      <c r="M2808">
        <v>20688595926</v>
      </c>
      <c r="N2808">
        <v>18414283897</v>
      </c>
      <c r="O2808">
        <v>13941616886</v>
      </c>
      <c r="P2808">
        <v>18140</v>
      </c>
      <c r="Q2808" t="s">
        <v>5953</v>
      </c>
    </row>
    <row r="2809" spans="1:17" x14ac:dyDescent="0.3">
      <c r="A2809" t="s">
        <v>4729</v>
      </c>
      <c r="B2809" t="str">
        <f>"002082"</f>
        <v>002082</v>
      </c>
      <c r="C2809" t="s">
        <v>5954</v>
      </c>
      <c r="D2809" t="s">
        <v>504</v>
      </c>
      <c r="F2809">
        <v>1930601866</v>
      </c>
      <c r="G2809">
        <v>13701855584</v>
      </c>
      <c r="H2809">
        <v>15794900821</v>
      </c>
      <c r="I2809">
        <v>14335310469</v>
      </c>
      <c r="J2809">
        <v>14635458224</v>
      </c>
      <c r="K2809">
        <v>9183466308</v>
      </c>
      <c r="L2809">
        <v>11572197772</v>
      </c>
      <c r="M2809">
        <v>11451694093</v>
      </c>
      <c r="N2809">
        <v>11786336489</v>
      </c>
      <c r="O2809">
        <v>10972922380</v>
      </c>
      <c r="P2809">
        <v>135</v>
      </c>
      <c r="Q2809" t="s">
        <v>5955</v>
      </c>
    </row>
    <row r="2810" spans="1:17" x14ac:dyDescent="0.3">
      <c r="A2810" t="s">
        <v>4729</v>
      </c>
      <c r="B2810" t="str">
        <f>"002083"</f>
        <v>002083</v>
      </c>
      <c r="C2810" t="s">
        <v>5956</v>
      </c>
      <c r="D2810" t="s">
        <v>1009</v>
      </c>
      <c r="F2810">
        <v>5157188661</v>
      </c>
      <c r="G2810">
        <v>4432082349</v>
      </c>
      <c r="H2810">
        <v>4986925315</v>
      </c>
      <c r="I2810">
        <v>5154539812</v>
      </c>
      <c r="J2810">
        <v>4821675351</v>
      </c>
      <c r="K2810">
        <v>4374976362</v>
      </c>
      <c r="L2810">
        <v>4183778781</v>
      </c>
      <c r="M2810">
        <v>4523396738</v>
      </c>
      <c r="N2810">
        <v>4442716903</v>
      </c>
      <c r="O2810">
        <v>4470021875</v>
      </c>
      <c r="P2810">
        <v>283</v>
      </c>
      <c r="Q2810" t="s">
        <v>5957</v>
      </c>
    </row>
    <row r="2811" spans="1:17" x14ac:dyDescent="0.3">
      <c r="A2811" t="s">
        <v>4729</v>
      </c>
      <c r="B2811" t="str">
        <f>"002084"</f>
        <v>002084</v>
      </c>
      <c r="C2811" t="s">
        <v>5958</v>
      </c>
      <c r="D2811" t="s">
        <v>2912</v>
      </c>
      <c r="F2811">
        <v>4125639722</v>
      </c>
      <c r="G2811">
        <v>3340050003</v>
      </c>
      <c r="H2811">
        <v>2569424299</v>
      </c>
      <c r="I2811">
        <v>2224695145</v>
      </c>
      <c r="J2811">
        <v>2070648154</v>
      </c>
      <c r="K2811">
        <v>1786562164</v>
      </c>
      <c r="L2811">
        <v>1714909435</v>
      </c>
      <c r="M2811">
        <v>1649972495</v>
      </c>
      <c r="N2811">
        <v>1675669916</v>
      </c>
      <c r="O2811">
        <v>1651430621</v>
      </c>
      <c r="P2811">
        <v>148</v>
      </c>
      <c r="Q2811" t="s">
        <v>5959</v>
      </c>
    </row>
    <row r="2812" spans="1:17" x14ac:dyDescent="0.3">
      <c r="A2812" t="s">
        <v>4729</v>
      </c>
      <c r="B2812" t="str">
        <f>"002085"</f>
        <v>002085</v>
      </c>
      <c r="C2812" t="s">
        <v>5960</v>
      </c>
      <c r="D2812" t="s">
        <v>422</v>
      </c>
      <c r="F2812">
        <v>12436073160</v>
      </c>
      <c r="G2812">
        <v>10699224905</v>
      </c>
      <c r="H2812">
        <v>10787734491</v>
      </c>
      <c r="I2812">
        <v>11005069693</v>
      </c>
      <c r="J2812">
        <v>10177226828</v>
      </c>
      <c r="K2812">
        <v>9485725904</v>
      </c>
      <c r="L2812">
        <v>8481099519</v>
      </c>
      <c r="M2812">
        <v>5535128066</v>
      </c>
      <c r="N2812">
        <v>4552340497</v>
      </c>
      <c r="O2812">
        <v>4090751917</v>
      </c>
      <c r="P2812">
        <v>1527</v>
      </c>
      <c r="Q2812" t="s">
        <v>5961</v>
      </c>
    </row>
    <row r="2813" spans="1:17" x14ac:dyDescent="0.3">
      <c r="A2813" t="s">
        <v>4729</v>
      </c>
      <c r="B2813" t="str">
        <f>"002086"</f>
        <v>002086</v>
      </c>
      <c r="C2813" t="s">
        <v>5962</v>
      </c>
      <c r="D2813" t="s">
        <v>587</v>
      </c>
      <c r="F2813">
        <v>388969421</v>
      </c>
      <c r="G2813">
        <v>427984779</v>
      </c>
      <c r="H2813">
        <v>585575782</v>
      </c>
      <c r="I2813">
        <v>725034292</v>
      </c>
      <c r="J2813">
        <v>779407279</v>
      </c>
      <c r="K2813">
        <v>706710878</v>
      </c>
      <c r="L2813">
        <v>674606421</v>
      </c>
      <c r="M2813">
        <v>604504765</v>
      </c>
      <c r="N2813">
        <v>615510338</v>
      </c>
      <c r="O2813">
        <v>676377709</v>
      </c>
      <c r="P2813">
        <v>70</v>
      </c>
      <c r="Q2813" t="s">
        <v>5963</v>
      </c>
    </row>
    <row r="2814" spans="1:17" x14ac:dyDescent="0.3">
      <c r="A2814" t="s">
        <v>4729</v>
      </c>
      <c r="B2814" t="str">
        <f>"002087"</f>
        <v>002087</v>
      </c>
      <c r="C2814" t="s">
        <v>5964</v>
      </c>
      <c r="D2814" t="s">
        <v>1009</v>
      </c>
      <c r="F2814">
        <v>5303450692</v>
      </c>
      <c r="G2814">
        <v>4865937959</v>
      </c>
      <c r="H2814">
        <v>5732043895</v>
      </c>
      <c r="I2814">
        <v>6059889289</v>
      </c>
      <c r="J2814">
        <v>5195202112</v>
      </c>
      <c r="K2814">
        <v>4085467261</v>
      </c>
      <c r="L2814">
        <v>3046708978</v>
      </c>
      <c r="M2814">
        <v>3399460856</v>
      </c>
      <c r="N2814">
        <v>3260033124</v>
      </c>
      <c r="O2814">
        <v>3157711398</v>
      </c>
      <c r="P2814">
        <v>208</v>
      </c>
      <c r="Q2814" t="s">
        <v>5965</v>
      </c>
    </row>
    <row r="2815" spans="1:17" x14ac:dyDescent="0.3">
      <c r="A2815" t="s">
        <v>4729</v>
      </c>
      <c r="B2815" t="str">
        <f>"002088"</f>
        <v>002088</v>
      </c>
      <c r="C2815" t="s">
        <v>5966</v>
      </c>
      <c r="D2815" t="s">
        <v>5922</v>
      </c>
      <c r="F2815">
        <v>3163810057</v>
      </c>
      <c r="G2815">
        <v>2325686119</v>
      </c>
      <c r="H2815">
        <v>2147040502</v>
      </c>
      <c r="I2815">
        <v>1842370173</v>
      </c>
      <c r="J2815">
        <v>1595779826</v>
      </c>
      <c r="K2815">
        <v>1189518327</v>
      </c>
      <c r="L2815">
        <v>1132746535</v>
      </c>
      <c r="M2815">
        <v>1177723852</v>
      </c>
      <c r="N2815">
        <v>1026456994</v>
      </c>
      <c r="O2815">
        <v>1003341061</v>
      </c>
      <c r="P2815">
        <v>409</v>
      </c>
      <c r="Q2815" t="s">
        <v>5967</v>
      </c>
    </row>
    <row r="2816" spans="1:17" x14ac:dyDescent="0.3">
      <c r="A2816" t="s">
        <v>4729</v>
      </c>
      <c r="B2816" t="str">
        <f>"002089"</f>
        <v>002089</v>
      </c>
      <c r="C2816" t="s">
        <v>5968</v>
      </c>
      <c r="D2816" t="s">
        <v>1019</v>
      </c>
      <c r="F2816">
        <v>235133889</v>
      </c>
      <c r="G2816">
        <v>158832259</v>
      </c>
      <c r="H2816">
        <v>265043822</v>
      </c>
      <c r="I2816">
        <v>766336585</v>
      </c>
      <c r="J2816">
        <v>1604715292</v>
      </c>
      <c r="K2816">
        <v>1900601749</v>
      </c>
      <c r="L2816">
        <v>1741981178</v>
      </c>
      <c r="M2816">
        <v>1142274889</v>
      </c>
      <c r="N2816">
        <v>823430809</v>
      </c>
      <c r="O2816">
        <v>817018531</v>
      </c>
      <c r="P2816">
        <v>175</v>
      </c>
      <c r="Q2816" t="s">
        <v>5969</v>
      </c>
    </row>
    <row r="2817" spans="1:17" x14ac:dyDescent="0.3">
      <c r="A2817" t="s">
        <v>4729</v>
      </c>
      <c r="B2817" t="str">
        <f>"002090"</f>
        <v>002090</v>
      </c>
      <c r="C2817" t="s">
        <v>5970</v>
      </c>
      <c r="D2817" t="s">
        <v>610</v>
      </c>
      <c r="F2817">
        <v>1640761732</v>
      </c>
      <c r="G2817">
        <v>1858194283</v>
      </c>
      <c r="H2817">
        <v>1988441033</v>
      </c>
      <c r="I2817">
        <v>1675905200</v>
      </c>
      <c r="J2817">
        <v>2305959694</v>
      </c>
      <c r="K2817">
        <v>1874225631</v>
      </c>
      <c r="L2817">
        <v>1241388364</v>
      </c>
      <c r="M2817">
        <v>1179081320</v>
      </c>
      <c r="N2817">
        <v>1052408180</v>
      </c>
      <c r="O2817">
        <v>821201486</v>
      </c>
      <c r="P2817">
        <v>229</v>
      </c>
      <c r="Q2817" t="s">
        <v>5971</v>
      </c>
    </row>
    <row r="2818" spans="1:17" x14ac:dyDescent="0.3">
      <c r="A2818" t="s">
        <v>4729</v>
      </c>
      <c r="B2818" t="str">
        <f>"002091"</f>
        <v>002091</v>
      </c>
      <c r="C2818" t="s">
        <v>5972</v>
      </c>
      <c r="D2818" t="s">
        <v>131</v>
      </c>
      <c r="F2818">
        <v>39339502885</v>
      </c>
      <c r="G2818">
        <v>30100597882</v>
      </c>
      <c r="H2818">
        <v>39289930632</v>
      </c>
      <c r="I2818">
        <v>36800079676</v>
      </c>
      <c r="J2818">
        <v>34489392397</v>
      </c>
      <c r="K2818">
        <v>29706546454</v>
      </c>
      <c r="L2818">
        <v>7292996800</v>
      </c>
      <c r="M2818">
        <v>6061340486</v>
      </c>
      <c r="N2818">
        <v>5607532509</v>
      </c>
      <c r="O2818">
        <v>4829231753</v>
      </c>
      <c r="P2818">
        <v>509</v>
      </c>
      <c r="Q2818" t="s">
        <v>5973</v>
      </c>
    </row>
    <row r="2819" spans="1:17" x14ac:dyDescent="0.3">
      <c r="A2819" t="s">
        <v>4729</v>
      </c>
      <c r="B2819" t="str">
        <f>"002092"</f>
        <v>002092</v>
      </c>
      <c r="C2819" t="s">
        <v>5974</v>
      </c>
      <c r="D2819" t="s">
        <v>175</v>
      </c>
      <c r="F2819">
        <v>62463275758</v>
      </c>
      <c r="G2819">
        <v>84197018125</v>
      </c>
      <c r="H2819">
        <v>83119888254</v>
      </c>
      <c r="I2819">
        <v>70222629870</v>
      </c>
      <c r="J2819">
        <v>41059027042</v>
      </c>
      <c r="K2819">
        <v>23362324089</v>
      </c>
      <c r="L2819">
        <v>15263199378</v>
      </c>
      <c r="M2819">
        <v>11176952962</v>
      </c>
      <c r="N2819">
        <v>12045852832</v>
      </c>
      <c r="O2819">
        <v>7112887952</v>
      </c>
      <c r="P2819">
        <v>521</v>
      </c>
      <c r="Q2819" t="s">
        <v>5975</v>
      </c>
    </row>
    <row r="2820" spans="1:17" x14ac:dyDescent="0.3">
      <c r="A2820" t="s">
        <v>4729</v>
      </c>
      <c r="B2820" t="str">
        <f>"002093"</f>
        <v>002093</v>
      </c>
      <c r="C2820" t="s">
        <v>5976</v>
      </c>
      <c r="D2820" t="s">
        <v>654</v>
      </c>
      <c r="F2820">
        <v>480474457</v>
      </c>
      <c r="G2820">
        <v>435783804</v>
      </c>
      <c r="H2820">
        <v>524079679</v>
      </c>
      <c r="I2820">
        <v>983403674</v>
      </c>
      <c r="J2820">
        <v>1516470287</v>
      </c>
      <c r="K2820">
        <v>1230917244</v>
      </c>
      <c r="L2820">
        <v>497501063</v>
      </c>
      <c r="M2820">
        <v>460281867</v>
      </c>
      <c r="N2820">
        <v>382845898</v>
      </c>
      <c r="O2820">
        <v>742908539</v>
      </c>
      <c r="P2820">
        <v>288</v>
      </c>
      <c r="Q2820" t="s">
        <v>5977</v>
      </c>
    </row>
    <row r="2821" spans="1:17" x14ac:dyDescent="0.3">
      <c r="A2821" t="s">
        <v>4729</v>
      </c>
      <c r="B2821" t="str">
        <f>"002094"</f>
        <v>002094</v>
      </c>
      <c r="C2821" t="s">
        <v>5978</v>
      </c>
      <c r="D2821" t="s">
        <v>5979</v>
      </c>
      <c r="F2821">
        <v>3153044394</v>
      </c>
      <c r="G2821">
        <v>4001716787</v>
      </c>
      <c r="H2821">
        <v>5474978205</v>
      </c>
      <c r="I2821">
        <v>5456087745</v>
      </c>
      <c r="J2821">
        <v>4676528740</v>
      </c>
      <c r="K2821">
        <v>2370996333</v>
      </c>
      <c r="L2821">
        <v>1476888404</v>
      </c>
      <c r="M2821">
        <v>1223509997</v>
      </c>
      <c r="N2821">
        <v>1454001440</v>
      </c>
      <c r="O2821">
        <v>1425074307</v>
      </c>
      <c r="P2821">
        <v>183</v>
      </c>
      <c r="Q2821" t="s">
        <v>5980</v>
      </c>
    </row>
    <row r="2822" spans="1:17" x14ac:dyDescent="0.3">
      <c r="A2822" t="s">
        <v>4729</v>
      </c>
      <c r="B2822" t="str">
        <f>"002095"</f>
        <v>002095</v>
      </c>
      <c r="C2822" t="s">
        <v>5981</v>
      </c>
      <c r="D2822" t="s">
        <v>522</v>
      </c>
      <c r="F2822">
        <v>467042864</v>
      </c>
      <c r="G2822">
        <v>377171286</v>
      </c>
      <c r="H2822">
        <v>357124795</v>
      </c>
      <c r="I2822">
        <v>419647156</v>
      </c>
      <c r="J2822">
        <v>361134125</v>
      </c>
      <c r="K2822">
        <v>323498322</v>
      </c>
      <c r="L2822">
        <v>176135906</v>
      </c>
      <c r="M2822">
        <v>159688914</v>
      </c>
      <c r="N2822">
        <v>199105619</v>
      </c>
      <c r="O2822">
        <v>160302241</v>
      </c>
      <c r="P2822">
        <v>97</v>
      </c>
      <c r="Q2822" t="s">
        <v>5982</v>
      </c>
    </row>
    <row r="2823" spans="1:17" x14ac:dyDescent="0.3">
      <c r="A2823" t="s">
        <v>4729</v>
      </c>
      <c r="B2823" t="str">
        <f>"002096"</f>
        <v>002096</v>
      </c>
      <c r="C2823" t="s">
        <v>5983</v>
      </c>
      <c r="D2823" t="s">
        <v>2736</v>
      </c>
      <c r="F2823">
        <v>1930922040</v>
      </c>
      <c r="G2823">
        <v>1999093525</v>
      </c>
      <c r="H2823">
        <v>2521573969</v>
      </c>
      <c r="I2823">
        <v>2173858275</v>
      </c>
      <c r="J2823">
        <v>2624152779</v>
      </c>
      <c r="K2823">
        <v>2661404148</v>
      </c>
      <c r="L2823">
        <v>2198551171</v>
      </c>
      <c r="M2823">
        <v>1791168537</v>
      </c>
      <c r="N2823">
        <v>1669913776</v>
      </c>
      <c r="O2823">
        <v>1587676680</v>
      </c>
      <c r="P2823">
        <v>79</v>
      </c>
      <c r="Q2823" t="s">
        <v>5984</v>
      </c>
    </row>
    <row r="2824" spans="1:17" x14ac:dyDescent="0.3">
      <c r="A2824" t="s">
        <v>4729</v>
      </c>
      <c r="B2824" t="str">
        <f>"002097"</f>
        <v>002097</v>
      </c>
      <c r="C2824" t="s">
        <v>5985</v>
      </c>
      <c r="D2824" t="s">
        <v>83</v>
      </c>
      <c r="F2824">
        <v>11407664345</v>
      </c>
      <c r="G2824">
        <v>9377367501</v>
      </c>
      <c r="H2824">
        <v>7427355609</v>
      </c>
      <c r="I2824">
        <v>5755520522</v>
      </c>
      <c r="J2824">
        <v>3946203040</v>
      </c>
      <c r="K2824">
        <v>1991603674</v>
      </c>
      <c r="L2824">
        <v>1456197290</v>
      </c>
      <c r="M2824">
        <v>1839571547</v>
      </c>
      <c r="N2824">
        <v>2112847296</v>
      </c>
      <c r="O2824">
        <v>1937344816</v>
      </c>
      <c r="P2824">
        <v>217</v>
      </c>
      <c r="Q2824" t="s">
        <v>5986</v>
      </c>
    </row>
    <row r="2825" spans="1:17" x14ac:dyDescent="0.3">
      <c r="A2825" t="s">
        <v>4729</v>
      </c>
      <c r="B2825" t="str">
        <f>"002098"</f>
        <v>002098</v>
      </c>
      <c r="C2825" t="s">
        <v>5987</v>
      </c>
      <c r="D2825" t="s">
        <v>2956</v>
      </c>
      <c r="F2825">
        <v>2261739714</v>
      </c>
      <c r="G2825">
        <v>1589919388</v>
      </c>
      <c r="H2825">
        <v>1919149403</v>
      </c>
      <c r="I2825">
        <v>2272495887</v>
      </c>
      <c r="J2825">
        <v>1859901689</v>
      </c>
      <c r="K2825">
        <v>1175490158</v>
      </c>
      <c r="L2825">
        <v>1041456861</v>
      </c>
      <c r="M2825">
        <v>1049511907</v>
      </c>
      <c r="N2825">
        <v>1006280279</v>
      </c>
      <c r="O2825">
        <v>933508422</v>
      </c>
      <c r="P2825">
        <v>111</v>
      </c>
      <c r="Q2825" t="s">
        <v>5988</v>
      </c>
    </row>
    <row r="2826" spans="1:17" x14ac:dyDescent="0.3">
      <c r="A2826" t="s">
        <v>4729</v>
      </c>
      <c r="B2826" t="str">
        <f>"002099"</f>
        <v>002099</v>
      </c>
      <c r="C2826" t="s">
        <v>5989</v>
      </c>
      <c r="D2826" t="s">
        <v>496</v>
      </c>
      <c r="F2826">
        <v>2484828437</v>
      </c>
      <c r="G2826">
        <v>2471386626</v>
      </c>
      <c r="H2826">
        <v>2941412770</v>
      </c>
      <c r="I2826">
        <v>2718608797</v>
      </c>
      <c r="J2826">
        <v>2308922170</v>
      </c>
      <c r="K2826">
        <v>2433862072</v>
      </c>
      <c r="L2826">
        <v>2464495534</v>
      </c>
      <c r="M2826">
        <v>1319135738</v>
      </c>
      <c r="N2826">
        <v>1160690698</v>
      </c>
      <c r="O2826">
        <v>1145374377</v>
      </c>
      <c r="P2826">
        <v>298</v>
      </c>
      <c r="Q2826" t="s">
        <v>5990</v>
      </c>
    </row>
    <row r="2827" spans="1:17" x14ac:dyDescent="0.3">
      <c r="A2827" t="s">
        <v>4729</v>
      </c>
      <c r="B2827" t="str">
        <f>"002100"</f>
        <v>002100</v>
      </c>
      <c r="C2827" t="s">
        <v>5991</v>
      </c>
      <c r="D2827" t="s">
        <v>2886</v>
      </c>
      <c r="F2827">
        <v>15744337617</v>
      </c>
      <c r="G2827">
        <v>11986808944</v>
      </c>
      <c r="H2827">
        <v>7476316392</v>
      </c>
      <c r="I2827">
        <v>5273032350</v>
      </c>
      <c r="J2827">
        <v>4630025739</v>
      </c>
      <c r="K2827">
        <v>4444138123</v>
      </c>
      <c r="L2827">
        <v>4167289410</v>
      </c>
      <c r="M2827">
        <v>4014627132</v>
      </c>
      <c r="N2827">
        <v>3724760233</v>
      </c>
      <c r="O2827">
        <v>3327313393</v>
      </c>
      <c r="P2827">
        <v>737</v>
      </c>
      <c r="Q2827" t="s">
        <v>5992</v>
      </c>
    </row>
    <row r="2828" spans="1:17" x14ac:dyDescent="0.3">
      <c r="A2828" t="s">
        <v>4729</v>
      </c>
      <c r="B2828" t="str">
        <f>"002101"</f>
        <v>002101</v>
      </c>
      <c r="C2828" t="s">
        <v>5993</v>
      </c>
      <c r="D2828" t="s">
        <v>985</v>
      </c>
      <c r="F2828">
        <v>6003325507</v>
      </c>
      <c r="G2828">
        <v>5596026125</v>
      </c>
      <c r="H2828">
        <v>5906316590</v>
      </c>
      <c r="I2828">
        <v>6060102532</v>
      </c>
      <c r="J2828">
        <v>5002622983</v>
      </c>
      <c r="K2828">
        <v>2678233548</v>
      </c>
      <c r="L2828">
        <v>2258688634</v>
      </c>
      <c r="M2828">
        <v>2214861346</v>
      </c>
      <c r="N2828">
        <v>1822645900</v>
      </c>
      <c r="O2828">
        <v>1345010863</v>
      </c>
      <c r="P2828">
        <v>267</v>
      </c>
      <c r="Q2828" t="s">
        <v>5994</v>
      </c>
    </row>
    <row r="2829" spans="1:17" x14ac:dyDescent="0.3">
      <c r="A2829" t="s">
        <v>4729</v>
      </c>
      <c r="B2829" t="str">
        <f>"002102"</f>
        <v>002102</v>
      </c>
      <c r="C2829" t="s">
        <v>5995</v>
      </c>
      <c r="D2829" t="s">
        <v>496</v>
      </c>
      <c r="F2829">
        <v>13532557657</v>
      </c>
      <c r="G2829">
        <v>12841679569</v>
      </c>
      <c r="H2829">
        <v>15935570983</v>
      </c>
      <c r="I2829">
        <v>14293088644</v>
      </c>
      <c r="J2829">
        <v>9735868786</v>
      </c>
      <c r="K2829">
        <v>887206949</v>
      </c>
      <c r="L2829">
        <v>1316233434</v>
      </c>
      <c r="M2829">
        <v>1873934505</v>
      </c>
      <c r="N2829">
        <v>1867163139</v>
      </c>
      <c r="O2829">
        <v>695950435</v>
      </c>
      <c r="P2829">
        <v>119</v>
      </c>
      <c r="Q2829" t="s">
        <v>5996</v>
      </c>
    </row>
    <row r="2830" spans="1:17" x14ac:dyDescent="0.3">
      <c r="A2830" t="s">
        <v>4729</v>
      </c>
      <c r="B2830" t="str">
        <f>"002103"</f>
        <v>002103</v>
      </c>
      <c r="C2830" t="s">
        <v>5997</v>
      </c>
      <c r="D2830" t="s">
        <v>207</v>
      </c>
      <c r="F2830">
        <v>2843138822</v>
      </c>
      <c r="G2830">
        <v>2593237595</v>
      </c>
      <c r="H2830">
        <v>2165233248</v>
      </c>
      <c r="I2830">
        <v>2048308737</v>
      </c>
      <c r="J2830">
        <v>2378495764</v>
      </c>
      <c r="K2830">
        <v>1643209939</v>
      </c>
      <c r="L2830">
        <v>1457130077</v>
      </c>
      <c r="M2830">
        <v>907430184</v>
      </c>
      <c r="N2830">
        <v>848348018</v>
      </c>
      <c r="O2830">
        <v>1041150660</v>
      </c>
      <c r="P2830">
        <v>108</v>
      </c>
      <c r="Q2830" t="s">
        <v>5998</v>
      </c>
    </row>
    <row r="2831" spans="1:17" x14ac:dyDescent="0.3">
      <c r="A2831" t="s">
        <v>4729</v>
      </c>
      <c r="B2831" t="str">
        <f>"002104"</f>
        <v>002104</v>
      </c>
      <c r="C2831" t="s">
        <v>5999</v>
      </c>
      <c r="D2831" t="s">
        <v>786</v>
      </c>
      <c r="F2831">
        <v>959885269</v>
      </c>
      <c r="G2831">
        <v>1052163738</v>
      </c>
      <c r="H2831">
        <v>1535467255</v>
      </c>
      <c r="I2831">
        <v>1690305334</v>
      </c>
      <c r="J2831">
        <v>1368374092</v>
      </c>
      <c r="K2831">
        <v>1353352597</v>
      </c>
      <c r="L2831">
        <v>1820661778</v>
      </c>
      <c r="M2831">
        <v>1550767102</v>
      </c>
      <c r="N2831">
        <v>1260997115</v>
      </c>
      <c r="O2831">
        <v>929871155</v>
      </c>
      <c r="P2831">
        <v>416</v>
      </c>
      <c r="Q2831" t="s">
        <v>6000</v>
      </c>
    </row>
    <row r="2832" spans="1:17" x14ac:dyDescent="0.3">
      <c r="A2832" t="s">
        <v>4729</v>
      </c>
      <c r="B2832" t="str">
        <f>"002105"</f>
        <v>002105</v>
      </c>
      <c r="C2832" t="s">
        <v>6001</v>
      </c>
      <c r="D2832" t="s">
        <v>233</v>
      </c>
      <c r="F2832">
        <v>2634187767</v>
      </c>
      <c r="G2832">
        <v>1867328488</v>
      </c>
      <c r="H2832">
        <v>1966593350</v>
      </c>
      <c r="I2832">
        <v>1503418918</v>
      </c>
      <c r="J2832">
        <v>1745649312</v>
      </c>
      <c r="K2832">
        <v>1382195305</v>
      </c>
      <c r="L2832">
        <v>1358901139</v>
      </c>
      <c r="M2832">
        <v>1596848365</v>
      </c>
      <c r="N2832">
        <v>1449190612</v>
      </c>
      <c r="O2832">
        <v>1521899607</v>
      </c>
      <c r="P2832">
        <v>219</v>
      </c>
      <c r="Q2832" t="s">
        <v>6002</v>
      </c>
    </row>
    <row r="2833" spans="1:17" x14ac:dyDescent="0.3">
      <c r="A2833" t="s">
        <v>4729</v>
      </c>
      <c r="B2833" t="str">
        <f>"002106"</f>
        <v>002106</v>
      </c>
      <c r="C2833" t="s">
        <v>6003</v>
      </c>
      <c r="D2833" t="s">
        <v>1117</v>
      </c>
      <c r="F2833">
        <v>7682304460</v>
      </c>
      <c r="G2833">
        <v>6751529408</v>
      </c>
      <c r="H2833">
        <v>4802171362</v>
      </c>
      <c r="I2833">
        <v>4416084126</v>
      </c>
      <c r="J2833">
        <v>3989349812</v>
      </c>
      <c r="K2833">
        <v>3353922078</v>
      </c>
      <c r="L2833">
        <v>2423799415</v>
      </c>
      <c r="M2833">
        <v>2343271413</v>
      </c>
      <c r="N2833">
        <v>2000780456</v>
      </c>
      <c r="O2833">
        <v>1210055042</v>
      </c>
      <c r="P2833">
        <v>296</v>
      </c>
      <c r="Q2833" t="s">
        <v>6004</v>
      </c>
    </row>
    <row r="2834" spans="1:17" x14ac:dyDescent="0.3">
      <c r="A2834" t="s">
        <v>4729</v>
      </c>
      <c r="B2834" t="str">
        <f>"002107"</f>
        <v>002107</v>
      </c>
      <c r="C2834" t="s">
        <v>6005</v>
      </c>
      <c r="D2834" t="s">
        <v>188</v>
      </c>
      <c r="F2834">
        <v>942674554</v>
      </c>
      <c r="G2834">
        <v>1006081515</v>
      </c>
      <c r="H2834">
        <v>860290535</v>
      </c>
      <c r="I2834">
        <v>774415740</v>
      </c>
      <c r="J2834">
        <v>726646141</v>
      </c>
      <c r="K2834">
        <v>562845618</v>
      </c>
      <c r="L2834">
        <v>468923669</v>
      </c>
      <c r="M2834">
        <v>315307987</v>
      </c>
      <c r="N2834">
        <v>255597771</v>
      </c>
      <c r="O2834">
        <v>209606772</v>
      </c>
      <c r="P2834">
        <v>350</v>
      </c>
      <c r="Q2834" t="s">
        <v>6006</v>
      </c>
    </row>
    <row r="2835" spans="1:17" x14ac:dyDescent="0.3">
      <c r="A2835" t="s">
        <v>4729</v>
      </c>
      <c r="B2835" t="str">
        <f>"002108"</f>
        <v>002108</v>
      </c>
      <c r="C2835" t="s">
        <v>6007</v>
      </c>
      <c r="D2835" t="s">
        <v>1192</v>
      </c>
      <c r="F2835">
        <v>2889213209</v>
      </c>
      <c r="G2835">
        <v>2762479245</v>
      </c>
      <c r="H2835">
        <v>2996255952</v>
      </c>
      <c r="I2835">
        <v>3325099388</v>
      </c>
      <c r="J2835">
        <v>3524439330</v>
      </c>
      <c r="K2835">
        <v>2764817545</v>
      </c>
      <c r="L2835">
        <v>2175258176</v>
      </c>
      <c r="M2835">
        <v>2089958704</v>
      </c>
      <c r="N2835">
        <v>1982982297</v>
      </c>
      <c r="O2835">
        <v>1762387038</v>
      </c>
      <c r="P2835">
        <v>345</v>
      </c>
      <c r="Q2835" t="s">
        <v>6008</v>
      </c>
    </row>
    <row r="2836" spans="1:17" x14ac:dyDescent="0.3">
      <c r="A2836" t="s">
        <v>4729</v>
      </c>
      <c r="B2836" t="str">
        <f>"002109"</f>
        <v>002109</v>
      </c>
      <c r="C2836" t="s">
        <v>6009</v>
      </c>
      <c r="D2836" t="s">
        <v>1233</v>
      </c>
      <c r="F2836">
        <v>2837245532</v>
      </c>
      <c r="G2836">
        <v>1939991157</v>
      </c>
      <c r="H2836">
        <v>1974453086</v>
      </c>
      <c r="I2836">
        <v>2052627903</v>
      </c>
      <c r="J2836">
        <v>1893959770</v>
      </c>
      <c r="K2836">
        <v>2037593757</v>
      </c>
      <c r="L2836">
        <v>856731463</v>
      </c>
      <c r="M2836">
        <v>948271922</v>
      </c>
      <c r="N2836">
        <v>1119043899</v>
      </c>
      <c r="O2836">
        <v>1443618774</v>
      </c>
      <c r="P2836">
        <v>138</v>
      </c>
      <c r="Q2836" t="s">
        <v>6010</v>
      </c>
    </row>
    <row r="2837" spans="1:17" x14ac:dyDescent="0.3">
      <c r="A2837" t="s">
        <v>4729</v>
      </c>
      <c r="B2837" t="str">
        <f>"002110"</f>
        <v>002110</v>
      </c>
      <c r="C2837" t="s">
        <v>6011</v>
      </c>
      <c r="D2837" t="s">
        <v>531</v>
      </c>
      <c r="F2837">
        <v>62752952985</v>
      </c>
      <c r="G2837">
        <v>48636347450</v>
      </c>
      <c r="H2837">
        <v>45511323231</v>
      </c>
      <c r="I2837">
        <v>36248213119</v>
      </c>
      <c r="J2837">
        <v>22460534835</v>
      </c>
      <c r="K2837">
        <v>14117933316</v>
      </c>
      <c r="L2837">
        <v>12541945512</v>
      </c>
      <c r="M2837">
        <v>18022318643</v>
      </c>
      <c r="N2837">
        <v>19298525694</v>
      </c>
      <c r="O2837">
        <v>18281606129</v>
      </c>
      <c r="P2837">
        <v>1174</v>
      </c>
      <c r="Q2837" t="s">
        <v>6012</v>
      </c>
    </row>
    <row r="2838" spans="1:17" x14ac:dyDescent="0.3">
      <c r="A2838" t="s">
        <v>4729</v>
      </c>
      <c r="B2838" t="str">
        <f>"002111"</f>
        <v>002111</v>
      </c>
      <c r="C2838" t="s">
        <v>6013</v>
      </c>
      <c r="D2838" t="s">
        <v>741</v>
      </c>
      <c r="F2838">
        <v>3079120703</v>
      </c>
      <c r="G2838">
        <v>2964983883</v>
      </c>
      <c r="H2838">
        <v>2551437385</v>
      </c>
      <c r="I2838">
        <v>2187196557</v>
      </c>
      <c r="J2838">
        <v>1804125959</v>
      </c>
      <c r="K2838">
        <v>1555291094</v>
      </c>
      <c r="L2838">
        <v>1323094553</v>
      </c>
      <c r="M2838">
        <v>1015107532</v>
      </c>
      <c r="N2838">
        <v>885303938</v>
      </c>
      <c r="O2838">
        <v>810764712</v>
      </c>
      <c r="P2838">
        <v>214</v>
      </c>
      <c r="Q2838" t="s">
        <v>6014</v>
      </c>
    </row>
    <row r="2839" spans="1:17" x14ac:dyDescent="0.3">
      <c r="A2839" t="s">
        <v>4729</v>
      </c>
      <c r="B2839" t="str">
        <f>"002112"</f>
        <v>002112</v>
      </c>
      <c r="C2839" t="s">
        <v>6015</v>
      </c>
      <c r="D2839" t="s">
        <v>210</v>
      </c>
      <c r="F2839">
        <v>1033650624</v>
      </c>
      <c r="G2839">
        <v>1010337989</v>
      </c>
      <c r="H2839">
        <v>710389903</v>
      </c>
      <c r="I2839">
        <v>570674147</v>
      </c>
      <c r="J2839">
        <v>535996589</v>
      </c>
      <c r="K2839">
        <v>484468087</v>
      </c>
      <c r="L2839">
        <v>928482690</v>
      </c>
      <c r="M2839">
        <v>923825119</v>
      </c>
      <c r="N2839">
        <v>921134082</v>
      </c>
      <c r="O2839">
        <v>838075893</v>
      </c>
      <c r="P2839">
        <v>76</v>
      </c>
      <c r="Q2839" t="s">
        <v>6016</v>
      </c>
    </row>
    <row r="2840" spans="1:17" x14ac:dyDescent="0.3">
      <c r="A2840" t="s">
        <v>4729</v>
      </c>
      <c r="B2840" t="str">
        <f>"002113"</f>
        <v>002113</v>
      </c>
      <c r="C2840" t="s">
        <v>6017</v>
      </c>
      <c r="D2840" t="s">
        <v>517</v>
      </c>
      <c r="F2840">
        <v>435438476</v>
      </c>
      <c r="G2840">
        <v>631363884</v>
      </c>
      <c r="H2840">
        <v>595595888</v>
      </c>
      <c r="I2840">
        <v>525094070</v>
      </c>
      <c r="J2840">
        <v>205958122</v>
      </c>
      <c r="K2840">
        <v>131191344</v>
      </c>
      <c r="L2840">
        <v>16510217</v>
      </c>
      <c r="M2840">
        <v>16789504</v>
      </c>
      <c r="N2840">
        <v>29459991</v>
      </c>
      <c r="O2840">
        <v>23203906</v>
      </c>
      <c r="P2840">
        <v>77</v>
      </c>
      <c r="Q2840" t="s">
        <v>6018</v>
      </c>
    </row>
    <row r="2841" spans="1:17" x14ac:dyDescent="0.3">
      <c r="A2841" t="s">
        <v>4729</v>
      </c>
      <c r="B2841" t="str">
        <f>"002114"</f>
        <v>002114</v>
      </c>
      <c r="C2841" t="s">
        <v>6019</v>
      </c>
      <c r="D2841" t="s">
        <v>744</v>
      </c>
      <c r="F2841">
        <v>1824660549</v>
      </c>
      <c r="G2841">
        <v>1722517786</v>
      </c>
      <c r="H2841">
        <v>1866674820</v>
      </c>
      <c r="I2841">
        <v>1073923466</v>
      </c>
      <c r="J2841">
        <v>1618758050</v>
      </c>
      <c r="K2841">
        <v>1003725509</v>
      </c>
      <c r="L2841">
        <v>939090096</v>
      </c>
      <c r="M2841">
        <v>664708441</v>
      </c>
      <c r="N2841">
        <v>855475574</v>
      </c>
      <c r="O2841">
        <v>1262200859</v>
      </c>
      <c r="P2841">
        <v>73</v>
      </c>
      <c r="Q2841" t="s">
        <v>6020</v>
      </c>
    </row>
    <row r="2842" spans="1:17" x14ac:dyDescent="0.3">
      <c r="A2842" t="s">
        <v>4729</v>
      </c>
      <c r="B2842" t="str">
        <f>"002115"</f>
        <v>002115</v>
      </c>
      <c r="C2842" t="s">
        <v>6021</v>
      </c>
      <c r="D2842" t="s">
        <v>654</v>
      </c>
      <c r="F2842">
        <v>10263712509</v>
      </c>
      <c r="G2842">
        <v>8738054190</v>
      </c>
      <c r="H2842">
        <v>5558891021</v>
      </c>
      <c r="I2842">
        <v>3553614080</v>
      </c>
      <c r="J2842">
        <v>1181436652</v>
      </c>
      <c r="K2842">
        <v>988764597</v>
      </c>
      <c r="L2842">
        <v>865020142</v>
      </c>
      <c r="M2842">
        <v>904594936</v>
      </c>
      <c r="N2842">
        <v>791449809</v>
      </c>
      <c r="O2842">
        <v>1084177239</v>
      </c>
      <c r="P2842">
        <v>239</v>
      </c>
      <c r="Q2842" t="s">
        <v>6022</v>
      </c>
    </row>
    <row r="2843" spans="1:17" x14ac:dyDescent="0.3">
      <c r="A2843" t="s">
        <v>4729</v>
      </c>
      <c r="B2843" t="str">
        <f>"002116"</f>
        <v>002116</v>
      </c>
      <c r="C2843" t="s">
        <v>6023</v>
      </c>
      <c r="D2843" t="s">
        <v>1992</v>
      </c>
      <c r="F2843">
        <v>5265049694</v>
      </c>
      <c r="G2843">
        <v>5096627252</v>
      </c>
      <c r="H2843">
        <v>5581329848</v>
      </c>
      <c r="I2843">
        <v>5225350140</v>
      </c>
      <c r="J2843">
        <v>4199302528</v>
      </c>
      <c r="K2843">
        <v>4472812641</v>
      </c>
      <c r="L2843">
        <v>4693020848</v>
      </c>
      <c r="M2843">
        <v>5470188221</v>
      </c>
      <c r="N2843">
        <v>5758091269</v>
      </c>
      <c r="O2843">
        <v>5231002470</v>
      </c>
      <c r="P2843">
        <v>176</v>
      </c>
      <c r="Q2843" t="s">
        <v>6024</v>
      </c>
    </row>
    <row r="2844" spans="1:17" x14ac:dyDescent="0.3">
      <c r="A2844" t="s">
        <v>4729</v>
      </c>
      <c r="B2844" t="str">
        <f>"002117"</f>
        <v>002117</v>
      </c>
      <c r="C2844" t="s">
        <v>6025</v>
      </c>
      <c r="D2844" t="s">
        <v>1694</v>
      </c>
      <c r="F2844">
        <v>1200941511</v>
      </c>
      <c r="G2844">
        <v>1180859260</v>
      </c>
      <c r="H2844">
        <v>1495634116</v>
      </c>
      <c r="I2844">
        <v>1545650437</v>
      </c>
      <c r="J2844">
        <v>1429501112</v>
      </c>
      <c r="K2844">
        <v>1491364441</v>
      </c>
      <c r="L2844">
        <v>1256248132</v>
      </c>
      <c r="M2844">
        <v>1110878833</v>
      </c>
      <c r="N2844">
        <v>926700622</v>
      </c>
      <c r="O2844">
        <v>817400719</v>
      </c>
      <c r="P2844">
        <v>392</v>
      </c>
      <c r="Q2844" t="s">
        <v>6026</v>
      </c>
    </row>
    <row r="2845" spans="1:17" x14ac:dyDescent="0.3">
      <c r="A2845" t="s">
        <v>4729</v>
      </c>
      <c r="B2845" t="str">
        <f>"002118"</f>
        <v>002118</v>
      </c>
      <c r="C2845" t="s">
        <v>6027</v>
      </c>
      <c r="D2845" t="s">
        <v>188</v>
      </c>
      <c r="G2845">
        <v>285535339</v>
      </c>
      <c r="H2845">
        <v>859289244</v>
      </c>
      <c r="I2845">
        <v>1324961112</v>
      </c>
      <c r="J2845">
        <v>1327230839</v>
      </c>
      <c r="K2845">
        <v>819515547</v>
      </c>
      <c r="L2845">
        <v>633260028</v>
      </c>
      <c r="M2845">
        <v>775714634</v>
      </c>
      <c r="N2845">
        <v>474666795</v>
      </c>
      <c r="O2845">
        <v>418500365</v>
      </c>
      <c r="P2845">
        <v>226</v>
      </c>
      <c r="Q2845" t="s">
        <v>6028</v>
      </c>
    </row>
    <row r="2846" spans="1:17" x14ac:dyDescent="0.3">
      <c r="A2846" t="s">
        <v>4729</v>
      </c>
      <c r="B2846" t="str">
        <f>"002119"</f>
        <v>002119</v>
      </c>
      <c r="C2846" t="s">
        <v>6029</v>
      </c>
      <c r="D2846" t="s">
        <v>475</v>
      </c>
      <c r="F2846">
        <v>2194615906</v>
      </c>
      <c r="G2846">
        <v>1548632509</v>
      </c>
      <c r="H2846">
        <v>1418269645</v>
      </c>
      <c r="I2846">
        <v>1482897034</v>
      </c>
      <c r="J2846">
        <v>1303618062</v>
      </c>
      <c r="K2846">
        <v>1196754514</v>
      </c>
      <c r="L2846">
        <v>1021033968</v>
      </c>
      <c r="M2846">
        <v>1328680400</v>
      </c>
      <c r="N2846">
        <v>1270740393</v>
      </c>
      <c r="O2846">
        <v>1239778302</v>
      </c>
      <c r="P2846">
        <v>214</v>
      </c>
      <c r="Q2846" t="s">
        <v>6030</v>
      </c>
    </row>
    <row r="2847" spans="1:17" x14ac:dyDescent="0.3">
      <c r="A2847" t="s">
        <v>4729</v>
      </c>
      <c r="B2847" t="str">
        <f>"002120"</f>
        <v>002120</v>
      </c>
      <c r="C2847" t="s">
        <v>6031</v>
      </c>
      <c r="D2847" t="s">
        <v>537</v>
      </c>
      <c r="F2847">
        <v>41729292242</v>
      </c>
      <c r="G2847">
        <v>33500425643</v>
      </c>
      <c r="H2847">
        <v>34404046688</v>
      </c>
      <c r="I2847">
        <v>13855989747</v>
      </c>
      <c r="J2847">
        <v>9985573870</v>
      </c>
      <c r="K2847">
        <v>7349715442</v>
      </c>
      <c r="L2847">
        <v>979519755</v>
      </c>
      <c r="M2847">
        <v>931177320</v>
      </c>
      <c r="N2847">
        <v>935770584</v>
      </c>
      <c r="O2847">
        <v>917726984</v>
      </c>
      <c r="P2847">
        <v>1163</v>
      </c>
      <c r="Q2847" t="s">
        <v>6032</v>
      </c>
    </row>
    <row r="2848" spans="1:17" x14ac:dyDescent="0.3">
      <c r="A2848" t="s">
        <v>4729</v>
      </c>
      <c r="B2848" t="str">
        <f>"002121"</f>
        <v>002121</v>
      </c>
      <c r="C2848" t="s">
        <v>6033</v>
      </c>
      <c r="D2848" t="s">
        <v>2180</v>
      </c>
      <c r="F2848">
        <v>3198161920</v>
      </c>
      <c r="G2848">
        <v>3337288927</v>
      </c>
      <c r="H2848">
        <v>3195325076</v>
      </c>
      <c r="I2848">
        <v>3791321341</v>
      </c>
      <c r="J2848">
        <v>4376025786</v>
      </c>
      <c r="K2848">
        <v>3161904622</v>
      </c>
      <c r="L2848">
        <v>2261423353</v>
      </c>
      <c r="M2848">
        <v>1954608867</v>
      </c>
      <c r="N2848">
        <v>1408784507</v>
      </c>
      <c r="O2848">
        <v>1403974904</v>
      </c>
      <c r="P2848">
        <v>234</v>
      </c>
      <c r="Q2848" t="s">
        <v>6034</v>
      </c>
    </row>
    <row r="2849" spans="1:17" x14ac:dyDescent="0.3">
      <c r="A2849" t="s">
        <v>4729</v>
      </c>
      <c r="B2849" t="str">
        <f>"002122"</f>
        <v>002122</v>
      </c>
      <c r="C2849" t="s">
        <v>6035</v>
      </c>
      <c r="D2849" t="s">
        <v>274</v>
      </c>
      <c r="F2849">
        <v>837652550</v>
      </c>
      <c r="G2849">
        <v>721743271</v>
      </c>
      <c r="H2849">
        <v>1179222799</v>
      </c>
      <c r="I2849">
        <v>1871287490</v>
      </c>
      <c r="J2849">
        <v>2537507923</v>
      </c>
      <c r="K2849">
        <v>2158280815</v>
      </c>
      <c r="L2849">
        <v>2098704939</v>
      </c>
      <c r="M2849">
        <v>2175803152</v>
      </c>
      <c r="N2849">
        <v>2031681228</v>
      </c>
      <c r="O2849">
        <v>2504110578</v>
      </c>
      <c r="P2849">
        <v>69</v>
      </c>
      <c r="Q2849" t="s">
        <v>6036</v>
      </c>
    </row>
    <row r="2850" spans="1:17" x14ac:dyDescent="0.3">
      <c r="A2850" t="s">
        <v>4729</v>
      </c>
      <c r="B2850" t="str">
        <f>"002123"</f>
        <v>002123</v>
      </c>
      <c r="C2850" t="s">
        <v>6037</v>
      </c>
      <c r="D2850" t="s">
        <v>5670</v>
      </c>
      <c r="F2850">
        <v>3175249438</v>
      </c>
      <c r="G2850">
        <v>2735645260</v>
      </c>
      <c r="H2850">
        <v>3200696562</v>
      </c>
      <c r="I2850">
        <v>2768516330</v>
      </c>
      <c r="J2850">
        <v>2549870489</v>
      </c>
      <c r="K2850">
        <v>2800172414</v>
      </c>
      <c r="L2850">
        <v>1804461597</v>
      </c>
      <c r="M2850">
        <v>927799822</v>
      </c>
      <c r="N2850">
        <v>1497530910</v>
      </c>
      <c r="O2850">
        <v>1287133496</v>
      </c>
      <c r="P2850">
        <v>364</v>
      </c>
      <c r="Q2850" t="s">
        <v>6038</v>
      </c>
    </row>
    <row r="2851" spans="1:17" x14ac:dyDescent="0.3">
      <c r="A2851" t="s">
        <v>4729</v>
      </c>
      <c r="B2851" t="str">
        <f>"002124"</f>
        <v>002124</v>
      </c>
      <c r="C2851" t="s">
        <v>6039</v>
      </c>
      <c r="D2851" t="s">
        <v>1900</v>
      </c>
      <c r="F2851">
        <v>10506630782</v>
      </c>
      <c r="G2851">
        <v>10764148564</v>
      </c>
      <c r="H2851">
        <v>6006883385</v>
      </c>
      <c r="I2851">
        <v>4518950573</v>
      </c>
      <c r="J2851">
        <v>3061060631</v>
      </c>
      <c r="K2851">
        <v>2370462255</v>
      </c>
      <c r="L2851">
        <v>2141293716</v>
      </c>
      <c r="M2851">
        <v>2603349677</v>
      </c>
      <c r="N2851">
        <v>2078401943</v>
      </c>
      <c r="O2851">
        <v>2042040537</v>
      </c>
      <c r="P2851">
        <v>922</v>
      </c>
      <c r="Q2851" t="s">
        <v>6040</v>
      </c>
    </row>
    <row r="2852" spans="1:17" x14ac:dyDescent="0.3">
      <c r="A2852" t="s">
        <v>4729</v>
      </c>
      <c r="B2852" t="str">
        <f>"002125"</f>
        <v>002125</v>
      </c>
      <c r="C2852" t="s">
        <v>6041</v>
      </c>
      <c r="D2852" t="s">
        <v>736</v>
      </c>
      <c r="F2852">
        <v>1871534202</v>
      </c>
      <c r="G2852">
        <v>1234166680</v>
      </c>
      <c r="H2852">
        <v>1210041335</v>
      </c>
      <c r="I2852">
        <v>1079019764</v>
      </c>
      <c r="J2852">
        <v>740803456</v>
      </c>
      <c r="K2852">
        <v>657677292</v>
      </c>
      <c r="L2852">
        <v>625540166</v>
      </c>
      <c r="M2852">
        <v>669843083</v>
      </c>
      <c r="N2852">
        <v>708077990</v>
      </c>
      <c r="O2852">
        <v>631379803</v>
      </c>
      <c r="P2852">
        <v>157</v>
      </c>
      <c r="Q2852" t="s">
        <v>6042</v>
      </c>
    </row>
    <row r="2853" spans="1:17" x14ac:dyDescent="0.3">
      <c r="A2853" t="s">
        <v>4729</v>
      </c>
      <c r="B2853" t="str">
        <f>"002126"</f>
        <v>002126</v>
      </c>
      <c r="C2853" t="s">
        <v>6043</v>
      </c>
      <c r="D2853" t="s">
        <v>348</v>
      </c>
      <c r="F2853">
        <v>7816415931</v>
      </c>
      <c r="G2853">
        <v>6324186530</v>
      </c>
      <c r="H2853">
        <v>5520743643</v>
      </c>
      <c r="I2853">
        <v>5019241538</v>
      </c>
      <c r="J2853">
        <v>4323263145</v>
      </c>
      <c r="K2853">
        <v>3118593318</v>
      </c>
      <c r="L2853">
        <v>2721964889</v>
      </c>
      <c r="M2853">
        <v>2414527313</v>
      </c>
      <c r="N2853">
        <v>1914488254</v>
      </c>
      <c r="O2853">
        <v>1684223828</v>
      </c>
      <c r="P2853">
        <v>450</v>
      </c>
      <c r="Q2853" t="s">
        <v>6044</v>
      </c>
    </row>
    <row r="2854" spans="1:17" x14ac:dyDescent="0.3">
      <c r="A2854" t="s">
        <v>4729</v>
      </c>
      <c r="B2854" t="str">
        <f>"002127"</f>
        <v>002127</v>
      </c>
      <c r="C2854" t="s">
        <v>6045</v>
      </c>
      <c r="D2854" t="s">
        <v>3617</v>
      </c>
      <c r="F2854">
        <v>3888093634</v>
      </c>
      <c r="G2854">
        <v>4171910791</v>
      </c>
      <c r="H2854">
        <v>3906848236</v>
      </c>
      <c r="I2854">
        <v>3352859972</v>
      </c>
      <c r="J2854">
        <v>985786831</v>
      </c>
      <c r="K2854">
        <v>520981501</v>
      </c>
      <c r="L2854">
        <v>389229106</v>
      </c>
      <c r="M2854">
        <v>1573342335</v>
      </c>
      <c r="N2854">
        <v>4134808022</v>
      </c>
      <c r="O2854">
        <v>3410597325</v>
      </c>
      <c r="P2854">
        <v>1745</v>
      </c>
      <c r="Q2854" t="s">
        <v>6046</v>
      </c>
    </row>
    <row r="2855" spans="1:17" x14ac:dyDescent="0.3">
      <c r="A2855" t="s">
        <v>4729</v>
      </c>
      <c r="B2855" t="str">
        <f>"002128"</f>
        <v>002128</v>
      </c>
      <c r="C2855" t="s">
        <v>6047</v>
      </c>
      <c r="D2855" t="s">
        <v>292</v>
      </c>
      <c r="F2855">
        <v>24649113224</v>
      </c>
      <c r="G2855">
        <v>20073924149</v>
      </c>
      <c r="H2855">
        <v>19155000719</v>
      </c>
      <c r="I2855">
        <v>8229667262</v>
      </c>
      <c r="J2855">
        <v>7588819238</v>
      </c>
      <c r="K2855">
        <v>5500789527</v>
      </c>
      <c r="L2855">
        <v>5586650712</v>
      </c>
      <c r="M2855">
        <v>6253884064</v>
      </c>
      <c r="N2855">
        <v>6221013892</v>
      </c>
      <c r="O2855">
        <v>6870106150</v>
      </c>
      <c r="P2855">
        <v>1050</v>
      </c>
      <c r="Q2855" t="s">
        <v>6048</v>
      </c>
    </row>
    <row r="2856" spans="1:17" x14ac:dyDescent="0.3">
      <c r="A2856" t="s">
        <v>4729</v>
      </c>
      <c r="B2856" t="str">
        <f>"002129"</f>
        <v>002129</v>
      </c>
      <c r="C2856" t="s">
        <v>6049</v>
      </c>
      <c r="D2856" t="s">
        <v>929</v>
      </c>
      <c r="F2856">
        <v>41104685049</v>
      </c>
      <c r="G2856">
        <v>19056776101</v>
      </c>
      <c r="H2856">
        <v>16886971336</v>
      </c>
      <c r="I2856">
        <v>13755716443</v>
      </c>
      <c r="J2856">
        <v>9644187470</v>
      </c>
      <c r="K2856">
        <v>6783335284</v>
      </c>
      <c r="L2856">
        <v>5037632681</v>
      </c>
      <c r="M2856">
        <v>4767842679</v>
      </c>
      <c r="N2856">
        <v>3726296348</v>
      </c>
      <c r="O2856">
        <v>2535828500</v>
      </c>
      <c r="P2856">
        <v>1522</v>
      </c>
      <c r="Q2856" t="s">
        <v>6050</v>
      </c>
    </row>
    <row r="2857" spans="1:17" x14ac:dyDescent="0.3">
      <c r="A2857" t="s">
        <v>4729</v>
      </c>
      <c r="B2857" t="str">
        <f>"002130"</f>
        <v>002130</v>
      </c>
      <c r="C2857" t="s">
        <v>6051</v>
      </c>
      <c r="D2857" t="s">
        <v>651</v>
      </c>
      <c r="F2857">
        <v>5406550858</v>
      </c>
      <c r="G2857">
        <v>4094777697</v>
      </c>
      <c r="H2857">
        <v>3978083207</v>
      </c>
      <c r="I2857">
        <v>3525024216</v>
      </c>
      <c r="J2857">
        <v>2579676466</v>
      </c>
      <c r="K2857">
        <v>1863354683</v>
      </c>
      <c r="L2857">
        <v>1621422082</v>
      </c>
      <c r="M2857">
        <v>1629187118</v>
      </c>
      <c r="N2857">
        <v>1332470353</v>
      </c>
      <c r="O2857">
        <v>667005119</v>
      </c>
      <c r="P2857">
        <v>266</v>
      </c>
      <c r="Q2857" t="s">
        <v>6052</v>
      </c>
    </row>
    <row r="2858" spans="1:17" x14ac:dyDescent="0.3">
      <c r="A2858" t="s">
        <v>4729</v>
      </c>
      <c r="B2858" t="str">
        <f>"002131"</f>
        <v>002131</v>
      </c>
      <c r="C2858" t="s">
        <v>6053</v>
      </c>
      <c r="D2858" t="s">
        <v>207</v>
      </c>
      <c r="F2858">
        <v>20280907073</v>
      </c>
      <c r="G2858">
        <v>15547867888</v>
      </c>
      <c r="H2858">
        <v>14032624159</v>
      </c>
      <c r="I2858">
        <v>12250038569</v>
      </c>
      <c r="J2858">
        <v>10572630726</v>
      </c>
      <c r="K2858">
        <v>7288538386</v>
      </c>
      <c r="L2858">
        <v>4392227658</v>
      </c>
      <c r="M2858">
        <v>2874269600</v>
      </c>
      <c r="N2858">
        <v>1841272920</v>
      </c>
      <c r="O2858">
        <v>1620323238</v>
      </c>
      <c r="P2858">
        <v>417</v>
      </c>
      <c r="Q2858" t="s">
        <v>6054</v>
      </c>
    </row>
    <row r="2859" spans="1:17" x14ac:dyDescent="0.3">
      <c r="A2859" t="s">
        <v>4729</v>
      </c>
      <c r="B2859" t="str">
        <f>"002132"</f>
        <v>002132</v>
      </c>
      <c r="C2859" t="s">
        <v>6055</v>
      </c>
      <c r="D2859" t="s">
        <v>274</v>
      </c>
      <c r="F2859">
        <v>3396281107</v>
      </c>
      <c r="G2859">
        <v>2832759589</v>
      </c>
      <c r="H2859">
        <v>3386147599</v>
      </c>
      <c r="I2859">
        <v>3014331960</v>
      </c>
      <c r="J2859">
        <v>3046175237</v>
      </c>
      <c r="K2859">
        <v>2064455575</v>
      </c>
      <c r="L2859">
        <v>1735798925</v>
      </c>
      <c r="M2859">
        <v>1876574822</v>
      </c>
      <c r="N2859">
        <v>1749087963</v>
      </c>
      <c r="O2859">
        <v>1942588136</v>
      </c>
      <c r="P2859">
        <v>127</v>
      </c>
      <c r="Q2859" t="s">
        <v>6056</v>
      </c>
    </row>
    <row r="2860" spans="1:17" x14ac:dyDescent="0.3">
      <c r="A2860" t="s">
        <v>4729</v>
      </c>
      <c r="B2860" t="str">
        <f>"002133"</f>
        <v>002133</v>
      </c>
      <c r="C2860" t="s">
        <v>6057</v>
      </c>
      <c r="D2860" t="s">
        <v>104</v>
      </c>
      <c r="F2860">
        <v>7363672621</v>
      </c>
      <c r="G2860">
        <v>5233546724</v>
      </c>
      <c r="H2860">
        <v>3834976107</v>
      </c>
      <c r="I2860">
        <v>3161839056</v>
      </c>
      <c r="J2860">
        <v>3464682034</v>
      </c>
      <c r="K2860">
        <v>4193654315</v>
      </c>
      <c r="L2860">
        <v>1719537161</v>
      </c>
      <c r="M2860">
        <v>1683490788</v>
      </c>
      <c r="N2860">
        <v>1657746629</v>
      </c>
      <c r="O2860">
        <v>1962263249</v>
      </c>
      <c r="P2860">
        <v>132</v>
      </c>
      <c r="Q2860" t="s">
        <v>6058</v>
      </c>
    </row>
    <row r="2861" spans="1:17" x14ac:dyDescent="0.3">
      <c r="A2861" t="s">
        <v>4729</v>
      </c>
      <c r="B2861" t="str">
        <f>"002134"</f>
        <v>002134</v>
      </c>
      <c r="C2861" t="s">
        <v>6059</v>
      </c>
      <c r="D2861" t="s">
        <v>425</v>
      </c>
      <c r="F2861">
        <v>700075382</v>
      </c>
      <c r="G2861">
        <v>457891629</v>
      </c>
      <c r="H2861">
        <v>418242590</v>
      </c>
      <c r="I2861">
        <v>392363891</v>
      </c>
      <c r="J2861">
        <v>431547560</v>
      </c>
      <c r="K2861">
        <v>368589176</v>
      </c>
      <c r="L2861">
        <v>383710272</v>
      </c>
      <c r="M2861">
        <v>520300028</v>
      </c>
      <c r="N2861">
        <v>515143137</v>
      </c>
      <c r="O2861">
        <v>437601335</v>
      </c>
      <c r="P2861">
        <v>119</v>
      </c>
      <c r="Q2861" t="s">
        <v>6060</v>
      </c>
    </row>
    <row r="2862" spans="1:17" x14ac:dyDescent="0.3">
      <c r="A2862" t="s">
        <v>4729</v>
      </c>
      <c r="B2862" t="str">
        <f>"002135"</f>
        <v>002135</v>
      </c>
      <c r="C2862" t="s">
        <v>6061</v>
      </c>
      <c r="D2862" t="s">
        <v>978</v>
      </c>
      <c r="F2862">
        <v>11287107272</v>
      </c>
      <c r="G2862">
        <v>9256289932</v>
      </c>
      <c r="H2862">
        <v>8976374629</v>
      </c>
      <c r="I2862">
        <v>8694640506</v>
      </c>
      <c r="J2862">
        <v>7791528910</v>
      </c>
      <c r="K2862">
        <v>5738468160</v>
      </c>
      <c r="L2862">
        <v>5196043097</v>
      </c>
      <c r="M2862">
        <v>4226868490</v>
      </c>
      <c r="N2862">
        <v>3720788318</v>
      </c>
      <c r="O2862">
        <v>3350577662</v>
      </c>
      <c r="P2862">
        <v>163</v>
      </c>
      <c r="Q2862" t="s">
        <v>6062</v>
      </c>
    </row>
    <row r="2863" spans="1:17" x14ac:dyDescent="0.3">
      <c r="A2863" t="s">
        <v>4729</v>
      </c>
      <c r="B2863" t="str">
        <f>"002136"</f>
        <v>002136</v>
      </c>
      <c r="C2863" t="s">
        <v>6063</v>
      </c>
      <c r="D2863" t="s">
        <v>1474</v>
      </c>
      <c r="F2863">
        <v>2046965068</v>
      </c>
      <c r="G2863">
        <v>1121707147</v>
      </c>
      <c r="H2863">
        <v>1037732146</v>
      </c>
      <c r="I2863">
        <v>1035724293</v>
      </c>
      <c r="J2863">
        <v>1142675131</v>
      </c>
      <c r="K2863">
        <v>819083850</v>
      </c>
      <c r="L2863">
        <v>606486798</v>
      </c>
      <c r="M2863">
        <v>764974767</v>
      </c>
      <c r="N2863">
        <v>495640696</v>
      </c>
      <c r="O2863">
        <v>685514777</v>
      </c>
      <c r="P2863">
        <v>131</v>
      </c>
      <c r="Q2863" t="s">
        <v>6064</v>
      </c>
    </row>
    <row r="2864" spans="1:17" x14ac:dyDescent="0.3">
      <c r="A2864" t="s">
        <v>4729</v>
      </c>
      <c r="B2864" t="str">
        <f>"002137"</f>
        <v>002137</v>
      </c>
      <c r="C2864" t="s">
        <v>6065</v>
      </c>
      <c r="D2864" t="s">
        <v>207</v>
      </c>
      <c r="F2864">
        <v>921369299</v>
      </c>
      <c r="G2864">
        <v>783665953</v>
      </c>
      <c r="H2864">
        <v>763029246</v>
      </c>
      <c r="I2864">
        <v>1035533828</v>
      </c>
      <c r="J2864">
        <v>935965360</v>
      </c>
      <c r="K2864">
        <v>798906481</v>
      </c>
      <c r="L2864">
        <v>418136134</v>
      </c>
      <c r="M2864">
        <v>546517722</v>
      </c>
      <c r="N2864">
        <v>618647931</v>
      </c>
      <c r="O2864">
        <v>1135537622</v>
      </c>
      <c r="P2864">
        <v>148</v>
      </c>
      <c r="Q2864" t="s">
        <v>6066</v>
      </c>
    </row>
    <row r="2865" spans="1:17" x14ac:dyDescent="0.3">
      <c r="A2865" t="s">
        <v>4729</v>
      </c>
      <c r="B2865" t="str">
        <f>"002138"</f>
        <v>002138</v>
      </c>
      <c r="C2865" t="s">
        <v>6067</v>
      </c>
      <c r="D2865" t="s">
        <v>546</v>
      </c>
      <c r="F2865">
        <v>4577317518</v>
      </c>
      <c r="G2865">
        <v>3476609085</v>
      </c>
      <c r="H2865">
        <v>2693227392</v>
      </c>
      <c r="I2865">
        <v>2362042840</v>
      </c>
      <c r="J2865">
        <v>1987557914</v>
      </c>
      <c r="K2865">
        <v>1736258767</v>
      </c>
      <c r="L2865">
        <v>1319276021</v>
      </c>
      <c r="M2865">
        <v>1162528640</v>
      </c>
      <c r="N2865">
        <v>1019802229</v>
      </c>
      <c r="O2865">
        <v>744934251</v>
      </c>
      <c r="P2865">
        <v>1066</v>
      </c>
      <c r="Q2865" t="s">
        <v>6068</v>
      </c>
    </row>
    <row r="2866" spans="1:17" x14ac:dyDescent="0.3">
      <c r="A2866" t="s">
        <v>4729</v>
      </c>
      <c r="B2866" t="str">
        <f>"002139"</f>
        <v>002139</v>
      </c>
      <c r="C2866" t="s">
        <v>6069</v>
      </c>
      <c r="D2866" t="s">
        <v>313</v>
      </c>
      <c r="F2866">
        <v>7767034835</v>
      </c>
      <c r="G2866">
        <v>5560182998</v>
      </c>
      <c r="H2866">
        <v>4098855381</v>
      </c>
      <c r="I2866">
        <v>3406697494</v>
      </c>
      <c r="J2866">
        <v>2682568364</v>
      </c>
      <c r="K2866">
        <v>1827102640</v>
      </c>
      <c r="L2866">
        <v>1445954085</v>
      </c>
      <c r="M2866">
        <v>1115444661</v>
      </c>
      <c r="N2866">
        <v>999159790</v>
      </c>
      <c r="O2866">
        <v>959816099</v>
      </c>
      <c r="P2866">
        <v>919</v>
      </c>
      <c r="Q2866" t="s">
        <v>6070</v>
      </c>
    </row>
    <row r="2867" spans="1:17" x14ac:dyDescent="0.3">
      <c r="A2867" t="s">
        <v>4729</v>
      </c>
      <c r="B2867" t="str">
        <f>"002140"</f>
        <v>002140</v>
      </c>
      <c r="C2867" t="s">
        <v>6071</v>
      </c>
      <c r="D2867" t="s">
        <v>2025</v>
      </c>
      <c r="F2867">
        <v>6003124560</v>
      </c>
      <c r="G2867">
        <v>5210304766</v>
      </c>
      <c r="H2867">
        <v>4517995996</v>
      </c>
      <c r="I2867">
        <v>4034046570</v>
      </c>
      <c r="J2867">
        <v>2908838388</v>
      </c>
      <c r="K2867">
        <v>1672973595</v>
      </c>
      <c r="L2867">
        <v>3632967659</v>
      </c>
      <c r="M2867">
        <v>3380343420</v>
      </c>
      <c r="N2867">
        <v>2715613700</v>
      </c>
      <c r="O2867">
        <v>3050276107</v>
      </c>
      <c r="P2867">
        <v>129</v>
      </c>
      <c r="Q2867" t="s">
        <v>6072</v>
      </c>
    </row>
    <row r="2868" spans="1:17" x14ac:dyDescent="0.3">
      <c r="A2868" t="s">
        <v>4729</v>
      </c>
      <c r="B2868" t="str">
        <f>"002141"</f>
        <v>002141</v>
      </c>
      <c r="C2868" t="s">
        <v>6073</v>
      </c>
      <c r="D2868" t="s">
        <v>651</v>
      </c>
      <c r="F2868">
        <v>1469710678</v>
      </c>
      <c r="G2868">
        <v>963661415</v>
      </c>
      <c r="H2868">
        <v>989540672</v>
      </c>
      <c r="I2868">
        <v>1004073717</v>
      </c>
      <c r="J2868">
        <v>1163563827</v>
      </c>
      <c r="K2868">
        <v>874408564</v>
      </c>
      <c r="L2868">
        <v>818813641</v>
      </c>
      <c r="M2868">
        <v>989537365</v>
      </c>
      <c r="N2868">
        <v>1000579977</v>
      </c>
      <c r="O2868">
        <v>907304393</v>
      </c>
      <c r="P2868">
        <v>74</v>
      </c>
      <c r="Q2868" t="s">
        <v>6074</v>
      </c>
    </row>
    <row r="2869" spans="1:17" x14ac:dyDescent="0.3">
      <c r="A2869" t="s">
        <v>4729</v>
      </c>
      <c r="B2869" t="str">
        <f>"002142"</f>
        <v>002142</v>
      </c>
      <c r="C2869" t="s">
        <v>6075</v>
      </c>
      <c r="D2869" t="s">
        <v>1842</v>
      </c>
      <c r="F2869">
        <v>52774000000</v>
      </c>
      <c r="G2869">
        <v>41111000000</v>
      </c>
      <c r="H2869">
        <v>35081391000</v>
      </c>
      <c r="I2869">
        <v>28930304000</v>
      </c>
      <c r="J2869">
        <v>25314320000</v>
      </c>
      <c r="K2869">
        <v>23645017000</v>
      </c>
      <c r="L2869">
        <v>19516224000</v>
      </c>
      <c r="M2869">
        <v>15356750000</v>
      </c>
      <c r="N2869">
        <v>12761479000</v>
      </c>
      <c r="O2869">
        <v>10341836000</v>
      </c>
      <c r="P2869">
        <v>59332</v>
      </c>
      <c r="Q2869" t="s">
        <v>6076</v>
      </c>
    </row>
    <row r="2870" spans="1:17" x14ac:dyDescent="0.3">
      <c r="A2870" t="s">
        <v>4729</v>
      </c>
      <c r="B2870" t="str">
        <f>"002143"</f>
        <v>002143</v>
      </c>
      <c r="C2870" t="s">
        <v>6077</v>
      </c>
      <c r="I2870">
        <v>362256727</v>
      </c>
      <c r="J2870">
        <v>2187603415</v>
      </c>
      <c r="K2870">
        <v>2505517765</v>
      </c>
      <c r="L2870">
        <v>1881524212</v>
      </c>
      <c r="M2870">
        <v>2460594458</v>
      </c>
      <c r="N2870">
        <v>3521439216</v>
      </c>
      <c r="O2870">
        <v>2822170562</v>
      </c>
      <c r="P2870">
        <v>59</v>
      </c>
      <c r="Q2870" t="s">
        <v>6078</v>
      </c>
    </row>
    <row r="2871" spans="1:17" x14ac:dyDescent="0.3">
      <c r="A2871" t="s">
        <v>4729</v>
      </c>
      <c r="B2871" t="str">
        <f>"002144"</f>
        <v>002144</v>
      </c>
      <c r="C2871" t="s">
        <v>6079</v>
      </c>
      <c r="D2871" t="s">
        <v>366</v>
      </c>
      <c r="F2871">
        <v>601036761</v>
      </c>
      <c r="G2871">
        <v>461677367</v>
      </c>
      <c r="H2871">
        <v>543319831</v>
      </c>
      <c r="I2871">
        <v>638464744</v>
      </c>
      <c r="J2871">
        <v>634755297</v>
      </c>
      <c r="K2871">
        <v>569692356</v>
      </c>
      <c r="L2871">
        <v>526648974</v>
      </c>
      <c r="M2871">
        <v>545115309</v>
      </c>
      <c r="N2871">
        <v>585872265</v>
      </c>
      <c r="O2871">
        <v>628716492</v>
      </c>
      <c r="P2871">
        <v>115</v>
      </c>
      <c r="Q2871" t="s">
        <v>6080</v>
      </c>
    </row>
    <row r="2872" spans="1:17" x14ac:dyDescent="0.3">
      <c r="A2872" t="s">
        <v>4729</v>
      </c>
      <c r="B2872" t="str">
        <f>"002145"</f>
        <v>002145</v>
      </c>
      <c r="C2872" t="s">
        <v>6081</v>
      </c>
      <c r="D2872" t="s">
        <v>1474</v>
      </c>
      <c r="F2872">
        <v>5374133600</v>
      </c>
      <c r="G2872">
        <v>3715579734</v>
      </c>
      <c r="H2872">
        <v>3376980217</v>
      </c>
      <c r="I2872">
        <v>3088882587</v>
      </c>
      <c r="J2872">
        <v>3256404917</v>
      </c>
      <c r="K2872">
        <v>2048165771</v>
      </c>
      <c r="L2872">
        <v>1629403818</v>
      </c>
      <c r="M2872">
        <v>1734415092</v>
      </c>
      <c r="N2872">
        <v>1585274949</v>
      </c>
      <c r="O2872">
        <v>440234723</v>
      </c>
      <c r="P2872">
        <v>282</v>
      </c>
      <c r="Q2872" t="s">
        <v>6082</v>
      </c>
    </row>
    <row r="2873" spans="1:17" x14ac:dyDescent="0.3">
      <c r="A2873" t="s">
        <v>4729</v>
      </c>
      <c r="B2873" t="str">
        <f>"002146"</f>
        <v>002146</v>
      </c>
      <c r="C2873" t="s">
        <v>6083</v>
      </c>
      <c r="D2873" t="s">
        <v>104</v>
      </c>
      <c r="F2873">
        <v>47243953560</v>
      </c>
      <c r="G2873">
        <v>71511321745</v>
      </c>
      <c r="H2873">
        <v>70911900244</v>
      </c>
      <c r="I2873">
        <v>56367617008</v>
      </c>
      <c r="J2873">
        <v>38704011453</v>
      </c>
      <c r="K2873">
        <v>30622014468</v>
      </c>
      <c r="L2873">
        <v>23431945878</v>
      </c>
      <c r="M2873">
        <v>23118965572</v>
      </c>
      <c r="N2873">
        <v>19170775360</v>
      </c>
      <c r="O2873">
        <v>13415365898</v>
      </c>
      <c r="P2873">
        <v>12588</v>
      </c>
      <c r="Q2873" t="s">
        <v>6084</v>
      </c>
    </row>
    <row r="2874" spans="1:17" x14ac:dyDescent="0.3">
      <c r="A2874" t="s">
        <v>4729</v>
      </c>
      <c r="B2874" t="str">
        <f>"002147"</f>
        <v>002147</v>
      </c>
      <c r="C2874" t="s">
        <v>6085</v>
      </c>
      <c r="D2874" t="s">
        <v>560</v>
      </c>
      <c r="F2874">
        <v>1756210963</v>
      </c>
      <c r="G2874">
        <v>1669479233</v>
      </c>
      <c r="H2874">
        <v>1692982828</v>
      </c>
      <c r="I2874">
        <v>2164256207</v>
      </c>
      <c r="J2874">
        <v>2008132898</v>
      </c>
      <c r="K2874">
        <v>3736466329</v>
      </c>
      <c r="L2874">
        <v>216878475</v>
      </c>
      <c r="M2874">
        <v>358286816</v>
      </c>
      <c r="N2874">
        <v>366792337</v>
      </c>
      <c r="O2874">
        <v>344778489</v>
      </c>
      <c r="P2874">
        <v>94</v>
      </c>
      <c r="Q2874" t="s">
        <v>6086</v>
      </c>
    </row>
    <row r="2875" spans="1:17" x14ac:dyDescent="0.3">
      <c r="A2875" t="s">
        <v>4729</v>
      </c>
      <c r="B2875" t="str">
        <f>"002148"</f>
        <v>002148</v>
      </c>
      <c r="C2875" t="s">
        <v>6087</v>
      </c>
      <c r="D2875" t="s">
        <v>5670</v>
      </c>
      <c r="F2875">
        <v>218308407</v>
      </c>
      <c r="G2875">
        <v>161708183</v>
      </c>
      <c r="H2875">
        <v>172435657</v>
      </c>
      <c r="I2875">
        <v>232727100</v>
      </c>
      <c r="J2875">
        <v>569806371</v>
      </c>
      <c r="K2875">
        <v>394408902</v>
      </c>
      <c r="L2875">
        <v>193605183</v>
      </c>
      <c r="M2875">
        <v>227626151</v>
      </c>
      <c r="N2875">
        <v>281250384</v>
      </c>
      <c r="O2875">
        <v>225147866</v>
      </c>
      <c r="P2875">
        <v>103</v>
      </c>
      <c r="Q2875" t="s">
        <v>6088</v>
      </c>
    </row>
    <row r="2876" spans="1:17" x14ac:dyDescent="0.3">
      <c r="A2876" t="s">
        <v>4729</v>
      </c>
      <c r="B2876" t="str">
        <f>"002149"</f>
        <v>002149</v>
      </c>
      <c r="C2876" t="s">
        <v>6089</v>
      </c>
      <c r="D2876" t="s">
        <v>636</v>
      </c>
      <c r="F2876">
        <v>2394570077</v>
      </c>
      <c r="G2876">
        <v>2029344040</v>
      </c>
      <c r="H2876">
        <v>2006102610</v>
      </c>
      <c r="I2876">
        <v>1720159583</v>
      </c>
      <c r="J2876">
        <v>1559089809</v>
      </c>
      <c r="K2876">
        <v>1213337702</v>
      </c>
      <c r="L2876">
        <v>983057777</v>
      </c>
      <c r="M2876">
        <v>1224668136</v>
      </c>
      <c r="N2876">
        <v>1144811153</v>
      </c>
      <c r="O2876">
        <v>1404461543</v>
      </c>
      <c r="P2876">
        <v>259</v>
      </c>
      <c r="Q2876" t="s">
        <v>6090</v>
      </c>
    </row>
    <row r="2877" spans="1:17" x14ac:dyDescent="0.3">
      <c r="A2877" t="s">
        <v>4729</v>
      </c>
      <c r="B2877" t="str">
        <f>"002150"</f>
        <v>002150</v>
      </c>
      <c r="C2877" t="s">
        <v>6091</v>
      </c>
      <c r="D2877" t="s">
        <v>274</v>
      </c>
      <c r="F2877">
        <v>1921112367</v>
      </c>
      <c r="G2877">
        <v>1423961082</v>
      </c>
      <c r="H2877">
        <v>1471671922</v>
      </c>
      <c r="I2877">
        <v>1345724417</v>
      </c>
      <c r="J2877">
        <v>1217274863</v>
      </c>
      <c r="K2877">
        <v>1036099729</v>
      </c>
      <c r="L2877">
        <v>937659093</v>
      </c>
      <c r="M2877">
        <v>990788228</v>
      </c>
      <c r="N2877">
        <v>947962824</v>
      </c>
      <c r="O2877">
        <v>891780011</v>
      </c>
      <c r="P2877">
        <v>103</v>
      </c>
      <c r="Q2877" t="s">
        <v>6092</v>
      </c>
    </row>
    <row r="2878" spans="1:17" x14ac:dyDescent="0.3">
      <c r="A2878" t="s">
        <v>4729</v>
      </c>
      <c r="B2878" t="str">
        <f>"002151"</f>
        <v>002151</v>
      </c>
      <c r="C2878" t="s">
        <v>6093</v>
      </c>
      <c r="D2878" t="s">
        <v>1136</v>
      </c>
      <c r="F2878">
        <v>3850666849</v>
      </c>
      <c r="G2878">
        <v>3624338125</v>
      </c>
      <c r="H2878">
        <v>2987002576</v>
      </c>
      <c r="I2878">
        <v>3051035393</v>
      </c>
      <c r="J2878">
        <v>2204267132</v>
      </c>
      <c r="K2878">
        <v>1617188642</v>
      </c>
      <c r="L2878">
        <v>1107853564</v>
      </c>
      <c r="M2878">
        <v>954053501</v>
      </c>
      <c r="N2878">
        <v>778365236</v>
      </c>
      <c r="O2878">
        <v>569546312</v>
      </c>
      <c r="P2878">
        <v>3423</v>
      </c>
      <c r="Q2878" t="s">
        <v>6094</v>
      </c>
    </row>
    <row r="2879" spans="1:17" x14ac:dyDescent="0.3">
      <c r="A2879" t="s">
        <v>4729</v>
      </c>
      <c r="B2879" t="str">
        <f>"002152"</f>
        <v>002152</v>
      </c>
      <c r="C2879" t="s">
        <v>6095</v>
      </c>
      <c r="D2879" t="s">
        <v>236</v>
      </c>
      <c r="F2879">
        <v>6781835070</v>
      </c>
      <c r="G2879">
        <v>6410765034</v>
      </c>
      <c r="H2879">
        <v>6496265097</v>
      </c>
      <c r="I2879">
        <v>5458981769</v>
      </c>
      <c r="J2879">
        <v>4383577016</v>
      </c>
      <c r="K2879">
        <v>4423649959</v>
      </c>
      <c r="L2879">
        <v>3972941256</v>
      </c>
      <c r="M2879">
        <v>3151910135</v>
      </c>
      <c r="N2879">
        <v>2515897354</v>
      </c>
      <c r="O2879">
        <v>2168409553</v>
      </c>
      <c r="P2879">
        <v>16880</v>
      </c>
      <c r="Q2879" t="s">
        <v>6096</v>
      </c>
    </row>
    <row r="2880" spans="1:17" x14ac:dyDescent="0.3">
      <c r="A2880" t="s">
        <v>4729</v>
      </c>
      <c r="B2880" t="str">
        <f>"002153"</f>
        <v>002153</v>
      </c>
      <c r="C2880" t="s">
        <v>6097</v>
      </c>
      <c r="D2880" t="s">
        <v>945</v>
      </c>
      <c r="F2880">
        <v>3214698885</v>
      </c>
      <c r="G2880">
        <v>3317319889</v>
      </c>
      <c r="H2880">
        <v>3662540116</v>
      </c>
      <c r="I2880">
        <v>3097519391</v>
      </c>
      <c r="J2880">
        <v>2961186591</v>
      </c>
      <c r="K2880">
        <v>2662608134</v>
      </c>
      <c r="L2880">
        <v>1986663615</v>
      </c>
      <c r="M2880">
        <v>2186072061</v>
      </c>
      <c r="N2880">
        <v>1094586281</v>
      </c>
      <c r="O2880">
        <v>789986333</v>
      </c>
      <c r="P2880">
        <v>679</v>
      </c>
      <c r="Q2880" t="s">
        <v>6098</v>
      </c>
    </row>
    <row r="2881" spans="1:17" x14ac:dyDescent="0.3">
      <c r="A2881" t="s">
        <v>4729</v>
      </c>
      <c r="B2881" t="str">
        <f>"002154"</f>
        <v>002154</v>
      </c>
      <c r="C2881" t="s">
        <v>6099</v>
      </c>
      <c r="D2881" t="s">
        <v>255</v>
      </c>
      <c r="F2881">
        <v>4451368806</v>
      </c>
      <c r="G2881">
        <v>3787665183</v>
      </c>
      <c r="H2881">
        <v>3272553596</v>
      </c>
      <c r="I2881">
        <v>3109551128</v>
      </c>
      <c r="J2881">
        <v>2601152800</v>
      </c>
      <c r="K2881">
        <v>2008224819</v>
      </c>
      <c r="L2881">
        <v>2241510854</v>
      </c>
      <c r="M2881">
        <v>2274554850</v>
      </c>
      <c r="N2881">
        <v>2017884062</v>
      </c>
      <c r="O2881">
        <v>2253550222</v>
      </c>
      <c r="P2881">
        <v>206</v>
      </c>
      <c r="Q2881" t="s">
        <v>6100</v>
      </c>
    </row>
    <row r="2882" spans="1:17" x14ac:dyDescent="0.3">
      <c r="A2882" t="s">
        <v>4729</v>
      </c>
      <c r="B2882" t="str">
        <f>"002155"</f>
        <v>002155</v>
      </c>
      <c r="C2882" t="s">
        <v>6101</v>
      </c>
      <c r="D2882" t="s">
        <v>701</v>
      </c>
      <c r="F2882">
        <v>19845826884</v>
      </c>
      <c r="G2882">
        <v>15012652140</v>
      </c>
      <c r="H2882">
        <v>13829217053</v>
      </c>
      <c r="I2882">
        <v>12460909716</v>
      </c>
      <c r="J2882">
        <v>10325751219</v>
      </c>
      <c r="K2882">
        <v>6781135190</v>
      </c>
      <c r="L2882">
        <v>5792423428</v>
      </c>
      <c r="M2882">
        <v>5680622928</v>
      </c>
      <c r="N2882">
        <v>5120618965</v>
      </c>
      <c r="O2882">
        <v>4729093441</v>
      </c>
      <c r="P2882">
        <v>219</v>
      </c>
      <c r="Q2882" t="s">
        <v>6102</v>
      </c>
    </row>
    <row r="2883" spans="1:17" x14ac:dyDescent="0.3">
      <c r="A2883" t="s">
        <v>4729</v>
      </c>
      <c r="B2883" t="str">
        <f>"002156"</f>
        <v>002156</v>
      </c>
      <c r="C2883" t="s">
        <v>6103</v>
      </c>
      <c r="D2883" t="s">
        <v>1180</v>
      </c>
      <c r="F2883">
        <v>15812232814</v>
      </c>
      <c r="G2883">
        <v>10768700029</v>
      </c>
      <c r="H2883">
        <v>8266574620</v>
      </c>
      <c r="I2883">
        <v>7222862994</v>
      </c>
      <c r="J2883">
        <v>6519255165</v>
      </c>
      <c r="K2883">
        <v>4591656652</v>
      </c>
      <c r="L2883">
        <v>2321903113</v>
      </c>
      <c r="M2883">
        <v>2090685769</v>
      </c>
      <c r="N2883">
        <v>1767322279</v>
      </c>
      <c r="O2883">
        <v>1590025442</v>
      </c>
      <c r="P2883">
        <v>772</v>
      </c>
      <c r="Q2883" t="s">
        <v>6104</v>
      </c>
    </row>
    <row r="2884" spans="1:17" x14ac:dyDescent="0.3">
      <c r="A2884" t="s">
        <v>4729</v>
      </c>
      <c r="B2884" t="str">
        <f>"002157"</f>
        <v>002157</v>
      </c>
      <c r="C2884" t="s">
        <v>6105</v>
      </c>
      <c r="D2884" t="s">
        <v>1900</v>
      </c>
      <c r="F2884">
        <v>47670223670</v>
      </c>
      <c r="G2884">
        <v>49166305435</v>
      </c>
      <c r="H2884">
        <v>24517770453</v>
      </c>
      <c r="I2884">
        <v>22112983900</v>
      </c>
      <c r="J2884">
        <v>20614922290</v>
      </c>
      <c r="K2884">
        <v>18920144828</v>
      </c>
      <c r="L2884">
        <v>16416267218</v>
      </c>
      <c r="M2884">
        <v>16483547773</v>
      </c>
      <c r="N2884">
        <v>15582493561</v>
      </c>
      <c r="O2884">
        <v>13626735838</v>
      </c>
      <c r="P2884">
        <v>1128</v>
      </c>
      <c r="Q2884" t="s">
        <v>6106</v>
      </c>
    </row>
    <row r="2885" spans="1:17" x14ac:dyDescent="0.3">
      <c r="A2885" t="s">
        <v>4729</v>
      </c>
      <c r="B2885" t="str">
        <f>"002158"</f>
        <v>002158</v>
      </c>
      <c r="C2885" t="s">
        <v>6107</v>
      </c>
      <c r="D2885" t="s">
        <v>988</v>
      </c>
      <c r="F2885">
        <v>2981163496</v>
      </c>
      <c r="G2885">
        <v>2272208134</v>
      </c>
      <c r="H2885">
        <v>1806971547</v>
      </c>
      <c r="I2885">
        <v>1731630241</v>
      </c>
      <c r="J2885">
        <v>1604488619</v>
      </c>
      <c r="K2885">
        <v>973770008</v>
      </c>
      <c r="L2885">
        <v>889075634</v>
      </c>
      <c r="M2885">
        <v>989738179</v>
      </c>
      <c r="N2885">
        <v>849521030</v>
      </c>
      <c r="O2885">
        <v>700094360</v>
      </c>
      <c r="P2885">
        <v>478</v>
      </c>
      <c r="Q2885" t="s">
        <v>6108</v>
      </c>
    </row>
    <row r="2886" spans="1:17" x14ac:dyDescent="0.3">
      <c r="A2886" t="s">
        <v>4729</v>
      </c>
      <c r="B2886" t="str">
        <f>"002159"</f>
        <v>002159</v>
      </c>
      <c r="C2886" t="s">
        <v>6109</v>
      </c>
      <c r="D2886" t="s">
        <v>119</v>
      </c>
      <c r="F2886">
        <v>434567644</v>
      </c>
      <c r="G2886">
        <v>405354213</v>
      </c>
      <c r="H2886">
        <v>676642192</v>
      </c>
      <c r="I2886">
        <v>648200561</v>
      </c>
      <c r="J2886">
        <v>539440637</v>
      </c>
      <c r="K2886">
        <v>451356539</v>
      </c>
      <c r="L2886">
        <v>428640676</v>
      </c>
      <c r="M2886">
        <v>386299351</v>
      </c>
      <c r="N2886">
        <v>342795432</v>
      </c>
      <c r="O2886">
        <v>369832445</v>
      </c>
      <c r="P2886">
        <v>119</v>
      </c>
      <c r="Q2886" t="s">
        <v>6110</v>
      </c>
    </row>
    <row r="2887" spans="1:17" x14ac:dyDescent="0.3">
      <c r="A2887" t="s">
        <v>4729</v>
      </c>
      <c r="B2887" t="str">
        <f>"002160"</f>
        <v>002160</v>
      </c>
      <c r="C2887" t="s">
        <v>6111</v>
      </c>
      <c r="D2887" t="s">
        <v>504</v>
      </c>
      <c r="F2887">
        <v>6233353172</v>
      </c>
      <c r="G2887">
        <v>4376851245</v>
      </c>
      <c r="H2887">
        <v>4330649784</v>
      </c>
      <c r="I2887">
        <v>4137649982</v>
      </c>
      <c r="J2887">
        <v>4063850376</v>
      </c>
      <c r="K2887">
        <v>3285369251</v>
      </c>
      <c r="L2887">
        <v>2537757245</v>
      </c>
      <c r="M2887">
        <v>2163887122</v>
      </c>
      <c r="N2887">
        <v>1836935573</v>
      </c>
      <c r="O2887">
        <v>1914395174</v>
      </c>
      <c r="P2887">
        <v>166</v>
      </c>
      <c r="Q2887" t="s">
        <v>6112</v>
      </c>
    </row>
    <row r="2888" spans="1:17" x14ac:dyDescent="0.3">
      <c r="A2888" t="s">
        <v>4729</v>
      </c>
      <c r="B2888" t="str">
        <f>"002161"</f>
        <v>002161</v>
      </c>
      <c r="C2888" t="s">
        <v>6113</v>
      </c>
      <c r="D2888" t="s">
        <v>651</v>
      </c>
      <c r="F2888">
        <v>492247445</v>
      </c>
      <c r="G2888">
        <v>474018963</v>
      </c>
      <c r="H2888">
        <v>628849638</v>
      </c>
      <c r="I2888">
        <v>437891734</v>
      </c>
      <c r="J2888">
        <v>530751383</v>
      </c>
      <c r="K2888">
        <v>486470681</v>
      </c>
      <c r="L2888">
        <v>507283136</v>
      </c>
      <c r="M2888">
        <v>642085984</v>
      </c>
      <c r="N2888">
        <v>541120087</v>
      </c>
      <c r="O2888">
        <v>458713627</v>
      </c>
      <c r="P2888">
        <v>211</v>
      </c>
      <c r="Q2888" t="s">
        <v>6114</v>
      </c>
    </row>
    <row r="2889" spans="1:17" x14ac:dyDescent="0.3">
      <c r="A2889" t="s">
        <v>4729</v>
      </c>
      <c r="B2889" t="str">
        <f>"002162"</f>
        <v>002162</v>
      </c>
      <c r="C2889" t="s">
        <v>6115</v>
      </c>
      <c r="D2889" t="s">
        <v>178</v>
      </c>
      <c r="F2889">
        <v>1260831977</v>
      </c>
      <c r="G2889">
        <v>1194703084</v>
      </c>
      <c r="H2889">
        <v>1166237544</v>
      </c>
      <c r="I2889">
        <v>977878550</v>
      </c>
      <c r="J2889">
        <v>900219676</v>
      </c>
      <c r="K2889">
        <v>777888772</v>
      </c>
      <c r="L2889">
        <v>684202182</v>
      </c>
      <c r="M2889">
        <v>845393756</v>
      </c>
      <c r="N2889">
        <v>893426787</v>
      </c>
      <c r="O2889">
        <v>884542932</v>
      </c>
      <c r="P2889">
        <v>137</v>
      </c>
      <c r="Q2889" t="s">
        <v>6116</v>
      </c>
    </row>
    <row r="2890" spans="1:17" x14ac:dyDescent="0.3">
      <c r="A2890" t="s">
        <v>4729</v>
      </c>
      <c r="B2890" t="str">
        <f>"002163"</f>
        <v>002163</v>
      </c>
      <c r="C2890" t="s">
        <v>6117</v>
      </c>
      <c r="D2890" t="s">
        <v>666</v>
      </c>
      <c r="F2890">
        <v>4365384827</v>
      </c>
      <c r="G2890">
        <v>4421097889</v>
      </c>
      <c r="H2890">
        <v>4703671877</v>
      </c>
      <c r="I2890">
        <v>4776782277</v>
      </c>
      <c r="J2890">
        <v>4603936908</v>
      </c>
      <c r="K2890">
        <v>4483129952</v>
      </c>
      <c r="L2890">
        <v>4539127699</v>
      </c>
      <c r="M2890">
        <v>4616566592</v>
      </c>
      <c r="N2890">
        <v>3859839278</v>
      </c>
      <c r="O2890">
        <v>3292627934</v>
      </c>
      <c r="P2890">
        <v>170</v>
      </c>
      <c r="Q2890" t="s">
        <v>6118</v>
      </c>
    </row>
    <row r="2891" spans="1:17" x14ac:dyDescent="0.3">
      <c r="A2891" t="s">
        <v>4729</v>
      </c>
      <c r="B2891" t="str">
        <f>"002164"</f>
        <v>002164</v>
      </c>
      <c r="C2891" t="s">
        <v>6119</v>
      </c>
      <c r="D2891" t="s">
        <v>274</v>
      </c>
      <c r="F2891">
        <v>1614661780</v>
      </c>
      <c r="G2891">
        <v>1237656495</v>
      </c>
      <c r="H2891">
        <v>1020262759</v>
      </c>
      <c r="I2891">
        <v>11760644635</v>
      </c>
      <c r="J2891">
        <v>12870264675</v>
      </c>
      <c r="K2891">
        <v>514844264</v>
      </c>
      <c r="L2891">
        <v>501151617</v>
      </c>
      <c r="M2891">
        <v>507951586</v>
      </c>
      <c r="N2891">
        <v>569338636</v>
      </c>
      <c r="O2891">
        <v>617639504</v>
      </c>
      <c r="P2891">
        <v>187</v>
      </c>
      <c r="Q2891" t="s">
        <v>6120</v>
      </c>
    </row>
    <row r="2892" spans="1:17" x14ac:dyDescent="0.3">
      <c r="A2892" t="s">
        <v>4729</v>
      </c>
      <c r="B2892" t="str">
        <f>"002165"</f>
        <v>002165</v>
      </c>
      <c r="C2892" t="s">
        <v>6121</v>
      </c>
      <c r="D2892" t="s">
        <v>528</v>
      </c>
      <c r="F2892">
        <v>3428598128</v>
      </c>
      <c r="G2892">
        <v>2610810228</v>
      </c>
      <c r="H2892">
        <v>2382800058</v>
      </c>
      <c r="I2892">
        <v>2467154059</v>
      </c>
      <c r="J2892">
        <v>2171251878</v>
      </c>
      <c r="K2892">
        <v>1833837838</v>
      </c>
      <c r="L2892">
        <v>1827476796</v>
      </c>
      <c r="M2892">
        <v>2130399458</v>
      </c>
      <c r="N2892">
        <v>1916168836</v>
      </c>
      <c r="O2892">
        <v>1654939857</v>
      </c>
      <c r="P2892">
        <v>100</v>
      </c>
      <c r="Q2892" t="s">
        <v>6122</v>
      </c>
    </row>
    <row r="2893" spans="1:17" x14ac:dyDescent="0.3">
      <c r="A2893" t="s">
        <v>4729</v>
      </c>
      <c r="B2893" t="str">
        <f>"002166"</f>
        <v>002166</v>
      </c>
      <c r="C2893" t="s">
        <v>6123</v>
      </c>
      <c r="D2893" t="s">
        <v>188</v>
      </c>
      <c r="F2893">
        <v>1053235426</v>
      </c>
      <c r="G2893">
        <v>783671414</v>
      </c>
      <c r="H2893">
        <v>741402631</v>
      </c>
      <c r="I2893">
        <v>619556203</v>
      </c>
      <c r="J2893">
        <v>801262688</v>
      </c>
      <c r="K2893">
        <v>571448231</v>
      </c>
      <c r="L2893">
        <v>514471244</v>
      </c>
      <c r="M2893">
        <v>637594395</v>
      </c>
      <c r="N2893">
        <v>426617655</v>
      </c>
      <c r="O2893">
        <v>307739216</v>
      </c>
      <c r="P2893">
        <v>200</v>
      </c>
      <c r="Q2893" t="s">
        <v>6124</v>
      </c>
    </row>
    <row r="2894" spans="1:17" x14ac:dyDescent="0.3">
      <c r="A2894" t="s">
        <v>4729</v>
      </c>
      <c r="B2894" t="str">
        <f>"002167"</f>
        <v>002167</v>
      </c>
      <c r="C2894" t="s">
        <v>6125</v>
      </c>
      <c r="D2894" t="s">
        <v>636</v>
      </c>
      <c r="F2894">
        <v>1286303349</v>
      </c>
      <c r="G2894">
        <v>767802629</v>
      </c>
      <c r="H2894">
        <v>471620283</v>
      </c>
      <c r="I2894">
        <v>503317549</v>
      </c>
      <c r="J2894">
        <v>851755170</v>
      </c>
      <c r="K2894">
        <v>826901017</v>
      </c>
      <c r="L2894">
        <v>564827788</v>
      </c>
      <c r="M2894">
        <v>844495255</v>
      </c>
      <c r="N2894">
        <v>578218895</v>
      </c>
      <c r="O2894">
        <v>557779118</v>
      </c>
      <c r="P2894">
        <v>111</v>
      </c>
      <c r="Q2894" t="s">
        <v>6126</v>
      </c>
    </row>
    <row r="2895" spans="1:17" x14ac:dyDescent="0.3">
      <c r="A2895" t="s">
        <v>4729</v>
      </c>
      <c r="B2895" t="str">
        <f>"002168"</f>
        <v>002168</v>
      </c>
      <c r="C2895" t="s">
        <v>6127</v>
      </c>
      <c r="D2895" t="s">
        <v>517</v>
      </c>
      <c r="F2895">
        <v>329906421</v>
      </c>
      <c r="G2895">
        <v>785008872</v>
      </c>
      <c r="H2895">
        <v>1092321443</v>
      </c>
      <c r="I2895">
        <v>1898158383</v>
      </c>
      <c r="J2895">
        <v>373172726</v>
      </c>
      <c r="K2895">
        <v>288618425</v>
      </c>
      <c r="L2895">
        <v>209370332</v>
      </c>
      <c r="M2895">
        <v>313200971</v>
      </c>
      <c r="N2895">
        <v>432770240</v>
      </c>
      <c r="O2895">
        <v>376966907</v>
      </c>
      <c r="P2895">
        <v>158</v>
      </c>
      <c r="Q2895" t="s">
        <v>6128</v>
      </c>
    </row>
    <row r="2896" spans="1:17" x14ac:dyDescent="0.3">
      <c r="A2896" t="s">
        <v>4729</v>
      </c>
      <c r="B2896" t="str">
        <f>"002169"</f>
        <v>002169</v>
      </c>
      <c r="C2896" t="s">
        <v>6129</v>
      </c>
      <c r="D2896" t="s">
        <v>610</v>
      </c>
      <c r="F2896">
        <v>1889163025</v>
      </c>
      <c r="G2896">
        <v>2142571271</v>
      </c>
      <c r="H2896">
        <v>2553616045</v>
      </c>
      <c r="I2896">
        <v>2702893602</v>
      </c>
      <c r="J2896">
        <v>1831317197</v>
      </c>
      <c r="K2896">
        <v>1398188304</v>
      </c>
      <c r="L2896">
        <v>1306933032</v>
      </c>
      <c r="M2896">
        <v>607410443</v>
      </c>
      <c r="N2896">
        <v>563730945</v>
      </c>
      <c r="O2896">
        <v>395544259</v>
      </c>
      <c r="P2896">
        <v>219</v>
      </c>
      <c r="Q2896" t="s">
        <v>6130</v>
      </c>
    </row>
    <row r="2897" spans="1:17" x14ac:dyDescent="0.3">
      <c r="A2897" t="s">
        <v>4729</v>
      </c>
      <c r="B2897" t="str">
        <f>"002170"</f>
        <v>002170</v>
      </c>
      <c r="C2897" t="s">
        <v>6131</v>
      </c>
      <c r="D2897" t="s">
        <v>5562</v>
      </c>
      <c r="F2897">
        <v>2485265238</v>
      </c>
      <c r="G2897">
        <v>2126520028</v>
      </c>
      <c r="H2897">
        <v>2278503336</v>
      </c>
      <c r="I2897">
        <v>2290837622</v>
      </c>
      <c r="J2897">
        <v>2079370439</v>
      </c>
      <c r="K2897">
        <v>2000751263</v>
      </c>
      <c r="L2897">
        <v>2169988954</v>
      </c>
      <c r="M2897">
        <v>2361209332</v>
      </c>
      <c r="N2897">
        <v>2132553600</v>
      </c>
      <c r="O2897">
        <v>2167196965</v>
      </c>
      <c r="P2897">
        <v>103</v>
      </c>
      <c r="Q2897" t="s">
        <v>6132</v>
      </c>
    </row>
    <row r="2898" spans="1:17" x14ac:dyDescent="0.3">
      <c r="A2898" t="s">
        <v>4729</v>
      </c>
      <c r="B2898" t="str">
        <f>"002171"</f>
        <v>002171</v>
      </c>
      <c r="C2898" t="s">
        <v>6133</v>
      </c>
      <c r="D2898" t="s">
        <v>263</v>
      </c>
      <c r="F2898">
        <v>37349605252</v>
      </c>
      <c r="G2898">
        <v>22974092037</v>
      </c>
      <c r="H2898">
        <v>17047972097</v>
      </c>
      <c r="I2898">
        <v>13107106472</v>
      </c>
      <c r="J2898">
        <v>11044025042</v>
      </c>
      <c r="K2898">
        <v>7918467451</v>
      </c>
      <c r="L2898">
        <v>8011222996</v>
      </c>
      <c r="M2898">
        <v>8222643011</v>
      </c>
      <c r="N2898">
        <v>3846360163</v>
      </c>
      <c r="O2898">
        <v>3205220457</v>
      </c>
      <c r="P2898">
        <v>237</v>
      </c>
      <c r="Q2898" t="s">
        <v>6134</v>
      </c>
    </row>
    <row r="2899" spans="1:17" x14ac:dyDescent="0.3">
      <c r="A2899" t="s">
        <v>4729</v>
      </c>
      <c r="B2899" t="str">
        <f>"002172"</f>
        <v>002172</v>
      </c>
      <c r="C2899" t="s">
        <v>6135</v>
      </c>
      <c r="D2899" t="s">
        <v>888</v>
      </c>
      <c r="F2899">
        <v>3028918811</v>
      </c>
      <c r="G2899">
        <v>3083401180</v>
      </c>
      <c r="H2899">
        <v>2982034952</v>
      </c>
      <c r="I2899">
        <v>4710672876</v>
      </c>
      <c r="J2899">
        <v>5366490322</v>
      </c>
      <c r="K2899">
        <v>4875817833</v>
      </c>
      <c r="L2899">
        <v>3808778593</v>
      </c>
      <c r="M2899">
        <v>2931164388</v>
      </c>
      <c r="N2899">
        <v>3277439679</v>
      </c>
      <c r="O2899">
        <v>3552361541</v>
      </c>
      <c r="P2899">
        <v>141</v>
      </c>
      <c r="Q2899" t="s">
        <v>6136</v>
      </c>
    </row>
    <row r="2900" spans="1:17" x14ac:dyDescent="0.3">
      <c r="A2900" t="s">
        <v>4729</v>
      </c>
      <c r="B2900" t="str">
        <f>"002173"</f>
        <v>002173</v>
      </c>
      <c r="C2900" t="s">
        <v>6137</v>
      </c>
      <c r="D2900" t="s">
        <v>1147</v>
      </c>
      <c r="F2900">
        <v>711515518</v>
      </c>
      <c r="G2900">
        <v>724243049</v>
      </c>
      <c r="H2900">
        <v>872197432</v>
      </c>
      <c r="I2900">
        <v>1058890972</v>
      </c>
      <c r="J2900">
        <v>905142450</v>
      </c>
      <c r="K2900">
        <v>762788365</v>
      </c>
      <c r="L2900">
        <v>137041774</v>
      </c>
      <c r="M2900">
        <v>183310644</v>
      </c>
      <c r="N2900">
        <v>299152374</v>
      </c>
      <c r="O2900">
        <v>369009302</v>
      </c>
      <c r="P2900">
        <v>125</v>
      </c>
      <c r="Q2900" t="s">
        <v>6138</v>
      </c>
    </row>
    <row r="2901" spans="1:17" x14ac:dyDescent="0.3">
      <c r="A2901" t="s">
        <v>4729</v>
      </c>
      <c r="B2901" t="str">
        <f>"002174"</f>
        <v>002174</v>
      </c>
      <c r="C2901" t="s">
        <v>6139</v>
      </c>
      <c r="D2901" t="s">
        <v>517</v>
      </c>
      <c r="F2901">
        <v>3204382807</v>
      </c>
      <c r="G2901">
        <v>4703137714</v>
      </c>
      <c r="H2901">
        <v>3220501921</v>
      </c>
      <c r="I2901">
        <v>3581253925</v>
      </c>
      <c r="J2901">
        <v>3235675455</v>
      </c>
      <c r="K2901">
        <v>2530114414</v>
      </c>
      <c r="L2901">
        <v>1534687492</v>
      </c>
      <c r="M2901">
        <v>843535682</v>
      </c>
      <c r="N2901">
        <v>919805336</v>
      </c>
      <c r="O2901">
        <v>825485837</v>
      </c>
      <c r="P2901">
        <v>736</v>
      </c>
      <c r="Q2901" t="s">
        <v>6140</v>
      </c>
    </row>
    <row r="2902" spans="1:17" x14ac:dyDescent="0.3">
      <c r="A2902" t="s">
        <v>4729</v>
      </c>
      <c r="B2902" t="str">
        <f>"002175"</f>
        <v>002175</v>
      </c>
      <c r="C2902" t="s">
        <v>6141</v>
      </c>
      <c r="D2902" t="s">
        <v>110</v>
      </c>
      <c r="F2902">
        <v>233807875</v>
      </c>
      <c r="G2902">
        <v>211536041</v>
      </c>
      <c r="H2902">
        <v>230920073</v>
      </c>
      <c r="I2902">
        <v>247498985</v>
      </c>
      <c r="J2902">
        <v>411582341</v>
      </c>
      <c r="K2902">
        <v>574620550</v>
      </c>
      <c r="L2902">
        <v>404311352</v>
      </c>
      <c r="M2902">
        <v>242838735</v>
      </c>
      <c r="N2902">
        <v>176732397</v>
      </c>
      <c r="O2902">
        <v>187148533</v>
      </c>
      <c r="P2902">
        <v>79</v>
      </c>
      <c r="Q2902" t="s">
        <v>6142</v>
      </c>
    </row>
    <row r="2903" spans="1:17" x14ac:dyDescent="0.3">
      <c r="A2903" t="s">
        <v>4729</v>
      </c>
      <c r="B2903" t="str">
        <f>"002176"</f>
        <v>002176</v>
      </c>
      <c r="C2903" t="s">
        <v>6143</v>
      </c>
      <c r="D2903" t="s">
        <v>1171</v>
      </c>
      <c r="F2903">
        <v>2982277225</v>
      </c>
      <c r="G2903">
        <v>1843984808</v>
      </c>
      <c r="H2903">
        <v>2594520823</v>
      </c>
      <c r="I2903">
        <v>3016796457</v>
      </c>
      <c r="J2903">
        <v>3365333985</v>
      </c>
      <c r="K2903">
        <v>2984711704</v>
      </c>
      <c r="L2903">
        <v>892846984</v>
      </c>
      <c r="M2903">
        <v>793299116</v>
      </c>
      <c r="N2903">
        <v>855380276</v>
      </c>
      <c r="O2903">
        <v>646538719</v>
      </c>
      <c r="P2903">
        <v>315</v>
      </c>
      <c r="Q2903" t="s">
        <v>6144</v>
      </c>
    </row>
    <row r="2904" spans="1:17" x14ac:dyDescent="0.3">
      <c r="A2904" t="s">
        <v>4729</v>
      </c>
      <c r="B2904" t="str">
        <f>"002177"</f>
        <v>002177</v>
      </c>
      <c r="C2904" t="s">
        <v>6145</v>
      </c>
      <c r="D2904" t="s">
        <v>236</v>
      </c>
      <c r="F2904">
        <v>89463377</v>
      </c>
      <c r="G2904">
        <v>182349931</v>
      </c>
      <c r="H2904">
        <v>213971979</v>
      </c>
      <c r="I2904">
        <v>394213946</v>
      </c>
      <c r="J2904">
        <v>569714606</v>
      </c>
      <c r="K2904">
        <v>770942502</v>
      </c>
      <c r="L2904">
        <v>1097003512</v>
      </c>
      <c r="M2904">
        <v>971711483</v>
      </c>
      <c r="N2904">
        <v>848671278</v>
      </c>
      <c r="O2904">
        <v>749911314</v>
      </c>
      <c r="P2904">
        <v>3025</v>
      </c>
      <c r="Q2904" t="s">
        <v>6146</v>
      </c>
    </row>
    <row r="2905" spans="1:17" x14ac:dyDescent="0.3">
      <c r="A2905" t="s">
        <v>4729</v>
      </c>
      <c r="B2905" t="str">
        <f>"002178"</f>
        <v>002178</v>
      </c>
      <c r="C2905" t="s">
        <v>6147</v>
      </c>
      <c r="D2905" t="s">
        <v>945</v>
      </c>
      <c r="F2905">
        <v>817129800</v>
      </c>
      <c r="G2905">
        <v>659852734</v>
      </c>
      <c r="H2905">
        <v>918153080</v>
      </c>
      <c r="I2905">
        <v>1135917038</v>
      </c>
      <c r="J2905">
        <v>1190991964</v>
      </c>
      <c r="K2905">
        <v>1099278292</v>
      </c>
      <c r="L2905">
        <v>1116593515</v>
      </c>
      <c r="M2905">
        <v>824207263</v>
      </c>
      <c r="N2905">
        <v>775914705</v>
      </c>
      <c r="O2905">
        <v>602283997</v>
      </c>
      <c r="P2905">
        <v>89</v>
      </c>
      <c r="Q2905" t="s">
        <v>6148</v>
      </c>
    </row>
    <row r="2906" spans="1:17" x14ac:dyDescent="0.3">
      <c r="A2906" t="s">
        <v>4729</v>
      </c>
      <c r="B2906" t="str">
        <f>"002179"</f>
        <v>002179</v>
      </c>
      <c r="C2906" t="s">
        <v>6149</v>
      </c>
      <c r="D2906" t="s">
        <v>1136</v>
      </c>
      <c r="F2906">
        <v>12866862661</v>
      </c>
      <c r="G2906">
        <v>10305222374</v>
      </c>
      <c r="H2906">
        <v>9158826504</v>
      </c>
      <c r="I2906">
        <v>7816018656</v>
      </c>
      <c r="J2906">
        <v>6361813149</v>
      </c>
      <c r="K2906">
        <v>5854802051</v>
      </c>
      <c r="L2906">
        <v>4725196552</v>
      </c>
      <c r="M2906">
        <v>3491245691</v>
      </c>
      <c r="N2906">
        <v>2601763185</v>
      </c>
      <c r="O2906">
        <v>2203478364</v>
      </c>
      <c r="P2906">
        <v>1734</v>
      </c>
      <c r="Q2906" t="s">
        <v>6150</v>
      </c>
    </row>
    <row r="2907" spans="1:17" x14ac:dyDescent="0.3">
      <c r="A2907" t="s">
        <v>4729</v>
      </c>
      <c r="B2907" t="str">
        <f>"002180"</f>
        <v>002180</v>
      </c>
      <c r="C2907" t="s">
        <v>6151</v>
      </c>
      <c r="D2907" t="s">
        <v>461</v>
      </c>
      <c r="F2907">
        <v>22791658470</v>
      </c>
      <c r="G2907">
        <v>19585185042</v>
      </c>
      <c r="H2907">
        <v>23295845261</v>
      </c>
      <c r="I2907">
        <v>21926472339</v>
      </c>
      <c r="J2907">
        <v>21323938529</v>
      </c>
      <c r="K2907">
        <v>5805462315</v>
      </c>
      <c r="L2907">
        <v>2049020088</v>
      </c>
      <c r="M2907">
        <v>479527162</v>
      </c>
      <c r="N2907">
        <v>136830651</v>
      </c>
      <c r="O2907">
        <v>154465068</v>
      </c>
      <c r="P2907">
        <v>470</v>
      </c>
      <c r="Q2907" t="s">
        <v>6152</v>
      </c>
    </row>
    <row r="2908" spans="1:17" x14ac:dyDescent="0.3">
      <c r="A2908" t="s">
        <v>4729</v>
      </c>
      <c r="B2908" t="str">
        <f>"002181"</f>
        <v>002181</v>
      </c>
      <c r="C2908" t="s">
        <v>6153</v>
      </c>
      <c r="D2908" t="s">
        <v>525</v>
      </c>
      <c r="F2908">
        <v>545987251</v>
      </c>
      <c r="G2908">
        <v>506860697</v>
      </c>
      <c r="H2908">
        <v>678617408</v>
      </c>
      <c r="I2908">
        <v>797118197</v>
      </c>
      <c r="J2908">
        <v>893970224</v>
      </c>
      <c r="K2908">
        <v>1020829593</v>
      </c>
      <c r="L2908">
        <v>1285851623</v>
      </c>
      <c r="M2908">
        <v>1515137947</v>
      </c>
      <c r="N2908">
        <v>1671006920</v>
      </c>
      <c r="O2908">
        <v>1880732906</v>
      </c>
      <c r="P2908">
        <v>107</v>
      </c>
      <c r="Q2908" t="s">
        <v>6154</v>
      </c>
    </row>
    <row r="2909" spans="1:17" x14ac:dyDescent="0.3">
      <c r="A2909" t="s">
        <v>4729</v>
      </c>
      <c r="B2909" t="str">
        <f>"002182"</f>
        <v>002182</v>
      </c>
      <c r="C2909" t="s">
        <v>6155</v>
      </c>
      <c r="D2909" t="s">
        <v>636</v>
      </c>
      <c r="F2909">
        <v>8116563534</v>
      </c>
      <c r="G2909">
        <v>5945528015</v>
      </c>
      <c r="H2909">
        <v>5572058322</v>
      </c>
      <c r="I2909">
        <v>5101052370</v>
      </c>
      <c r="J2909">
        <v>4926860047</v>
      </c>
      <c r="K2909">
        <v>4048091669</v>
      </c>
      <c r="L2909">
        <v>3112666530</v>
      </c>
      <c r="M2909">
        <v>3215683346</v>
      </c>
      <c r="N2909">
        <v>3719968156</v>
      </c>
      <c r="O2909">
        <v>3492607060</v>
      </c>
      <c r="P2909">
        <v>372</v>
      </c>
      <c r="Q2909" t="s">
        <v>6156</v>
      </c>
    </row>
    <row r="2910" spans="1:17" x14ac:dyDescent="0.3">
      <c r="A2910" t="s">
        <v>4729</v>
      </c>
      <c r="B2910" t="str">
        <f>"002183"</f>
        <v>002183</v>
      </c>
      <c r="C2910" t="s">
        <v>6157</v>
      </c>
      <c r="D2910" t="s">
        <v>3125</v>
      </c>
      <c r="F2910">
        <v>70207669020</v>
      </c>
      <c r="G2910">
        <v>68120326033</v>
      </c>
      <c r="H2910">
        <v>71833668500</v>
      </c>
      <c r="I2910">
        <v>69691724963</v>
      </c>
      <c r="J2910">
        <v>68059306079</v>
      </c>
      <c r="K2910">
        <v>57913671051</v>
      </c>
      <c r="L2910">
        <v>39641072304</v>
      </c>
      <c r="M2910">
        <v>21949858825</v>
      </c>
      <c r="N2910">
        <v>11514200306</v>
      </c>
      <c r="O2910">
        <v>7483796229</v>
      </c>
      <c r="P2910">
        <v>261</v>
      </c>
      <c r="Q2910" t="s">
        <v>6158</v>
      </c>
    </row>
    <row r="2911" spans="1:17" x14ac:dyDescent="0.3">
      <c r="A2911" t="s">
        <v>4729</v>
      </c>
      <c r="B2911" t="str">
        <f>"002184"</f>
        <v>002184</v>
      </c>
      <c r="C2911" t="s">
        <v>6159</v>
      </c>
      <c r="D2911" t="s">
        <v>2432</v>
      </c>
      <c r="F2911">
        <v>2490952223</v>
      </c>
      <c r="G2911">
        <v>2265534587</v>
      </c>
      <c r="H2911">
        <v>2058412415</v>
      </c>
      <c r="I2911">
        <v>1690512334</v>
      </c>
      <c r="J2911">
        <v>2050773814</v>
      </c>
      <c r="K2911">
        <v>1748307764</v>
      </c>
      <c r="L2911">
        <v>1741983940</v>
      </c>
      <c r="M2911">
        <v>1544092090</v>
      </c>
      <c r="N2911">
        <v>1431469160</v>
      </c>
      <c r="O2911">
        <v>1269254561</v>
      </c>
      <c r="P2911">
        <v>186</v>
      </c>
      <c r="Q2911" t="s">
        <v>6160</v>
      </c>
    </row>
    <row r="2912" spans="1:17" x14ac:dyDescent="0.3">
      <c r="A2912" t="s">
        <v>4729</v>
      </c>
      <c r="B2912" t="str">
        <f>"002185"</f>
        <v>002185</v>
      </c>
      <c r="C2912" t="s">
        <v>6161</v>
      </c>
      <c r="D2912" t="s">
        <v>1180</v>
      </c>
      <c r="F2912">
        <v>12096793328</v>
      </c>
      <c r="G2912">
        <v>8382084225</v>
      </c>
      <c r="H2912">
        <v>8103490628</v>
      </c>
      <c r="I2912">
        <v>7121706262</v>
      </c>
      <c r="J2912">
        <v>7009887113</v>
      </c>
      <c r="K2912">
        <v>5475027849</v>
      </c>
      <c r="L2912">
        <v>3874017127</v>
      </c>
      <c r="M2912">
        <v>3305481666</v>
      </c>
      <c r="N2912">
        <v>2447163304</v>
      </c>
      <c r="O2912">
        <v>1623202274</v>
      </c>
      <c r="P2912">
        <v>1176</v>
      </c>
      <c r="Q2912" t="s">
        <v>6162</v>
      </c>
    </row>
    <row r="2913" spans="1:17" x14ac:dyDescent="0.3">
      <c r="A2913" t="s">
        <v>4729</v>
      </c>
      <c r="B2913" t="str">
        <f>"002186"</f>
        <v>002186</v>
      </c>
      <c r="C2913" t="s">
        <v>6163</v>
      </c>
      <c r="D2913" t="s">
        <v>3598</v>
      </c>
      <c r="F2913">
        <v>947745797</v>
      </c>
      <c r="G2913">
        <v>783317922</v>
      </c>
      <c r="H2913">
        <v>1566318941</v>
      </c>
      <c r="I2913">
        <v>1777258647</v>
      </c>
      <c r="J2913">
        <v>1860556611</v>
      </c>
      <c r="K2913">
        <v>1847183555</v>
      </c>
      <c r="L2913">
        <v>1853205659</v>
      </c>
      <c r="M2913">
        <v>1846023900</v>
      </c>
      <c r="N2913">
        <v>1902362622</v>
      </c>
      <c r="O2913">
        <v>1943689533</v>
      </c>
      <c r="P2913">
        <v>179</v>
      </c>
      <c r="Q2913" t="s">
        <v>6164</v>
      </c>
    </row>
    <row r="2914" spans="1:17" x14ac:dyDescent="0.3">
      <c r="A2914" t="s">
        <v>4729</v>
      </c>
      <c r="B2914" t="str">
        <f>"002187"</f>
        <v>002187</v>
      </c>
      <c r="C2914" t="s">
        <v>6165</v>
      </c>
      <c r="D2914" t="s">
        <v>633</v>
      </c>
      <c r="F2914">
        <v>5976150899</v>
      </c>
      <c r="G2914">
        <v>2355926208</v>
      </c>
      <c r="H2914">
        <v>8018647033</v>
      </c>
      <c r="I2914">
        <v>7612793305</v>
      </c>
      <c r="J2914">
        <v>6889541301</v>
      </c>
      <c r="K2914">
        <v>6525808515</v>
      </c>
      <c r="L2914">
        <v>7329377881</v>
      </c>
      <c r="M2914">
        <v>7645559738</v>
      </c>
      <c r="N2914">
        <v>7760574522</v>
      </c>
      <c r="O2914">
        <v>7349467485</v>
      </c>
      <c r="P2914">
        <v>147</v>
      </c>
      <c r="Q2914" t="s">
        <v>6166</v>
      </c>
    </row>
    <row r="2915" spans="1:17" x14ac:dyDescent="0.3">
      <c r="A2915" t="s">
        <v>4729</v>
      </c>
      <c r="B2915" t="str">
        <f>"002188"</f>
        <v>002188</v>
      </c>
      <c r="C2915" t="s">
        <v>6167</v>
      </c>
      <c r="D2915" t="s">
        <v>207</v>
      </c>
      <c r="F2915">
        <v>273947438</v>
      </c>
      <c r="G2915">
        <v>13186095</v>
      </c>
      <c r="H2915">
        <v>21274025</v>
      </c>
      <c r="I2915">
        <v>144220035</v>
      </c>
      <c r="J2915">
        <v>590679551</v>
      </c>
      <c r="K2915">
        <v>657686783</v>
      </c>
      <c r="L2915">
        <v>182604588</v>
      </c>
      <c r="M2915">
        <v>115786391</v>
      </c>
      <c r="N2915">
        <v>160461581</v>
      </c>
      <c r="O2915">
        <v>222965026</v>
      </c>
      <c r="P2915">
        <v>69</v>
      </c>
      <c r="Q2915" t="s">
        <v>6168</v>
      </c>
    </row>
    <row r="2916" spans="1:17" x14ac:dyDescent="0.3">
      <c r="A2916" t="s">
        <v>4729</v>
      </c>
      <c r="B2916" t="str">
        <f>"002189"</f>
        <v>002189</v>
      </c>
      <c r="C2916" t="s">
        <v>6169</v>
      </c>
      <c r="D2916" t="s">
        <v>1136</v>
      </c>
      <c r="F2916">
        <v>4128843560</v>
      </c>
      <c r="G2916">
        <v>3332969079</v>
      </c>
      <c r="H2916">
        <v>2552362827</v>
      </c>
      <c r="I2916">
        <v>2583509097</v>
      </c>
      <c r="J2916">
        <v>912865984</v>
      </c>
      <c r="K2916">
        <v>824310126</v>
      </c>
      <c r="L2916">
        <v>800497798</v>
      </c>
      <c r="M2916">
        <v>707727282</v>
      </c>
      <c r="N2916">
        <v>604498251</v>
      </c>
      <c r="O2916">
        <v>537510369</v>
      </c>
      <c r="P2916">
        <v>221</v>
      </c>
      <c r="Q2916" t="s">
        <v>6170</v>
      </c>
    </row>
    <row r="2917" spans="1:17" x14ac:dyDescent="0.3">
      <c r="A2917" t="s">
        <v>4729</v>
      </c>
      <c r="B2917" t="str">
        <f>"002190"</f>
        <v>002190</v>
      </c>
      <c r="C2917" t="s">
        <v>6171</v>
      </c>
      <c r="D2917" t="s">
        <v>98</v>
      </c>
      <c r="F2917">
        <v>1268117582</v>
      </c>
      <c r="G2917">
        <v>983749274</v>
      </c>
      <c r="H2917">
        <v>1674708644</v>
      </c>
      <c r="I2917">
        <v>2145417734</v>
      </c>
      <c r="J2917">
        <v>1942510492</v>
      </c>
      <c r="K2917">
        <v>2244862559</v>
      </c>
      <c r="L2917">
        <v>1665804196</v>
      </c>
      <c r="M2917">
        <v>938970753</v>
      </c>
      <c r="N2917">
        <v>778883891</v>
      </c>
      <c r="O2917">
        <v>681254606</v>
      </c>
      <c r="P2917">
        <v>184</v>
      </c>
      <c r="Q2917" t="s">
        <v>6172</v>
      </c>
    </row>
    <row r="2918" spans="1:17" x14ac:dyDescent="0.3">
      <c r="A2918" t="s">
        <v>4729</v>
      </c>
      <c r="B2918" t="str">
        <f>"002191"</f>
        <v>002191</v>
      </c>
      <c r="C2918" t="s">
        <v>6173</v>
      </c>
      <c r="D2918" t="s">
        <v>2165</v>
      </c>
      <c r="F2918">
        <v>5067077177</v>
      </c>
      <c r="G2918">
        <v>4191426341</v>
      </c>
      <c r="H2918">
        <v>3988697268</v>
      </c>
      <c r="I2918">
        <v>3374004791</v>
      </c>
      <c r="J2918">
        <v>2945293524</v>
      </c>
      <c r="K2918">
        <v>2776954821</v>
      </c>
      <c r="L2918">
        <v>2720049717</v>
      </c>
      <c r="M2918">
        <v>2323239497</v>
      </c>
      <c r="N2918">
        <v>2136510463</v>
      </c>
      <c r="O2918">
        <v>2152154240</v>
      </c>
      <c r="P2918">
        <v>6347</v>
      </c>
      <c r="Q2918" t="s">
        <v>6174</v>
      </c>
    </row>
    <row r="2919" spans="1:17" x14ac:dyDescent="0.3">
      <c r="A2919" t="s">
        <v>4729</v>
      </c>
      <c r="B2919" t="str">
        <f>"002192"</f>
        <v>002192</v>
      </c>
      <c r="C2919" t="s">
        <v>6175</v>
      </c>
      <c r="D2919" t="s">
        <v>3776</v>
      </c>
      <c r="F2919">
        <v>920597597</v>
      </c>
      <c r="G2919">
        <v>389934988</v>
      </c>
      <c r="H2919">
        <v>269797293</v>
      </c>
      <c r="I2919">
        <v>382866740</v>
      </c>
      <c r="J2919">
        <v>279081924</v>
      </c>
      <c r="K2919">
        <v>247764114</v>
      </c>
      <c r="L2919">
        <v>232451229</v>
      </c>
      <c r="M2919">
        <v>475668899</v>
      </c>
      <c r="N2919">
        <v>809349738</v>
      </c>
      <c r="O2919">
        <v>1851653127</v>
      </c>
      <c r="P2919">
        <v>230</v>
      </c>
      <c r="Q2919" t="s">
        <v>6176</v>
      </c>
    </row>
    <row r="2920" spans="1:17" x14ac:dyDescent="0.3">
      <c r="A2920" t="s">
        <v>4729</v>
      </c>
      <c r="B2920" t="str">
        <f>"002193"</f>
        <v>002193</v>
      </c>
      <c r="C2920" t="s">
        <v>6177</v>
      </c>
      <c r="D2920" t="s">
        <v>366</v>
      </c>
      <c r="F2920">
        <v>689746416</v>
      </c>
      <c r="G2920">
        <v>786244869</v>
      </c>
      <c r="H2920">
        <v>1150094091</v>
      </c>
      <c r="I2920">
        <v>1327850334</v>
      </c>
      <c r="J2920">
        <v>1193226062</v>
      </c>
      <c r="K2920">
        <v>906122991</v>
      </c>
      <c r="L2920">
        <v>592356881</v>
      </c>
      <c r="M2920">
        <v>578048752</v>
      </c>
      <c r="N2920">
        <v>587784152</v>
      </c>
      <c r="O2920">
        <v>808037497</v>
      </c>
      <c r="P2920">
        <v>93</v>
      </c>
      <c r="Q2920" t="s">
        <v>6178</v>
      </c>
    </row>
    <row r="2921" spans="1:17" x14ac:dyDescent="0.3">
      <c r="A2921" t="s">
        <v>4729</v>
      </c>
      <c r="B2921" t="str">
        <f>"002194"</f>
        <v>002194</v>
      </c>
      <c r="C2921" t="s">
        <v>6179</v>
      </c>
      <c r="D2921" t="s">
        <v>1019</v>
      </c>
      <c r="F2921">
        <v>1837523253</v>
      </c>
      <c r="G2921">
        <v>1491736930</v>
      </c>
      <c r="H2921">
        <v>1713334466</v>
      </c>
      <c r="I2921">
        <v>1195078776</v>
      </c>
      <c r="J2921">
        <v>1425343511</v>
      </c>
      <c r="K2921">
        <v>1675358343</v>
      </c>
      <c r="L2921">
        <v>1771183447</v>
      </c>
      <c r="M2921">
        <v>1772359888</v>
      </c>
      <c r="N2921">
        <v>1124306748</v>
      </c>
      <c r="O2921">
        <v>1039335482</v>
      </c>
      <c r="P2921">
        <v>908</v>
      </c>
      <c r="Q2921" t="s">
        <v>6180</v>
      </c>
    </row>
    <row r="2922" spans="1:17" x14ac:dyDescent="0.3">
      <c r="A2922" t="s">
        <v>4729</v>
      </c>
      <c r="B2922" t="str">
        <f>"002195"</f>
        <v>002195</v>
      </c>
      <c r="C2922" t="s">
        <v>6181</v>
      </c>
      <c r="D2922" t="s">
        <v>316</v>
      </c>
      <c r="F2922">
        <v>932409339</v>
      </c>
      <c r="G2922">
        <v>1225792783</v>
      </c>
      <c r="H2922">
        <v>2440761431</v>
      </c>
      <c r="I2922">
        <v>3773918388</v>
      </c>
      <c r="J2922">
        <v>3200186898</v>
      </c>
      <c r="K2922">
        <v>1741602023</v>
      </c>
      <c r="L2922">
        <v>1469914807</v>
      </c>
      <c r="M2922">
        <v>654084309</v>
      </c>
      <c r="N2922">
        <v>398493767</v>
      </c>
      <c r="O2922">
        <v>410324918</v>
      </c>
      <c r="P2922">
        <v>558</v>
      </c>
      <c r="Q2922" t="s">
        <v>6182</v>
      </c>
    </row>
    <row r="2923" spans="1:17" x14ac:dyDescent="0.3">
      <c r="A2923" t="s">
        <v>4729</v>
      </c>
      <c r="B2923" t="str">
        <f>"002196"</f>
        <v>002196</v>
      </c>
      <c r="C2923" t="s">
        <v>6183</v>
      </c>
      <c r="D2923" t="s">
        <v>1171</v>
      </c>
      <c r="F2923">
        <v>1890768200</v>
      </c>
      <c r="G2923">
        <v>1142570027</v>
      </c>
      <c r="H2923">
        <v>1114651407</v>
      </c>
      <c r="I2923">
        <v>1363618252</v>
      </c>
      <c r="J2923">
        <v>1318082899</v>
      </c>
      <c r="K2923">
        <v>1049333414</v>
      </c>
      <c r="L2923">
        <v>794417092</v>
      </c>
      <c r="M2923">
        <v>622477104</v>
      </c>
      <c r="N2923">
        <v>487208511</v>
      </c>
      <c r="O2923">
        <v>475652317</v>
      </c>
      <c r="P2923">
        <v>163</v>
      </c>
      <c r="Q2923" t="s">
        <v>6184</v>
      </c>
    </row>
    <row r="2924" spans="1:17" x14ac:dyDescent="0.3">
      <c r="A2924" t="s">
        <v>4729</v>
      </c>
      <c r="B2924" t="str">
        <f>"002197"</f>
        <v>002197</v>
      </c>
      <c r="C2924" t="s">
        <v>6185</v>
      </c>
      <c r="D2924" t="s">
        <v>236</v>
      </c>
      <c r="F2924">
        <v>1254951986</v>
      </c>
      <c r="G2924">
        <v>1328743409</v>
      </c>
      <c r="H2924">
        <v>1339613939</v>
      </c>
      <c r="I2924">
        <v>1332398509</v>
      </c>
      <c r="J2924">
        <v>1682593168</v>
      </c>
      <c r="K2924">
        <v>1795906800</v>
      </c>
      <c r="L2924">
        <v>1127441402</v>
      </c>
      <c r="M2924">
        <v>966421179</v>
      </c>
      <c r="N2924">
        <v>790429245</v>
      </c>
      <c r="O2924">
        <v>584875544</v>
      </c>
      <c r="P2924">
        <v>230</v>
      </c>
      <c r="Q2924" t="s">
        <v>6186</v>
      </c>
    </row>
    <row r="2925" spans="1:17" x14ac:dyDescent="0.3">
      <c r="A2925" t="s">
        <v>4729</v>
      </c>
      <c r="B2925" t="str">
        <f>"002198"</f>
        <v>002198</v>
      </c>
      <c r="C2925" t="s">
        <v>6187</v>
      </c>
      <c r="D2925" t="s">
        <v>188</v>
      </c>
      <c r="F2925">
        <v>574713387</v>
      </c>
      <c r="G2925">
        <v>544728979</v>
      </c>
      <c r="H2925">
        <v>500504004</v>
      </c>
      <c r="I2925">
        <v>536983626</v>
      </c>
      <c r="J2925">
        <v>468080736</v>
      </c>
      <c r="K2925">
        <v>449950869</v>
      </c>
      <c r="L2925">
        <v>475805044</v>
      </c>
      <c r="M2925">
        <v>565820206</v>
      </c>
      <c r="N2925">
        <v>226744885</v>
      </c>
      <c r="O2925">
        <v>104473156</v>
      </c>
      <c r="P2925">
        <v>120</v>
      </c>
      <c r="Q2925" t="s">
        <v>6188</v>
      </c>
    </row>
    <row r="2926" spans="1:17" x14ac:dyDescent="0.3">
      <c r="A2926" t="s">
        <v>4729</v>
      </c>
      <c r="B2926" t="str">
        <f>"002199"</f>
        <v>002199</v>
      </c>
      <c r="C2926" t="s">
        <v>6189</v>
      </c>
      <c r="D2926" t="s">
        <v>546</v>
      </c>
      <c r="F2926">
        <v>304399339</v>
      </c>
      <c r="G2926">
        <v>262404244</v>
      </c>
      <c r="H2926">
        <v>210383455</v>
      </c>
      <c r="I2926">
        <v>177279579</v>
      </c>
      <c r="J2926">
        <v>232126182</v>
      </c>
      <c r="K2926">
        <v>257167035</v>
      </c>
      <c r="L2926">
        <v>337794089</v>
      </c>
      <c r="M2926">
        <v>309474324</v>
      </c>
      <c r="N2926">
        <v>244347046</v>
      </c>
      <c r="O2926">
        <v>285873442</v>
      </c>
      <c r="P2926">
        <v>111</v>
      </c>
      <c r="Q2926" t="s">
        <v>6190</v>
      </c>
    </row>
    <row r="2927" spans="1:17" x14ac:dyDescent="0.3">
      <c r="A2927" t="s">
        <v>4729</v>
      </c>
      <c r="B2927" t="str">
        <f>"002200"</f>
        <v>002200</v>
      </c>
      <c r="C2927" t="s">
        <v>6191</v>
      </c>
      <c r="D2927" t="s">
        <v>2417</v>
      </c>
      <c r="F2927">
        <v>392250219</v>
      </c>
      <c r="G2927">
        <v>267712696</v>
      </c>
      <c r="H2927">
        <v>682225076</v>
      </c>
      <c r="I2927">
        <v>759638196</v>
      </c>
      <c r="J2927">
        <v>675352382</v>
      </c>
      <c r="K2927">
        <v>1009742833</v>
      </c>
      <c r="L2927">
        <v>843267364</v>
      </c>
      <c r="M2927">
        <v>730863862</v>
      </c>
      <c r="N2927">
        <v>444668468</v>
      </c>
      <c r="O2927">
        <v>343651311</v>
      </c>
      <c r="P2927">
        <v>53</v>
      </c>
      <c r="Q2927" t="s">
        <v>6192</v>
      </c>
    </row>
    <row r="2928" spans="1:17" x14ac:dyDescent="0.3">
      <c r="A2928" t="s">
        <v>4729</v>
      </c>
      <c r="B2928" t="str">
        <f>"002201"</f>
        <v>002201</v>
      </c>
      <c r="C2928" t="s">
        <v>6193</v>
      </c>
      <c r="D2928" t="s">
        <v>411</v>
      </c>
      <c r="F2928">
        <v>1497680458</v>
      </c>
      <c r="G2928">
        <v>1670715421</v>
      </c>
      <c r="H2928">
        <v>984321533</v>
      </c>
      <c r="I2928">
        <v>1071042430</v>
      </c>
      <c r="J2928">
        <v>994216079</v>
      </c>
      <c r="K2928">
        <v>793740923</v>
      </c>
      <c r="L2928">
        <v>687965225</v>
      </c>
      <c r="M2928">
        <v>743815985</v>
      </c>
      <c r="N2928">
        <v>626390430</v>
      </c>
      <c r="O2928">
        <v>652362307</v>
      </c>
      <c r="P2928">
        <v>132</v>
      </c>
      <c r="Q2928" t="s">
        <v>6194</v>
      </c>
    </row>
    <row r="2929" spans="1:17" x14ac:dyDescent="0.3">
      <c r="A2929" t="s">
        <v>4729</v>
      </c>
      <c r="B2929" t="str">
        <f>"002202"</f>
        <v>002202</v>
      </c>
      <c r="C2929" t="s">
        <v>6195</v>
      </c>
      <c r="D2929" t="s">
        <v>895</v>
      </c>
      <c r="F2929">
        <v>50570722659</v>
      </c>
      <c r="G2929">
        <v>56265105442</v>
      </c>
      <c r="H2929">
        <v>38244553924</v>
      </c>
      <c r="I2929">
        <v>28730607320</v>
      </c>
      <c r="J2929">
        <v>25129456007</v>
      </c>
      <c r="K2929">
        <v>26395829300</v>
      </c>
      <c r="L2929">
        <v>30062099564</v>
      </c>
      <c r="M2929">
        <v>17704218040</v>
      </c>
      <c r="N2929">
        <v>12308476647</v>
      </c>
      <c r="O2929">
        <v>11324189039</v>
      </c>
      <c r="P2929">
        <v>1283</v>
      </c>
      <c r="Q2929" t="s">
        <v>6196</v>
      </c>
    </row>
    <row r="2930" spans="1:17" x14ac:dyDescent="0.3">
      <c r="A2930" t="s">
        <v>4729</v>
      </c>
      <c r="B2930" t="str">
        <f>"002203"</f>
        <v>002203</v>
      </c>
      <c r="C2930" t="s">
        <v>6197</v>
      </c>
      <c r="D2930" t="s">
        <v>263</v>
      </c>
      <c r="F2930">
        <v>63309904809</v>
      </c>
      <c r="G2930">
        <v>46409661489</v>
      </c>
      <c r="H2930">
        <v>41152704338</v>
      </c>
      <c r="I2930">
        <v>40596624275</v>
      </c>
      <c r="J2930">
        <v>29816268254</v>
      </c>
      <c r="K2930">
        <v>17917107059</v>
      </c>
      <c r="L2930">
        <v>13590993001</v>
      </c>
      <c r="M2930">
        <v>12061447692</v>
      </c>
      <c r="N2930">
        <v>13094760298</v>
      </c>
      <c r="O2930">
        <v>10349952665</v>
      </c>
      <c r="P2930">
        <v>239</v>
      </c>
      <c r="Q2930" t="s">
        <v>6198</v>
      </c>
    </row>
    <row r="2931" spans="1:17" x14ac:dyDescent="0.3">
      <c r="A2931" t="s">
        <v>4729</v>
      </c>
      <c r="B2931" t="str">
        <f>"002204"</f>
        <v>002204</v>
      </c>
      <c r="C2931" t="s">
        <v>6199</v>
      </c>
      <c r="D2931" t="s">
        <v>395</v>
      </c>
      <c r="F2931">
        <v>9108789151</v>
      </c>
      <c r="G2931">
        <v>8161909617</v>
      </c>
      <c r="H2931">
        <v>7210395221</v>
      </c>
      <c r="I2931">
        <v>6571486482</v>
      </c>
      <c r="J2931">
        <v>6434246071</v>
      </c>
      <c r="K2931">
        <v>6432544241</v>
      </c>
      <c r="L2931">
        <v>7147045743</v>
      </c>
      <c r="M2931">
        <v>8238827893</v>
      </c>
      <c r="N2931">
        <v>8831717472</v>
      </c>
      <c r="O2931">
        <v>10070430943</v>
      </c>
      <c r="P2931">
        <v>137</v>
      </c>
      <c r="Q2931" t="s">
        <v>6200</v>
      </c>
    </row>
    <row r="2932" spans="1:17" x14ac:dyDescent="0.3">
      <c r="A2932" t="s">
        <v>4729</v>
      </c>
      <c r="B2932" t="str">
        <f>"002205"</f>
        <v>002205</v>
      </c>
      <c r="C2932" t="s">
        <v>6201</v>
      </c>
      <c r="D2932" t="s">
        <v>3575</v>
      </c>
      <c r="F2932">
        <v>1150669649</v>
      </c>
      <c r="G2932">
        <v>871513772</v>
      </c>
      <c r="H2932">
        <v>839538862</v>
      </c>
      <c r="I2932">
        <v>789157207</v>
      </c>
      <c r="J2932">
        <v>789108710</v>
      </c>
      <c r="K2932">
        <v>600734209</v>
      </c>
      <c r="L2932">
        <v>392984833</v>
      </c>
      <c r="M2932">
        <v>803447559</v>
      </c>
      <c r="N2932">
        <v>870972272</v>
      </c>
      <c r="O2932">
        <v>472360557</v>
      </c>
      <c r="P2932">
        <v>86</v>
      </c>
      <c r="Q2932" t="s">
        <v>6202</v>
      </c>
    </row>
    <row r="2933" spans="1:17" x14ac:dyDescent="0.3">
      <c r="A2933" t="s">
        <v>4729</v>
      </c>
      <c r="B2933" t="str">
        <f>"002206"</f>
        <v>002206</v>
      </c>
      <c r="C2933" t="s">
        <v>6203</v>
      </c>
      <c r="D2933" t="s">
        <v>2731</v>
      </c>
      <c r="F2933">
        <v>5067393298</v>
      </c>
      <c r="G2933">
        <v>3512556998</v>
      </c>
      <c r="H2933">
        <v>4013629157</v>
      </c>
      <c r="I2933">
        <v>3569477901</v>
      </c>
      <c r="J2933">
        <v>3186082088</v>
      </c>
      <c r="K2933">
        <v>2566548725</v>
      </c>
      <c r="L2933">
        <v>2120941423</v>
      </c>
      <c r="M2933">
        <v>2286086565</v>
      </c>
      <c r="N2933">
        <v>2148529367</v>
      </c>
      <c r="O2933">
        <v>1950506155</v>
      </c>
      <c r="P2933">
        <v>369</v>
      </c>
      <c r="Q2933" t="s">
        <v>6204</v>
      </c>
    </row>
    <row r="2934" spans="1:17" x14ac:dyDescent="0.3">
      <c r="A2934" t="s">
        <v>4729</v>
      </c>
      <c r="B2934" t="str">
        <f>"002207"</f>
        <v>002207</v>
      </c>
      <c r="C2934" t="s">
        <v>6205</v>
      </c>
      <c r="D2934" t="s">
        <v>1762</v>
      </c>
      <c r="F2934">
        <v>191934737</v>
      </c>
      <c r="G2934">
        <v>195524763</v>
      </c>
      <c r="H2934">
        <v>302076098</v>
      </c>
      <c r="I2934">
        <v>260411296</v>
      </c>
      <c r="J2934">
        <v>206396643</v>
      </c>
      <c r="K2934">
        <v>223707402</v>
      </c>
      <c r="L2934">
        <v>280653174</v>
      </c>
      <c r="M2934">
        <v>410830564</v>
      </c>
      <c r="N2934">
        <v>397247919</v>
      </c>
      <c r="O2934">
        <v>413753465</v>
      </c>
      <c r="P2934">
        <v>73</v>
      </c>
      <c r="Q2934" t="s">
        <v>6206</v>
      </c>
    </row>
    <row r="2935" spans="1:17" x14ac:dyDescent="0.3">
      <c r="A2935" t="s">
        <v>4729</v>
      </c>
      <c r="B2935" t="str">
        <f>"002208"</f>
        <v>002208</v>
      </c>
      <c r="C2935" t="s">
        <v>6207</v>
      </c>
      <c r="D2935" t="s">
        <v>104</v>
      </c>
      <c r="F2935">
        <v>7557295687</v>
      </c>
      <c r="G2935">
        <v>5359282219</v>
      </c>
      <c r="H2935">
        <v>2804849845</v>
      </c>
      <c r="I2935">
        <v>1971469133</v>
      </c>
      <c r="J2935">
        <v>2751919267</v>
      </c>
      <c r="K2935">
        <v>2626748505</v>
      </c>
      <c r="L2935">
        <v>1881123499</v>
      </c>
      <c r="M2935">
        <v>1760343910</v>
      </c>
      <c r="N2935">
        <v>1575494700</v>
      </c>
      <c r="O2935">
        <v>1210642987</v>
      </c>
      <c r="P2935">
        <v>198</v>
      </c>
      <c r="Q2935" t="s">
        <v>6208</v>
      </c>
    </row>
    <row r="2936" spans="1:17" x14ac:dyDescent="0.3">
      <c r="A2936" t="s">
        <v>4729</v>
      </c>
      <c r="B2936" t="str">
        <f>"002209"</f>
        <v>002209</v>
      </c>
      <c r="C2936" t="s">
        <v>6209</v>
      </c>
      <c r="D2936" t="s">
        <v>3415</v>
      </c>
      <c r="F2936">
        <v>1062820876</v>
      </c>
      <c r="G2936">
        <v>929609998</v>
      </c>
      <c r="H2936">
        <v>712141410</v>
      </c>
      <c r="I2936">
        <v>985509595</v>
      </c>
      <c r="J2936">
        <v>961627694</v>
      </c>
      <c r="K2936">
        <v>783512353</v>
      </c>
      <c r="L2936">
        <v>805417327</v>
      </c>
      <c r="M2936">
        <v>954655925</v>
      </c>
      <c r="N2936">
        <v>896554398</v>
      </c>
      <c r="O2936">
        <v>706599038</v>
      </c>
      <c r="P2936">
        <v>75</v>
      </c>
      <c r="Q2936" t="s">
        <v>6210</v>
      </c>
    </row>
    <row r="2937" spans="1:17" x14ac:dyDescent="0.3">
      <c r="A2937" t="s">
        <v>4729</v>
      </c>
      <c r="B2937" t="str">
        <f>"002210"</f>
        <v>002210</v>
      </c>
      <c r="C2937" t="s">
        <v>6211</v>
      </c>
      <c r="D2937" t="s">
        <v>128</v>
      </c>
      <c r="F2937">
        <v>265727933</v>
      </c>
      <c r="G2937">
        <v>246071778</v>
      </c>
      <c r="H2937">
        <v>313536279</v>
      </c>
      <c r="I2937">
        <v>41048734870</v>
      </c>
      <c r="J2937">
        <v>61384323959</v>
      </c>
      <c r="K2937">
        <v>52162863380</v>
      </c>
      <c r="L2937">
        <v>47637224877</v>
      </c>
      <c r="M2937">
        <v>32119055956</v>
      </c>
      <c r="N2937">
        <v>29850483098</v>
      </c>
      <c r="O2937">
        <v>14652874784</v>
      </c>
      <c r="P2937">
        <v>83</v>
      </c>
      <c r="Q2937" t="s">
        <v>6212</v>
      </c>
    </row>
    <row r="2938" spans="1:17" x14ac:dyDescent="0.3">
      <c r="A2938" t="s">
        <v>4729</v>
      </c>
      <c r="B2938" t="str">
        <f>"002211"</f>
        <v>002211</v>
      </c>
      <c r="C2938" t="s">
        <v>6213</v>
      </c>
      <c r="D2938" t="s">
        <v>1205</v>
      </c>
      <c r="F2938">
        <v>565732950</v>
      </c>
      <c r="G2938">
        <v>921088526</v>
      </c>
      <c r="H2938">
        <v>1104658864</v>
      </c>
      <c r="I2938">
        <v>1080127348</v>
      </c>
      <c r="J2938">
        <v>945030111</v>
      </c>
      <c r="K2938">
        <v>682811662</v>
      </c>
      <c r="L2938">
        <v>671242038</v>
      </c>
      <c r="M2938">
        <v>773785969</v>
      </c>
      <c r="N2938">
        <v>802998141</v>
      </c>
      <c r="O2938">
        <v>829566318</v>
      </c>
      <c r="P2938">
        <v>85</v>
      </c>
      <c r="Q2938" t="s">
        <v>6214</v>
      </c>
    </row>
    <row r="2939" spans="1:17" x14ac:dyDescent="0.3">
      <c r="A2939" t="s">
        <v>4729</v>
      </c>
      <c r="B2939" t="str">
        <f>"002212"</f>
        <v>002212</v>
      </c>
      <c r="C2939" t="s">
        <v>6215</v>
      </c>
      <c r="D2939" t="s">
        <v>1189</v>
      </c>
      <c r="F2939">
        <v>3351566360</v>
      </c>
      <c r="G2939">
        <v>5704169341</v>
      </c>
      <c r="H2939">
        <v>7091068231</v>
      </c>
      <c r="I2939">
        <v>6300337432</v>
      </c>
      <c r="J2939">
        <v>5133108989</v>
      </c>
      <c r="K2939">
        <v>2870713313</v>
      </c>
      <c r="L2939">
        <v>2281490506</v>
      </c>
      <c r="M2939">
        <v>2258893261</v>
      </c>
      <c r="N2939">
        <v>1832623315</v>
      </c>
      <c r="O2939">
        <v>1765195523</v>
      </c>
      <c r="P2939">
        <v>249</v>
      </c>
      <c r="Q2939" t="s">
        <v>6216</v>
      </c>
    </row>
    <row r="2940" spans="1:17" x14ac:dyDescent="0.3">
      <c r="A2940" t="s">
        <v>4729</v>
      </c>
      <c r="B2940" t="str">
        <f>"002213"</f>
        <v>002213</v>
      </c>
      <c r="C2940" t="s">
        <v>6217</v>
      </c>
      <c r="D2940" t="s">
        <v>348</v>
      </c>
      <c r="F2940">
        <v>857387370</v>
      </c>
      <c r="G2940">
        <v>387646466</v>
      </c>
      <c r="H2940">
        <v>188067521</v>
      </c>
      <c r="I2940">
        <v>123977223</v>
      </c>
      <c r="J2940">
        <v>118294591</v>
      </c>
      <c r="K2940">
        <v>150680471</v>
      </c>
      <c r="L2940">
        <v>188020158</v>
      </c>
      <c r="M2940">
        <v>261334539</v>
      </c>
      <c r="N2940">
        <v>327428094</v>
      </c>
      <c r="O2940">
        <v>282440059</v>
      </c>
      <c r="P2940">
        <v>90</v>
      </c>
      <c r="Q2940" t="s">
        <v>6218</v>
      </c>
    </row>
    <row r="2941" spans="1:17" x14ac:dyDescent="0.3">
      <c r="A2941" t="s">
        <v>4729</v>
      </c>
      <c r="B2941" t="str">
        <f>"002214"</f>
        <v>002214</v>
      </c>
      <c r="C2941" t="s">
        <v>6219</v>
      </c>
      <c r="D2941" t="s">
        <v>1136</v>
      </c>
      <c r="F2941">
        <v>805430043</v>
      </c>
      <c r="G2941">
        <v>1090187751</v>
      </c>
      <c r="H2941">
        <v>530450787</v>
      </c>
      <c r="I2941">
        <v>423523148</v>
      </c>
      <c r="J2941">
        <v>301518066</v>
      </c>
      <c r="K2941">
        <v>339408204</v>
      </c>
      <c r="L2941">
        <v>323070812</v>
      </c>
      <c r="M2941">
        <v>362227583</v>
      </c>
      <c r="N2941">
        <v>261451265</v>
      </c>
      <c r="O2941">
        <v>272194161</v>
      </c>
      <c r="P2941">
        <v>511</v>
      </c>
      <c r="Q2941" t="s">
        <v>6220</v>
      </c>
    </row>
    <row r="2942" spans="1:17" x14ac:dyDescent="0.3">
      <c r="A2942" t="s">
        <v>4729</v>
      </c>
      <c r="B2942" t="str">
        <f>"002215"</f>
        <v>002215</v>
      </c>
      <c r="C2942" t="s">
        <v>6221</v>
      </c>
      <c r="D2942" t="s">
        <v>853</v>
      </c>
      <c r="F2942">
        <v>4500572279</v>
      </c>
      <c r="G2942">
        <v>4131424782</v>
      </c>
      <c r="H2942">
        <v>4058394534</v>
      </c>
      <c r="I2942">
        <v>4005444207</v>
      </c>
      <c r="J2942">
        <v>2821575182</v>
      </c>
      <c r="K2942">
        <v>1962926419</v>
      </c>
      <c r="L2942">
        <v>2209744869</v>
      </c>
      <c r="M2942">
        <v>2202724370</v>
      </c>
      <c r="N2942">
        <v>1735500738</v>
      </c>
      <c r="O2942">
        <v>1597516109</v>
      </c>
      <c r="P2942">
        <v>175</v>
      </c>
      <c r="Q2942" t="s">
        <v>6222</v>
      </c>
    </row>
    <row r="2943" spans="1:17" x14ac:dyDescent="0.3">
      <c r="A2943" t="s">
        <v>4729</v>
      </c>
      <c r="B2943" t="str">
        <f>"002216"</f>
        <v>002216</v>
      </c>
      <c r="C2943" t="s">
        <v>6223</v>
      </c>
      <c r="D2943" t="s">
        <v>2865</v>
      </c>
      <c r="F2943">
        <v>6943439865</v>
      </c>
      <c r="G2943">
        <v>6926082823</v>
      </c>
      <c r="H2943">
        <v>5985722254</v>
      </c>
      <c r="I2943">
        <v>5539316060</v>
      </c>
      <c r="J2943">
        <v>5255871628</v>
      </c>
      <c r="K2943">
        <v>4781012224</v>
      </c>
      <c r="L2943">
        <v>4237398972</v>
      </c>
      <c r="M2943">
        <v>4094370562</v>
      </c>
      <c r="N2943">
        <v>3603329340</v>
      </c>
      <c r="O2943">
        <v>2680571888</v>
      </c>
      <c r="P2943">
        <v>1276</v>
      </c>
      <c r="Q2943" t="s">
        <v>6224</v>
      </c>
    </row>
    <row r="2944" spans="1:17" x14ac:dyDescent="0.3">
      <c r="A2944" t="s">
        <v>4729</v>
      </c>
      <c r="B2944" t="str">
        <f>"002217"</f>
        <v>002217</v>
      </c>
      <c r="C2944" t="s">
        <v>6225</v>
      </c>
      <c r="D2944" t="s">
        <v>1117</v>
      </c>
      <c r="F2944">
        <v>16232597173</v>
      </c>
      <c r="G2944">
        <v>17152888155</v>
      </c>
      <c r="H2944">
        <v>18499842986</v>
      </c>
      <c r="I2944">
        <v>16904353306</v>
      </c>
      <c r="J2944">
        <v>15110910567</v>
      </c>
      <c r="K2944">
        <v>11844847835</v>
      </c>
      <c r="L2944">
        <v>4953173491</v>
      </c>
      <c r="M2944">
        <v>3053437887</v>
      </c>
      <c r="N2944">
        <v>1192966559</v>
      </c>
      <c r="O2944">
        <v>1183208639</v>
      </c>
      <c r="P2944">
        <v>490</v>
      </c>
      <c r="Q2944" t="s">
        <v>6226</v>
      </c>
    </row>
    <row r="2945" spans="1:17" x14ac:dyDescent="0.3">
      <c r="A2945" t="s">
        <v>4729</v>
      </c>
      <c r="B2945" t="str">
        <f>"002218"</f>
        <v>002218</v>
      </c>
      <c r="C2945" t="s">
        <v>6227</v>
      </c>
      <c r="D2945" t="s">
        <v>478</v>
      </c>
      <c r="F2945">
        <v>1423655546</v>
      </c>
      <c r="G2945">
        <v>1360533507</v>
      </c>
      <c r="H2945">
        <v>1053891908</v>
      </c>
      <c r="I2945">
        <v>1120744646</v>
      </c>
      <c r="J2945">
        <v>1514861956</v>
      </c>
      <c r="K2945">
        <v>1141559379</v>
      </c>
      <c r="L2945">
        <v>727990396</v>
      </c>
      <c r="M2945">
        <v>545792803</v>
      </c>
      <c r="N2945">
        <v>1064231729</v>
      </c>
      <c r="O2945">
        <v>529094478</v>
      </c>
      <c r="P2945">
        <v>218</v>
      </c>
      <c r="Q2945" t="s">
        <v>6228</v>
      </c>
    </row>
    <row r="2946" spans="1:17" x14ac:dyDescent="0.3">
      <c r="A2946" t="s">
        <v>4729</v>
      </c>
      <c r="B2946" t="str">
        <f>"002219"</f>
        <v>002219</v>
      </c>
      <c r="C2946" t="s">
        <v>6229</v>
      </c>
      <c r="D2946" t="s">
        <v>1147</v>
      </c>
      <c r="F2946">
        <v>3016070733</v>
      </c>
      <c r="G2946">
        <v>2805895495</v>
      </c>
      <c r="H2946">
        <v>3684467722</v>
      </c>
      <c r="I2946">
        <v>3838392197</v>
      </c>
      <c r="J2946">
        <v>3399324144</v>
      </c>
      <c r="K2946">
        <v>2175221187</v>
      </c>
      <c r="L2946">
        <v>1181728223</v>
      </c>
      <c r="M2946">
        <v>685657650</v>
      </c>
      <c r="N2946">
        <v>564725360</v>
      </c>
      <c r="O2946">
        <v>336964448</v>
      </c>
      <c r="P2946">
        <v>94</v>
      </c>
      <c r="Q2946" t="s">
        <v>6230</v>
      </c>
    </row>
    <row r="2947" spans="1:17" x14ac:dyDescent="0.3">
      <c r="A2947" t="s">
        <v>4729</v>
      </c>
      <c r="B2947" t="str">
        <f>"002220"</f>
        <v>002220</v>
      </c>
      <c r="C2947" t="s">
        <v>6231</v>
      </c>
      <c r="H2947">
        <v>348744839</v>
      </c>
      <c r="I2947">
        <v>1038975517</v>
      </c>
      <c r="J2947">
        <v>1465292338</v>
      </c>
      <c r="K2947">
        <v>1477286408</v>
      </c>
      <c r="L2947">
        <v>1536911195</v>
      </c>
      <c r="M2947">
        <v>1607378846</v>
      </c>
      <c r="N2947">
        <v>1487768453</v>
      </c>
      <c r="O2947">
        <v>1773072203</v>
      </c>
      <c r="P2947">
        <v>51</v>
      </c>
      <c r="Q2947" t="s">
        <v>6232</v>
      </c>
    </row>
    <row r="2948" spans="1:17" x14ac:dyDescent="0.3">
      <c r="A2948" t="s">
        <v>4729</v>
      </c>
      <c r="B2948" t="str">
        <f>"002221"</f>
        <v>002221</v>
      </c>
      <c r="C2948" t="s">
        <v>6233</v>
      </c>
      <c r="D2948" t="s">
        <v>1617</v>
      </c>
      <c r="F2948">
        <v>26367072956</v>
      </c>
      <c r="G2948">
        <v>29081749414</v>
      </c>
      <c r="H2948">
        <v>46187623600</v>
      </c>
      <c r="I2948">
        <v>48942864332</v>
      </c>
      <c r="J2948">
        <v>32678284771</v>
      </c>
      <c r="K2948">
        <v>19975032928</v>
      </c>
      <c r="L2948">
        <v>17195981581</v>
      </c>
      <c r="M2948">
        <v>13314255651</v>
      </c>
      <c r="N2948">
        <v>9397554834</v>
      </c>
      <c r="O2948">
        <v>5450720903</v>
      </c>
      <c r="P2948">
        <v>390</v>
      </c>
      <c r="Q2948" t="s">
        <v>6234</v>
      </c>
    </row>
    <row r="2949" spans="1:17" x14ac:dyDescent="0.3">
      <c r="A2949" t="s">
        <v>4729</v>
      </c>
      <c r="B2949" t="str">
        <f>"002222"</f>
        <v>002222</v>
      </c>
      <c r="C2949" t="s">
        <v>6235</v>
      </c>
      <c r="D2949" t="s">
        <v>164</v>
      </c>
      <c r="F2949">
        <v>688700431</v>
      </c>
      <c r="G2949">
        <v>546455793</v>
      </c>
      <c r="H2949">
        <v>501145708</v>
      </c>
      <c r="I2949">
        <v>491320742</v>
      </c>
      <c r="J2949">
        <v>453721944</v>
      </c>
      <c r="K2949">
        <v>308168185</v>
      </c>
      <c r="L2949">
        <v>210560823</v>
      </c>
      <c r="M2949">
        <v>202007822</v>
      </c>
      <c r="N2949">
        <v>178038381</v>
      </c>
      <c r="O2949">
        <v>182573982</v>
      </c>
      <c r="P2949">
        <v>517</v>
      </c>
      <c r="Q2949" t="s">
        <v>6236</v>
      </c>
    </row>
    <row r="2950" spans="1:17" x14ac:dyDescent="0.3">
      <c r="A2950" t="s">
        <v>4729</v>
      </c>
      <c r="B2950" t="str">
        <f>"002223"</f>
        <v>002223</v>
      </c>
      <c r="C2950" t="s">
        <v>6237</v>
      </c>
      <c r="D2950" t="s">
        <v>122</v>
      </c>
      <c r="F2950">
        <v>6894308112</v>
      </c>
      <c r="G2950">
        <v>6725687290</v>
      </c>
      <c r="H2950">
        <v>4635934688</v>
      </c>
      <c r="I2950">
        <v>4183391623</v>
      </c>
      <c r="J2950">
        <v>3541562711</v>
      </c>
      <c r="K2950">
        <v>2632594737</v>
      </c>
      <c r="L2950">
        <v>2103737270</v>
      </c>
      <c r="M2950">
        <v>1681802303</v>
      </c>
      <c r="N2950">
        <v>1424323331</v>
      </c>
      <c r="O2950">
        <v>1312211877</v>
      </c>
      <c r="P2950">
        <v>17492</v>
      </c>
      <c r="Q2950" t="s">
        <v>6238</v>
      </c>
    </row>
    <row r="2951" spans="1:17" x14ac:dyDescent="0.3">
      <c r="A2951" t="s">
        <v>4729</v>
      </c>
      <c r="B2951" t="str">
        <f>"002224"</f>
        <v>002224</v>
      </c>
      <c r="C2951" t="s">
        <v>6239</v>
      </c>
      <c r="D2951" t="s">
        <v>2469</v>
      </c>
      <c r="F2951">
        <v>1001475271</v>
      </c>
      <c r="G2951">
        <v>900448657</v>
      </c>
      <c r="H2951">
        <v>946118175</v>
      </c>
      <c r="I2951">
        <v>919089775</v>
      </c>
      <c r="J2951">
        <v>902009905</v>
      </c>
      <c r="K2951">
        <v>835631594</v>
      </c>
      <c r="L2951">
        <v>931110719</v>
      </c>
      <c r="M2951">
        <v>969651244</v>
      </c>
      <c r="N2951">
        <v>944540033</v>
      </c>
      <c r="O2951">
        <v>884960250</v>
      </c>
      <c r="P2951">
        <v>186</v>
      </c>
      <c r="Q2951" t="s">
        <v>6240</v>
      </c>
    </row>
    <row r="2952" spans="1:17" x14ac:dyDescent="0.3">
      <c r="A2952" t="s">
        <v>4729</v>
      </c>
      <c r="B2952" t="str">
        <f>"002225"</f>
        <v>002225</v>
      </c>
      <c r="C2952" t="s">
        <v>6241</v>
      </c>
      <c r="D2952" t="s">
        <v>5922</v>
      </c>
      <c r="F2952">
        <v>4377856310</v>
      </c>
      <c r="G2952">
        <v>4174177333</v>
      </c>
      <c r="H2952">
        <v>4140123442</v>
      </c>
      <c r="I2952">
        <v>3888063436</v>
      </c>
      <c r="J2952">
        <v>2814626708</v>
      </c>
      <c r="K2952">
        <v>2338540787</v>
      </c>
      <c r="L2952">
        <v>2793734999</v>
      </c>
      <c r="M2952">
        <v>2611009067</v>
      </c>
      <c r="N2952">
        <v>2432474181</v>
      </c>
      <c r="O2952">
        <v>2145694195</v>
      </c>
      <c r="P2952">
        <v>142</v>
      </c>
      <c r="Q2952" t="s">
        <v>6242</v>
      </c>
    </row>
    <row r="2953" spans="1:17" x14ac:dyDescent="0.3">
      <c r="A2953" t="s">
        <v>4729</v>
      </c>
      <c r="B2953" t="str">
        <f>"002226"</f>
        <v>002226</v>
      </c>
      <c r="C2953" t="s">
        <v>6243</v>
      </c>
      <c r="D2953" t="s">
        <v>2736</v>
      </c>
      <c r="F2953">
        <v>6481148032</v>
      </c>
      <c r="G2953">
        <v>3918788607</v>
      </c>
      <c r="H2953">
        <v>3633186954</v>
      </c>
      <c r="I2953">
        <v>2885254152</v>
      </c>
      <c r="J2953">
        <v>1653959683</v>
      </c>
      <c r="K2953">
        <v>1352030376</v>
      </c>
      <c r="L2953">
        <v>1358086522</v>
      </c>
      <c r="M2953">
        <v>1792550897</v>
      </c>
      <c r="N2953">
        <v>1935838908</v>
      </c>
      <c r="O2953">
        <v>1773741885</v>
      </c>
      <c r="P2953">
        <v>172</v>
      </c>
      <c r="Q2953" t="s">
        <v>6244</v>
      </c>
    </row>
    <row r="2954" spans="1:17" x14ac:dyDescent="0.3">
      <c r="A2954" t="s">
        <v>4729</v>
      </c>
      <c r="B2954" t="str">
        <f>"002227"</f>
        <v>002227</v>
      </c>
      <c r="C2954" t="s">
        <v>6245</v>
      </c>
      <c r="D2954" t="s">
        <v>470</v>
      </c>
      <c r="F2954">
        <v>287996193</v>
      </c>
      <c r="G2954">
        <v>323121675</v>
      </c>
      <c r="H2954">
        <v>338925537</v>
      </c>
      <c r="I2954">
        <v>352636770</v>
      </c>
      <c r="J2954">
        <v>366535959</v>
      </c>
      <c r="K2954">
        <v>360965806</v>
      </c>
      <c r="L2954">
        <v>343762699</v>
      </c>
      <c r="M2954">
        <v>457956296</v>
      </c>
      <c r="N2954">
        <v>347952847</v>
      </c>
      <c r="O2954">
        <v>251755818</v>
      </c>
      <c r="P2954">
        <v>162</v>
      </c>
      <c r="Q2954" t="s">
        <v>6246</v>
      </c>
    </row>
    <row r="2955" spans="1:17" x14ac:dyDescent="0.3">
      <c r="A2955" t="s">
        <v>4729</v>
      </c>
      <c r="B2955" t="str">
        <f>"002228"</f>
        <v>002228</v>
      </c>
      <c r="C2955" t="s">
        <v>6247</v>
      </c>
      <c r="D2955" t="s">
        <v>2165</v>
      </c>
      <c r="F2955">
        <v>17548783681</v>
      </c>
      <c r="G2955">
        <v>12006566057</v>
      </c>
      <c r="H2955">
        <v>11096782559</v>
      </c>
      <c r="I2955">
        <v>12166127616</v>
      </c>
      <c r="J2955">
        <v>8747812400</v>
      </c>
      <c r="K2955">
        <v>4560112337</v>
      </c>
      <c r="L2955">
        <v>2852474015</v>
      </c>
      <c r="M2955">
        <v>2716474437</v>
      </c>
      <c r="N2955">
        <v>2442081566</v>
      </c>
      <c r="O2955">
        <v>2114889587</v>
      </c>
      <c r="P2955">
        <v>290</v>
      </c>
      <c r="Q2955" t="s">
        <v>6248</v>
      </c>
    </row>
    <row r="2956" spans="1:17" x14ac:dyDescent="0.3">
      <c r="A2956" t="s">
        <v>4729</v>
      </c>
      <c r="B2956" t="str">
        <f>"002229"</f>
        <v>002229</v>
      </c>
      <c r="C2956" t="s">
        <v>6249</v>
      </c>
      <c r="D2956" t="s">
        <v>1694</v>
      </c>
      <c r="F2956">
        <v>574429449</v>
      </c>
      <c r="G2956">
        <v>473819660</v>
      </c>
      <c r="H2956">
        <v>626563387</v>
      </c>
      <c r="I2956">
        <v>705637172</v>
      </c>
      <c r="J2956">
        <v>695022195</v>
      </c>
      <c r="K2956">
        <v>846376613</v>
      </c>
      <c r="L2956">
        <v>660716147</v>
      </c>
      <c r="M2956">
        <v>863512984</v>
      </c>
      <c r="N2956">
        <v>711050035</v>
      </c>
      <c r="O2956">
        <v>682237749</v>
      </c>
      <c r="P2956">
        <v>118</v>
      </c>
      <c r="Q2956" t="s">
        <v>6250</v>
      </c>
    </row>
    <row r="2957" spans="1:17" x14ac:dyDescent="0.3">
      <c r="A2957" t="s">
        <v>4729</v>
      </c>
      <c r="B2957" t="str">
        <f>"002230"</f>
        <v>002230</v>
      </c>
      <c r="C2957" t="s">
        <v>6251</v>
      </c>
      <c r="D2957" t="s">
        <v>1189</v>
      </c>
      <c r="F2957">
        <v>18313605606</v>
      </c>
      <c r="G2957">
        <v>13024657866</v>
      </c>
      <c r="H2957">
        <v>10078688920</v>
      </c>
      <c r="I2957">
        <v>7917221903</v>
      </c>
      <c r="J2957">
        <v>5444688147</v>
      </c>
      <c r="K2957">
        <v>3320476690</v>
      </c>
      <c r="L2957">
        <v>2500799130</v>
      </c>
      <c r="M2957">
        <v>1775210613</v>
      </c>
      <c r="N2957">
        <v>1253707751</v>
      </c>
      <c r="O2957">
        <v>783940684</v>
      </c>
      <c r="P2957">
        <v>3020</v>
      </c>
      <c r="Q2957" t="s">
        <v>6252</v>
      </c>
    </row>
    <row r="2958" spans="1:17" x14ac:dyDescent="0.3">
      <c r="A2958" t="s">
        <v>4729</v>
      </c>
      <c r="B2958" t="str">
        <f>"002231"</f>
        <v>002231</v>
      </c>
      <c r="C2958" t="s">
        <v>6253</v>
      </c>
      <c r="D2958" t="s">
        <v>1136</v>
      </c>
      <c r="F2958">
        <v>561392848</v>
      </c>
      <c r="G2958">
        <v>278501264</v>
      </c>
      <c r="H2958">
        <v>358811284</v>
      </c>
      <c r="I2958">
        <v>247528362</v>
      </c>
      <c r="J2958">
        <v>503368708</v>
      </c>
      <c r="K2958">
        <v>479468769</v>
      </c>
      <c r="L2958">
        <v>389801153</v>
      </c>
      <c r="M2958">
        <v>438495237</v>
      </c>
      <c r="N2958">
        <v>340956365</v>
      </c>
      <c r="O2958">
        <v>397791742</v>
      </c>
      <c r="P2958">
        <v>155</v>
      </c>
      <c r="Q2958" t="s">
        <v>6254</v>
      </c>
    </row>
    <row r="2959" spans="1:17" x14ac:dyDescent="0.3">
      <c r="A2959" t="s">
        <v>4729</v>
      </c>
      <c r="B2959" t="str">
        <f>"002232"</f>
        <v>002232</v>
      </c>
      <c r="C2959" t="s">
        <v>6255</v>
      </c>
      <c r="D2959" t="s">
        <v>316</v>
      </c>
      <c r="F2959">
        <v>1051192370</v>
      </c>
      <c r="G2959">
        <v>1551854245</v>
      </c>
      <c r="H2959">
        <v>1521389257</v>
      </c>
      <c r="I2959">
        <v>1588048662</v>
      </c>
      <c r="J2959">
        <v>1712208976</v>
      </c>
      <c r="K2959">
        <v>1269874504</v>
      </c>
      <c r="L2959">
        <v>1388992143</v>
      </c>
      <c r="M2959">
        <v>1387636618</v>
      </c>
      <c r="N2959">
        <v>1340409715</v>
      </c>
      <c r="O2959">
        <v>1387240444</v>
      </c>
      <c r="P2959">
        <v>247</v>
      </c>
      <c r="Q2959" t="s">
        <v>6256</v>
      </c>
    </row>
    <row r="2960" spans="1:17" x14ac:dyDescent="0.3">
      <c r="A2960" t="s">
        <v>4729</v>
      </c>
      <c r="B2960" t="str">
        <f>"002233"</f>
        <v>002233</v>
      </c>
      <c r="C2960" t="s">
        <v>6257</v>
      </c>
      <c r="D2960" t="s">
        <v>731</v>
      </c>
      <c r="F2960">
        <v>7713401720</v>
      </c>
      <c r="G2960">
        <v>7046663031</v>
      </c>
      <c r="H2960">
        <v>6890702383</v>
      </c>
      <c r="I2960">
        <v>6630342487</v>
      </c>
      <c r="J2960">
        <v>4564082544</v>
      </c>
      <c r="K2960">
        <v>3629166497</v>
      </c>
      <c r="L2960">
        <v>3833746837</v>
      </c>
      <c r="M2960">
        <v>4456688019</v>
      </c>
      <c r="N2960">
        <v>3816093616</v>
      </c>
      <c r="O2960">
        <v>3485979016</v>
      </c>
      <c r="P2960">
        <v>1388</v>
      </c>
      <c r="Q2960" t="s">
        <v>6258</v>
      </c>
    </row>
    <row r="2961" spans="1:17" x14ac:dyDescent="0.3">
      <c r="A2961" t="s">
        <v>4729</v>
      </c>
      <c r="B2961" t="str">
        <f>"002234"</f>
        <v>002234</v>
      </c>
      <c r="C2961" t="s">
        <v>6259</v>
      </c>
      <c r="D2961" t="s">
        <v>6260</v>
      </c>
      <c r="F2961">
        <v>1775432179</v>
      </c>
      <c r="G2961">
        <v>1681883981</v>
      </c>
      <c r="H2961">
        <v>3276052000</v>
      </c>
      <c r="I2961">
        <v>1817711386</v>
      </c>
      <c r="J2961">
        <v>1067502354</v>
      </c>
      <c r="K2961">
        <v>1408702921</v>
      </c>
      <c r="L2961">
        <v>900799702</v>
      </c>
      <c r="M2961">
        <v>1186417366</v>
      </c>
      <c r="N2961">
        <v>996313767</v>
      </c>
      <c r="O2961">
        <v>1191149389</v>
      </c>
      <c r="P2961">
        <v>577</v>
      </c>
      <c r="Q2961" t="s">
        <v>6261</v>
      </c>
    </row>
    <row r="2962" spans="1:17" x14ac:dyDescent="0.3">
      <c r="A2962" t="s">
        <v>4729</v>
      </c>
      <c r="B2962" t="str">
        <f>"002235"</f>
        <v>002235</v>
      </c>
      <c r="C2962" t="s">
        <v>6262</v>
      </c>
      <c r="D2962" t="s">
        <v>244</v>
      </c>
      <c r="F2962">
        <v>393751198</v>
      </c>
      <c r="G2962">
        <v>334772569</v>
      </c>
      <c r="H2962">
        <v>432752749</v>
      </c>
      <c r="I2962">
        <v>714872486</v>
      </c>
      <c r="J2962">
        <v>658420473</v>
      </c>
      <c r="K2962">
        <v>430550980</v>
      </c>
      <c r="L2962">
        <v>435683061</v>
      </c>
      <c r="M2962">
        <v>449624516</v>
      </c>
      <c r="N2962">
        <v>554407023</v>
      </c>
      <c r="O2962">
        <v>574947764</v>
      </c>
      <c r="P2962">
        <v>142</v>
      </c>
      <c r="Q2962" t="s">
        <v>6263</v>
      </c>
    </row>
    <row r="2963" spans="1:17" x14ac:dyDescent="0.3">
      <c r="A2963" t="s">
        <v>4729</v>
      </c>
      <c r="B2963" t="str">
        <f>"002236"</f>
        <v>002236</v>
      </c>
      <c r="C2963" t="s">
        <v>6264</v>
      </c>
      <c r="D2963" t="s">
        <v>2980</v>
      </c>
      <c r="F2963">
        <v>32835479337</v>
      </c>
      <c r="G2963">
        <v>26465968181</v>
      </c>
      <c r="H2963">
        <v>26149430652</v>
      </c>
      <c r="I2963">
        <v>23665688106</v>
      </c>
      <c r="J2963">
        <v>18844458054</v>
      </c>
      <c r="K2963">
        <v>13329094011</v>
      </c>
      <c r="L2963">
        <v>10077833438</v>
      </c>
      <c r="M2963">
        <v>7331881449</v>
      </c>
      <c r="N2963">
        <v>5410094043</v>
      </c>
      <c r="O2963">
        <v>3531214472</v>
      </c>
      <c r="P2963">
        <v>32899</v>
      </c>
      <c r="Q2963" t="s">
        <v>6265</v>
      </c>
    </row>
    <row r="2964" spans="1:17" x14ac:dyDescent="0.3">
      <c r="A2964" t="s">
        <v>4729</v>
      </c>
      <c r="B2964" t="str">
        <f>"002237"</f>
        <v>002237</v>
      </c>
      <c r="C2964" t="s">
        <v>6266</v>
      </c>
      <c r="D2964" t="s">
        <v>701</v>
      </c>
      <c r="F2964">
        <v>41382878467</v>
      </c>
      <c r="G2964">
        <v>36053110408</v>
      </c>
      <c r="H2964">
        <v>28536077559</v>
      </c>
      <c r="I2964">
        <v>21200957294</v>
      </c>
      <c r="J2964">
        <v>19523377855</v>
      </c>
      <c r="K2964">
        <v>16397424178</v>
      </c>
      <c r="L2964">
        <v>14144005975</v>
      </c>
      <c r="M2964">
        <v>15384933002</v>
      </c>
      <c r="N2964">
        <v>11842671701</v>
      </c>
      <c r="O2964">
        <v>10543831107</v>
      </c>
      <c r="P2964">
        <v>193</v>
      </c>
      <c r="Q2964" t="s">
        <v>6267</v>
      </c>
    </row>
    <row r="2965" spans="1:17" x14ac:dyDescent="0.3">
      <c r="A2965" t="s">
        <v>4729</v>
      </c>
      <c r="B2965" t="str">
        <f>"002238"</f>
        <v>002238</v>
      </c>
      <c r="C2965" t="s">
        <v>6268</v>
      </c>
      <c r="D2965" t="s">
        <v>95</v>
      </c>
      <c r="F2965">
        <v>1779478955</v>
      </c>
      <c r="G2965">
        <v>1743948620</v>
      </c>
      <c r="H2965">
        <v>1698613797</v>
      </c>
      <c r="I2965">
        <v>1560405515</v>
      </c>
      <c r="J2965">
        <v>1590888309</v>
      </c>
      <c r="K2965">
        <v>1687902572</v>
      </c>
      <c r="L2965">
        <v>1788768424</v>
      </c>
      <c r="M2965">
        <v>1315685094</v>
      </c>
      <c r="N2965">
        <v>929999896</v>
      </c>
      <c r="O2965">
        <v>899921627</v>
      </c>
      <c r="P2965">
        <v>205</v>
      </c>
      <c r="Q2965" t="s">
        <v>6269</v>
      </c>
    </row>
    <row r="2966" spans="1:17" x14ac:dyDescent="0.3">
      <c r="A2966" t="s">
        <v>4729</v>
      </c>
      <c r="B2966" t="str">
        <f>"002239"</f>
        <v>002239</v>
      </c>
      <c r="C2966" t="s">
        <v>6270</v>
      </c>
      <c r="D2966" t="s">
        <v>1415</v>
      </c>
      <c r="F2966">
        <v>5137401283</v>
      </c>
      <c r="G2966">
        <v>3726893595</v>
      </c>
      <c r="H2966">
        <v>3210648347</v>
      </c>
      <c r="I2966">
        <v>4090831026</v>
      </c>
      <c r="J2966">
        <v>5183966171</v>
      </c>
      <c r="K2966">
        <v>5229394579</v>
      </c>
      <c r="L2966">
        <v>2483559999</v>
      </c>
      <c r="M2966">
        <v>450001962</v>
      </c>
      <c r="N2966">
        <v>473414789</v>
      </c>
      <c r="O2966">
        <v>408144370</v>
      </c>
      <c r="P2966">
        <v>242</v>
      </c>
      <c r="Q2966" t="s">
        <v>6271</v>
      </c>
    </row>
    <row r="2967" spans="1:17" x14ac:dyDescent="0.3">
      <c r="A2967" t="s">
        <v>4729</v>
      </c>
      <c r="B2967" t="str">
        <f>"002240"</f>
        <v>002240</v>
      </c>
      <c r="C2967" t="s">
        <v>6272</v>
      </c>
      <c r="D2967" t="s">
        <v>5371</v>
      </c>
      <c r="F2967">
        <v>2934272468</v>
      </c>
      <c r="G2967">
        <v>1790515113</v>
      </c>
      <c r="H2967">
        <v>2278792185</v>
      </c>
      <c r="I2967">
        <v>2518270937</v>
      </c>
      <c r="J2967">
        <v>2018278279</v>
      </c>
      <c r="K2967">
        <v>1401565207</v>
      </c>
      <c r="L2967">
        <v>1439845954</v>
      </c>
      <c r="M2967">
        <v>1715452461</v>
      </c>
      <c r="N2967">
        <v>1778031622</v>
      </c>
      <c r="O2967">
        <v>1744004006</v>
      </c>
      <c r="P2967">
        <v>389</v>
      </c>
      <c r="Q2967" t="s">
        <v>6273</v>
      </c>
    </row>
    <row r="2968" spans="1:17" x14ac:dyDescent="0.3">
      <c r="A2968" t="s">
        <v>4729</v>
      </c>
      <c r="B2968" t="str">
        <f>"002241"</f>
        <v>002241</v>
      </c>
      <c r="C2968" t="s">
        <v>6274</v>
      </c>
      <c r="D2968" t="s">
        <v>313</v>
      </c>
      <c r="F2968">
        <v>78221418618</v>
      </c>
      <c r="G2968">
        <v>57742742894</v>
      </c>
      <c r="H2968">
        <v>35147806428</v>
      </c>
      <c r="I2968">
        <v>23750587785</v>
      </c>
      <c r="J2968">
        <v>25536730614</v>
      </c>
      <c r="K2968">
        <v>19287807650</v>
      </c>
      <c r="L2968">
        <v>13656025766</v>
      </c>
      <c r="M2968">
        <v>12698986013</v>
      </c>
      <c r="N2968">
        <v>10048818481</v>
      </c>
      <c r="O2968">
        <v>7253205091</v>
      </c>
      <c r="P2968">
        <v>3528</v>
      </c>
      <c r="Q2968" t="s">
        <v>6275</v>
      </c>
    </row>
    <row r="2969" spans="1:17" x14ac:dyDescent="0.3">
      <c r="A2969" t="s">
        <v>4729</v>
      </c>
      <c r="B2969" t="str">
        <f>"002242"</f>
        <v>002242</v>
      </c>
      <c r="C2969" t="s">
        <v>6276</v>
      </c>
      <c r="D2969" t="s">
        <v>5799</v>
      </c>
      <c r="F2969">
        <v>10540473926</v>
      </c>
      <c r="G2969">
        <v>11223747609</v>
      </c>
      <c r="H2969">
        <v>9351439510</v>
      </c>
      <c r="I2969">
        <v>8168708704</v>
      </c>
      <c r="J2969">
        <v>7247524856</v>
      </c>
      <c r="K2969">
        <v>7314804589</v>
      </c>
      <c r="L2969">
        <v>7060089115</v>
      </c>
      <c r="M2969">
        <v>5943513348</v>
      </c>
      <c r="N2969">
        <v>5328121624</v>
      </c>
      <c r="O2969">
        <v>4941836029</v>
      </c>
      <c r="P2969">
        <v>54901</v>
      </c>
      <c r="Q2969" t="s">
        <v>6277</v>
      </c>
    </row>
    <row r="2970" spans="1:17" x14ac:dyDescent="0.3">
      <c r="A2970" t="s">
        <v>4729</v>
      </c>
      <c r="B2970" t="str">
        <f>"002243"</f>
        <v>002243</v>
      </c>
      <c r="C2970" t="s">
        <v>6278</v>
      </c>
      <c r="D2970" t="s">
        <v>5979</v>
      </c>
      <c r="F2970">
        <v>3008548601</v>
      </c>
      <c r="G2970">
        <v>2183735611</v>
      </c>
      <c r="H2970">
        <v>2149514863</v>
      </c>
      <c r="I2970">
        <v>1369197074</v>
      </c>
      <c r="J2970">
        <v>1224372549</v>
      </c>
      <c r="K2970">
        <v>1056630138</v>
      </c>
      <c r="L2970">
        <v>1020972027</v>
      </c>
      <c r="M2970">
        <v>1062786963</v>
      </c>
      <c r="N2970">
        <v>1135602714</v>
      </c>
      <c r="O2970">
        <v>1056405619</v>
      </c>
      <c r="P2970">
        <v>155</v>
      </c>
      <c r="Q2970" t="s">
        <v>6279</v>
      </c>
    </row>
    <row r="2971" spans="1:17" x14ac:dyDescent="0.3">
      <c r="A2971" t="s">
        <v>4729</v>
      </c>
      <c r="B2971" t="str">
        <f>"002244"</f>
        <v>002244</v>
      </c>
      <c r="C2971" t="s">
        <v>6280</v>
      </c>
      <c r="D2971" t="s">
        <v>104</v>
      </c>
      <c r="F2971">
        <v>37976356467</v>
      </c>
      <c r="G2971">
        <v>28596799810</v>
      </c>
      <c r="H2971">
        <v>24954503285</v>
      </c>
      <c r="I2971">
        <v>21115474506</v>
      </c>
      <c r="J2971">
        <v>13773703966</v>
      </c>
      <c r="K2971">
        <v>19452245424</v>
      </c>
      <c r="L2971">
        <v>12617555197</v>
      </c>
      <c r="M2971">
        <v>11758569574</v>
      </c>
      <c r="N2971">
        <v>10381916409</v>
      </c>
      <c r="O2971">
        <v>6411123130</v>
      </c>
      <c r="P2971">
        <v>403</v>
      </c>
      <c r="Q2971" t="s">
        <v>6281</v>
      </c>
    </row>
    <row r="2972" spans="1:17" x14ac:dyDescent="0.3">
      <c r="A2972" t="s">
        <v>4729</v>
      </c>
      <c r="B2972" t="str">
        <f>"002245"</f>
        <v>002245</v>
      </c>
      <c r="C2972" t="s">
        <v>6282</v>
      </c>
      <c r="D2972" t="s">
        <v>359</v>
      </c>
      <c r="F2972">
        <v>6680492083</v>
      </c>
      <c r="G2972">
        <v>4233591480</v>
      </c>
      <c r="H2972">
        <v>3480634998</v>
      </c>
      <c r="I2972">
        <v>4255130591</v>
      </c>
      <c r="J2972">
        <v>3588421311</v>
      </c>
      <c r="K2972">
        <v>1925989364</v>
      </c>
      <c r="L2972">
        <v>1584381579</v>
      </c>
      <c r="M2972">
        <v>1517399947</v>
      </c>
      <c r="N2972">
        <v>1398527752</v>
      </c>
      <c r="O2972">
        <v>1661138440</v>
      </c>
      <c r="P2972">
        <v>377</v>
      </c>
      <c r="Q2972" t="s">
        <v>6283</v>
      </c>
    </row>
    <row r="2973" spans="1:17" x14ac:dyDescent="0.3">
      <c r="A2973" t="s">
        <v>4729</v>
      </c>
      <c r="B2973" t="str">
        <f>"002246"</f>
        <v>002246</v>
      </c>
      <c r="C2973" t="s">
        <v>6284</v>
      </c>
      <c r="D2973" t="s">
        <v>2736</v>
      </c>
      <c r="F2973">
        <v>2633493895</v>
      </c>
      <c r="G2973">
        <v>2358580627</v>
      </c>
      <c r="H2973">
        <v>2460835878</v>
      </c>
      <c r="I2973">
        <v>2363371941</v>
      </c>
      <c r="J2973">
        <v>2183355173</v>
      </c>
      <c r="K2973">
        <v>2193410746</v>
      </c>
      <c r="L2973">
        <v>1504869618</v>
      </c>
      <c r="M2973">
        <v>2036032842</v>
      </c>
      <c r="N2973">
        <v>2012662293</v>
      </c>
      <c r="O2973">
        <v>1547784034</v>
      </c>
      <c r="P2973">
        <v>117</v>
      </c>
      <c r="Q2973" t="s">
        <v>6285</v>
      </c>
    </row>
    <row r="2974" spans="1:17" x14ac:dyDescent="0.3">
      <c r="A2974" t="s">
        <v>4729</v>
      </c>
      <c r="B2974" t="str">
        <f>"002247"</f>
        <v>002247</v>
      </c>
      <c r="C2974" t="s">
        <v>6286</v>
      </c>
      <c r="D2974" t="s">
        <v>207</v>
      </c>
      <c r="F2974">
        <v>1164108036</v>
      </c>
      <c r="G2974">
        <v>997359078</v>
      </c>
      <c r="H2974">
        <v>2245986474</v>
      </c>
      <c r="I2974">
        <v>3492602192</v>
      </c>
      <c r="J2974">
        <v>2882176947</v>
      </c>
      <c r="K2974">
        <v>1650071195</v>
      </c>
      <c r="L2974">
        <v>895180773</v>
      </c>
      <c r="M2974">
        <v>867045593</v>
      </c>
      <c r="N2974">
        <v>749945427</v>
      </c>
      <c r="O2974">
        <v>617223210</v>
      </c>
      <c r="P2974">
        <v>90</v>
      </c>
      <c r="Q2974" t="s">
        <v>6287</v>
      </c>
    </row>
    <row r="2975" spans="1:17" x14ac:dyDescent="0.3">
      <c r="A2975" t="s">
        <v>4729</v>
      </c>
      <c r="B2975" t="str">
        <f>"002248"</f>
        <v>002248</v>
      </c>
      <c r="C2975" t="s">
        <v>6288</v>
      </c>
      <c r="D2975" t="s">
        <v>2321</v>
      </c>
      <c r="F2975">
        <v>315080797</v>
      </c>
      <c r="G2975">
        <v>210013903</v>
      </c>
      <c r="H2975">
        <v>161378299</v>
      </c>
      <c r="I2975">
        <v>83084148</v>
      </c>
      <c r="J2975">
        <v>110912990</v>
      </c>
      <c r="K2975">
        <v>167701814</v>
      </c>
      <c r="L2975">
        <v>230428719</v>
      </c>
      <c r="M2975">
        <v>345499734</v>
      </c>
      <c r="N2975">
        <v>335799588</v>
      </c>
      <c r="O2975">
        <v>372988301</v>
      </c>
      <c r="P2975">
        <v>109</v>
      </c>
      <c r="Q2975" t="s">
        <v>6289</v>
      </c>
    </row>
    <row r="2976" spans="1:17" x14ac:dyDescent="0.3">
      <c r="A2976" t="s">
        <v>4729</v>
      </c>
      <c r="B2976" t="str">
        <f>"002249"</f>
        <v>002249</v>
      </c>
      <c r="C2976" t="s">
        <v>6290</v>
      </c>
      <c r="D2976" t="s">
        <v>1171</v>
      </c>
      <c r="F2976">
        <v>10017287286</v>
      </c>
      <c r="G2976">
        <v>7776465602</v>
      </c>
      <c r="H2976">
        <v>8145952952</v>
      </c>
      <c r="I2976">
        <v>8637575703</v>
      </c>
      <c r="J2976">
        <v>8605286500</v>
      </c>
      <c r="K2976">
        <v>6805205222</v>
      </c>
      <c r="L2976">
        <v>4912229877</v>
      </c>
      <c r="M2976">
        <v>4443313455</v>
      </c>
      <c r="N2976">
        <v>3273123793</v>
      </c>
      <c r="O2976">
        <v>2769825349</v>
      </c>
      <c r="P2976">
        <v>340</v>
      </c>
      <c r="Q2976" t="s">
        <v>6291</v>
      </c>
    </row>
    <row r="2977" spans="1:17" x14ac:dyDescent="0.3">
      <c r="A2977" t="s">
        <v>4729</v>
      </c>
      <c r="B2977" t="str">
        <f>"002250"</f>
        <v>002250</v>
      </c>
      <c r="C2977" t="s">
        <v>6292</v>
      </c>
      <c r="D2977" t="s">
        <v>853</v>
      </c>
      <c r="F2977">
        <v>6586780685</v>
      </c>
      <c r="G2977">
        <v>4781798713</v>
      </c>
      <c r="H2977">
        <v>4283784463</v>
      </c>
      <c r="I2977">
        <v>4114127881</v>
      </c>
      <c r="J2977">
        <v>4107388629</v>
      </c>
      <c r="K2977">
        <v>3099309743</v>
      </c>
      <c r="L2977">
        <v>4007786872</v>
      </c>
      <c r="M2977">
        <v>3990266099</v>
      </c>
      <c r="N2977">
        <v>3368351413</v>
      </c>
      <c r="O2977">
        <v>2955361791</v>
      </c>
      <c r="P2977">
        <v>348</v>
      </c>
      <c r="Q2977" t="s">
        <v>6293</v>
      </c>
    </row>
    <row r="2978" spans="1:17" x14ac:dyDescent="0.3">
      <c r="A2978" t="s">
        <v>4729</v>
      </c>
      <c r="B2978" t="str">
        <f>"002251"</f>
        <v>002251</v>
      </c>
      <c r="C2978" t="s">
        <v>6294</v>
      </c>
      <c r="D2978" t="s">
        <v>798</v>
      </c>
      <c r="F2978">
        <v>13255975851</v>
      </c>
      <c r="G2978">
        <v>15637575754</v>
      </c>
      <c r="H2978">
        <v>19661390349</v>
      </c>
      <c r="I2978">
        <v>18397871069</v>
      </c>
      <c r="J2978">
        <v>17250410197</v>
      </c>
      <c r="K2978">
        <v>15470401199</v>
      </c>
      <c r="L2978">
        <v>15451608970</v>
      </c>
      <c r="M2978">
        <v>12296788272</v>
      </c>
      <c r="N2978">
        <v>11387894647</v>
      </c>
      <c r="O2978">
        <v>10005654563</v>
      </c>
      <c r="P2978">
        <v>196</v>
      </c>
      <c r="Q2978" t="s">
        <v>6295</v>
      </c>
    </row>
    <row r="2979" spans="1:17" x14ac:dyDescent="0.3">
      <c r="A2979" t="s">
        <v>4729</v>
      </c>
      <c r="B2979" t="str">
        <f>"002252"</f>
        <v>002252</v>
      </c>
      <c r="C2979" t="s">
        <v>6296</v>
      </c>
      <c r="D2979" t="s">
        <v>378</v>
      </c>
      <c r="F2979">
        <v>4287726750</v>
      </c>
      <c r="G2979">
        <v>2761682036</v>
      </c>
      <c r="H2979">
        <v>2584983982</v>
      </c>
      <c r="I2979">
        <v>1804235400</v>
      </c>
      <c r="J2979">
        <v>1927748425</v>
      </c>
      <c r="K2979">
        <v>2326250349</v>
      </c>
      <c r="L2979">
        <v>2013321629</v>
      </c>
      <c r="M2979">
        <v>1319735230</v>
      </c>
      <c r="N2979">
        <v>496359558</v>
      </c>
      <c r="O2979">
        <v>662676898</v>
      </c>
      <c r="P2979">
        <v>602</v>
      </c>
      <c r="Q2979" t="s">
        <v>6297</v>
      </c>
    </row>
    <row r="2980" spans="1:17" x14ac:dyDescent="0.3">
      <c r="A2980" t="s">
        <v>4729</v>
      </c>
      <c r="B2980" t="str">
        <f>"002253"</f>
        <v>002253</v>
      </c>
      <c r="C2980" t="s">
        <v>6298</v>
      </c>
      <c r="D2980" t="s">
        <v>945</v>
      </c>
      <c r="F2980">
        <v>301351646</v>
      </c>
      <c r="G2980">
        <v>357347106</v>
      </c>
      <c r="H2980">
        <v>342509092</v>
      </c>
      <c r="I2980">
        <v>339799067</v>
      </c>
      <c r="J2980">
        <v>266548058</v>
      </c>
      <c r="K2980">
        <v>315945848</v>
      </c>
      <c r="L2980">
        <v>261239778</v>
      </c>
      <c r="M2980">
        <v>220959676</v>
      </c>
      <c r="N2980">
        <v>256574984</v>
      </c>
      <c r="O2980">
        <v>203445527</v>
      </c>
      <c r="P2980">
        <v>151</v>
      </c>
      <c r="Q2980" t="s">
        <v>6299</v>
      </c>
    </row>
    <row r="2981" spans="1:17" x14ac:dyDescent="0.3">
      <c r="A2981" t="s">
        <v>4729</v>
      </c>
      <c r="B2981" t="str">
        <f>"002254"</f>
        <v>002254</v>
      </c>
      <c r="C2981" t="s">
        <v>6300</v>
      </c>
      <c r="D2981" t="s">
        <v>5631</v>
      </c>
      <c r="F2981">
        <v>4404012462</v>
      </c>
      <c r="G2981">
        <v>2441165340</v>
      </c>
      <c r="H2981">
        <v>2541965046</v>
      </c>
      <c r="I2981">
        <v>2172478781</v>
      </c>
      <c r="J2981">
        <v>1554900973</v>
      </c>
      <c r="K2981">
        <v>1580806475</v>
      </c>
      <c r="L2981">
        <v>1598481261</v>
      </c>
      <c r="M2981">
        <v>1776045032</v>
      </c>
      <c r="N2981">
        <v>1770052460</v>
      </c>
      <c r="O2981">
        <v>1530793935</v>
      </c>
      <c r="P2981">
        <v>215</v>
      </c>
      <c r="Q2981" t="s">
        <v>6301</v>
      </c>
    </row>
    <row r="2982" spans="1:17" x14ac:dyDescent="0.3">
      <c r="A2982" t="s">
        <v>4729</v>
      </c>
      <c r="B2982" t="str">
        <f>"002255"</f>
        <v>002255</v>
      </c>
      <c r="C2982" t="s">
        <v>6302</v>
      </c>
      <c r="D2982" t="s">
        <v>470</v>
      </c>
      <c r="F2982">
        <v>2532790959</v>
      </c>
      <c r="G2982">
        <v>2025109934</v>
      </c>
      <c r="H2982">
        <v>2059678676</v>
      </c>
      <c r="I2982">
        <v>1950903082</v>
      </c>
      <c r="J2982">
        <v>1171553611</v>
      </c>
      <c r="K2982">
        <v>1065508630</v>
      </c>
      <c r="L2982">
        <v>1498813792</v>
      </c>
      <c r="M2982">
        <v>1404153163</v>
      </c>
      <c r="N2982">
        <v>1481028650</v>
      </c>
      <c r="O2982">
        <v>1402749727</v>
      </c>
      <c r="P2982">
        <v>107</v>
      </c>
      <c r="Q2982" t="s">
        <v>6303</v>
      </c>
    </row>
    <row r="2983" spans="1:17" x14ac:dyDescent="0.3">
      <c r="A2983" t="s">
        <v>4729</v>
      </c>
      <c r="B2983" t="str">
        <f>"002256"</f>
        <v>002256</v>
      </c>
      <c r="C2983" t="s">
        <v>6304</v>
      </c>
      <c r="D2983" t="s">
        <v>86</v>
      </c>
      <c r="F2983">
        <v>339869917</v>
      </c>
      <c r="G2983">
        <v>414477237</v>
      </c>
      <c r="H2983">
        <v>431282903</v>
      </c>
      <c r="I2983">
        <v>603628903</v>
      </c>
      <c r="J2983">
        <v>646897719</v>
      </c>
      <c r="K2983">
        <v>636100474</v>
      </c>
      <c r="L2983">
        <v>506255341</v>
      </c>
      <c r="M2983">
        <v>528028725</v>
      </c>
      <c r="N2983">
        <v>589275846</v>
      </c>
      <c r="O2983">
        <v>476770388</v>
      </c>
      <c r="P2983">
        <v>151</v>
      </c>
      <c r="Q2983" t="s">
        <v>6305</v>
      </c>
    </row>
    <row r="2984" spans="1:17" x14ac:dyDescent="0.3">
      <c r="A2984" t="s">
        <v>4729</v>
      </c>
      <c r="B2984" t="str">
        <f>"002258"</f>
        <v>002258</v>
      </c>
      <c r="C2984" t="s">
        <v>6306</v>
      </c>
      <c r="D2984" t="s">
        <v>853</v>
      </c>
      <c r="F2984">
        <v>6494251256</v>
      </c>
      <c r="G2984">
        <v>4968747824</v>
      </c>
      <c r="H2984">
        <v>4163842124</v>
      </c>
      <c r="I2984">
        <v>4027069340</v>
      </c>
      <c r="J2984">
        <v>3083547892</v>
      </c>
      <c r="K2984">
        <v>1982302599</v>
      </c>
      <c r="L2984">
        <v>1489071485</v>
      </c>
      <c r="M2984">
        <v>1317389551</v>
      </c>
      <c r="N2984">
        <v>1440423047</v>
      </c>
      <c r="O2984">
        <v>1278092628</v>
      </c>
      <c r="P2984">
        <v>646</v>
      </c>
      <c r="Q2984" t="s">
        <v>6307</v>
      </c>
    </row>
    <row r="2985" spans="1:17" x14ac:dyDescent="0.3">
      <c r="A2985" t="s">
        <v>4729</v>
      </c>
      <c r="B2985" t="str">
        <f>"002259"</f>
        <v>002259</v>
      </c>
      <c r="C2985" t="s">
        <v>6308</v>
      </c>
      <c r="D2985" t="s">
        <v>749</v>
      </c>
      <c r="F2985">
        <v>1512280933</v>
      </c>
      <c r="G2985">
        <v>958500758</v>
      </c>
      <c r="H2985">
        <v>1106281900</v>
      </c>
      <c r="I2985">
        <v>960246764</v>
      </c>
      <c r="J2985">
        <v>1177742767</v>
      </c>
      <c r="K2985">
        <v>1555401033</v>
      </c>
      <c r="L2985">
        <v>656885252</v>
      </c>
      <c r="M2985">
        <v>747813261</v>
      </c>
      <c r="N2985">
        <v>715309026</v>
      </c>
      <c r="O2985">
        <v>792316521</v>
      </c>
      <c r="P2985">
        <v>59</v>
      </c>
      <c r="Q2985" t="s">
        <v>6309</v>
      </c>
    </row>
    <row r="2986" spans="1:17" x14ac:dyDescent="0.3">
      <c r="A2986" t="s">
        <v>4729</v>
      </c>
      <c r="B2986" t="str">
        <f>"002260"</f>
        <v>002260</v>
      </c>
      <c r="C2986" t="s">
        <v>6310</v>
      </c>
      <c r="D2986" t="s">
        <v>5799</v>
      </c>
      <c r="F2986">
        <v>615166982</v>
      </c>
      <c r="G2986">
        <v>502699200</v>
      </c>
      <c r="H2986">
        <v>467769887</v>
      </c>
      <c r="I2986">
        <v>718582947</v>
      </c>
      <c r="J2986">
        <v>760681817</v>
      </c>
      <c r="K2986">
        <v>717211958</v>
      </c>
      <c r="L2986">
        <v>654425779</v>
      </c>
      <c r="M2986">
        <v>691044808</v>
      </c>
      <c r="N2986">
        <v>680330608</v>
      </c>
      <c r="O2986">
        <v>640729852</v>
      </c>
      <c r="P2986">
        <v>57</v>
      </c>
      <c r="Q2986" t="s">
        <v>6311</v>
      </c>
    </row>
    <row r="2987" spans="1:17" x14ac:dyDescent="0.3">
      <c r="A2987" t="s">
        <v>4729</v>
      </c>
      <c r="B2987" t="str">
        <f>"002261"</f>
        <v>002261</v>
      </c>
      <c r="C2987" t="s">
        <v>6312</v>
      </c>
      <c r="D2987" t="s">
        <v>1285</v>
      </c>
      <c r="F2987">
        <v>2230300619</v>
      </c>
      <c r="G2987">
        <v>1488585182</v>
      </c>
      <c r="H2987">
        <v>1239736356</v>
      </c>
      <c r="I2987">
        <v>1184999985</v>
      </c>
      <c r="J2987">
        <v>1118818941</v>
      </c>
      <c r="K2987">
        <v>1028491254</v>
      </c>
      <c r="L2987">
        <v>768672197</v>
      </c>
      <c r="M2987">
        <v>657852463</v>
      </c>
      <c r="N2987">
        <v>559485553</v>
      </c>
      <c r="O2987">
        <v>432796463</v>
      </c>
      <c r="P2987">
        <v>299</v>
      </c>
      <c r="Q2987" t="s">
        <v>6313</v>
      </c>
    </row>
    <row r="2988" spans="1:17" x14ac:dyDescent="0.3">
      <c r="A2988" t="s">
        <v>4729</v>
      </c>
      <c r="B2988" t="str">
        <f>"002262"</f>
        <v>002262</v>
      </c>
      <c r="C2988" t="s">
        <v>6314</v>
      </c>
      <c r="D2988" t="s">
        <v>143</v>
      </c>
      <c r="F2988">
        <v>3935664220</v>
      </c>
      <c r="G2988">
        <v>3361303473</v>
      </c>
      <c r="H2988">
        <v>4149312426</v>
      </c>
      <c r="I2988">
        <v>3858168591</v>
      </c>
      <c r="J2988">
        <v>3393676956</v>
      </c>
      <c r="K2988">
        <v>3017785760</v>
      </c>
      <c r="L2988">
        <v>2766567623</v>
      </c>
      <c r="M2988">
        <v>2501358750</v>
      </c>
      <c r="N2988">
        <v>2236077015</v>
      </c>
      <c r="O2988">
        <v>1982496394</v>
      </c>
      <c r="P2988">
        <v>51361</v>
      </c>
      <c r="Q2988" t="s">
        <v>6315</v>
      </c>
    </row>
    <row r="2989" spans="1:17" x14ac:dyDescent="0.3">
      <c r="A2989" t="s">
        <v>4729</v>
      </c>
      <c r="B2989" t="str">
        <f>"002263"</f>
        <v>002263</v>
      </c>
      <c r="C2989" t="s">
        <v>6316</v>
      </c>
      <c r="D2989" t="s">
        <v>324</v>
      </c>
      <c r="F2989">
        <v>1673681589</v>
      </c>
      <c r="G2989">
        <v>1509076837</v>
      </c>
      <c r="H2989">
        <v>1645715456</v>
      </c>
      <c r="I2989">
        <v>1468329829</v>
      </c>
      <c r="J2989">
        <v>1048515722</v>
      </c>
      <c r="K2989">
        <v>950665629</v>
      </c>
      <c r="L2989">
        <v>898147012</v>
      </c>
      <c r="M2989">
        <v>917867410</v>
      </c>
      <c r="N2989">
        <v>744101757</v>
      </c>
      <c r="O2989">
        <v>808697661</v>
      </c>
      <c r="P2989">
        <v>126</v>
      </c>
      <c r="Q2989" t="s">
        <v>6317</v>
      </c>
    </row>
    <row r="2990" spans="1:17" x14ac:dyDescent="0.3">
      <c r="A2990" t="s">
        <v>4729</v>
      </c>
      <c r="B2990" t="str">
        <f>"002264"</f>
        <v>002264</v>
      </c>
      <c r="C2990" t="s">
        <v>6318</v>
      </c>
      <c r="D2990" t="s">
        <v>798</v>
      </c>
      <c r="F2990">
        <v>5032128155</v>
      </c>
      <c r="G2990">
        <v>5191220010</v>
      </c>
      <c r="H2990">
        <v>6005518989</v>
      </c>
      <c r="I2990">
        <v>6850013703</v>
      </c>
      <c r="J2990">
        <v>6972538774</v>
      </c>
      <c r="K2990">
        <v>6709549178</v>
      </c>
      <c r="L2990">
        <v>6488166719</v>
      </c>
      <c r="M2990">
        <v>7017563193</v>
      </c>
      <c r="N2990">
        <v>7380186259</v>
      </c>
      <c r="O2990">
        <v>6662464127</v>
      </c>
      <c r="P2990">
        <v>96</v>
      </c>
      <c r="Q2990" t="s">
        <v>6319</v>
      </c>
    </row>
    <row r="2991" spans="1:17" x14ac:dyDescent="0.3">
      <c r="A2991" t="s">
        <v>4729</v>
      </c>
      <c r="B2991" t="str">
        <f>"002265"</f>
        <v>002265</v>
      </c>
      <c r="C2991" t="s">
        <v>6320</v>
      </c>
      <c r="D2991" t="s">
        <v>348</v>
      </c>
      <c r="F2991">
        <v>784474602</v>
      </c>
      <c r="G2991">
        <v>639082821</v>
      </c>
      <c r="H2991">
        <v>746793328</v>
      </c>
      <c r="I2991">
        <v>766790404</v>
      </c>
      <c r="J2991">
        <v>904138828</v>
      </c>
      <c r="K2991">
        <v>525960704</v>
      </c>
      <c r="L2991">
        <v>459782820</v>
      </c>
      <c r="M2991">
        <v>467843996</v>
      </c>
      <c r="N2991">
        <v>367433113</v>
      </c>
      <c r="O2991">
        <v>340228869</v>
      </c>
      <c r="P2991">
        <v>86</v>
      </c>
      <c r="Q2991" t="s">
        <v>6321</v>
      </c>
    </row>
    <row r="2992" spans="1:17" x14ac:dyDescent="0.3">
      <c r="A2992" t="s">
        <v>4729</v>
      </c>
      <c r="B2992" t="str">
        <f>"002266"</f>
        <v>002266</v>
      </c>
      <c r="C2992" t="s">
        <v>6322</v>
      </c>
      <c r="D2992" t="s">
        <v>499</v>
      </c>
      <c r="F2992">
        <v>14135008245</v>
      </c>
      <c r="G2992">
        <v>8343351967</v>
      </c>
      <c r="H2992">
        <v>1083454203</v>
      </c>
      <c r="I2992">
        <v>1103642382</v>
      </c>
      <c r="J2992">
        <v>1095925832</v>
      </c>
      <c r="K2992">
        <v>1122143270</v>
      </c>
      <c r="L2992">
        <v>707468020</v>
      </c>
      <c r="M2992">
        <v>686015248</v>
      </c>
      <c r="N2992">
        <v>796151250</v>
      </c>
      <c r="O2992">
        <v>925191526</v>
      </c>
      <c r="P2992">
        <v>297</v>
      </c>
      <c r="Q2992" t="s">
        <v>6323</v>
      </c>
    </row>
    <row r="2993" spans="1:17" x14ac:dyDescent="0.3">
      <c r="A2993" t="s">
        <v>4729</v>
      </c>
      <c r="B2993" t="str">
        <f>"002267"</f>
        <v>002267</v>
      </c>
      <c r="C2993" t="s">
        <v>6324</v>
      </c>
      <c r="D2993" t="s">
        <v>749</v>
      </c>
      <c r="F2993">
        <v>7562633312</v>
      </c>
      <c r="G2993">
        <v>8195788686</v>
      </c>
      <c r="H2993">
        <v>9582081344</v>
      </c>
      <c r="I2993">
        <v>8992964357</v>
      </c>
      <c r="J2993">
        <v>7633222229</v>
      </c>
      <c r="K2993">
        <v>7186791289</v>
      </c>
      <c r="L2993">
        <v>6787809154</v>
      </c>
      <c r="M2993">
        <v>5322458853</v>
      </c>
      <c r="N2993">
        <v>4058085963</v>
      </c>
      <c r="O2993">
        <v>3803173224</v>
      </c>
      <c r="P2993">
        <v>200</v>
      </c>
      <c r="Q2993" t="s">
        <v>6325</v>
      </c>
    </row>
    <row r="2994" spans="1:17" x14ac:dyDescent="0.3">
      <c r="A2994" t="s">
        <v>4729</v>
      </c>
      <c r="B2994" t="str">
        <f>"002268"</f>
        <v>002268</v>
      </c>
      <c r="C2994" t="s">
        <v>6326</v>
      </c>
      <c r="D2994" t="s">
        <v>236</v>
      </c>
      <c r="F2994">
        <v>2788967985</v>
      </c>
      <c r="G2994">
        <v>2383704942</v>
      </c>
      <c r="H2994">
        <v>2103759988</v>
      </c>
      <c r="I2994">
        <v>1930998381</v>
      </c>
      <c r="J2994">
        <v>2137114976</v>
      </c>
      <c r="K2994">
        <v>1798901758</v>
      </c>
      <c r="L2994">
        <v>1603123809</v>
      </c>
      <c r="M2994">
        <v>1236497478</v>
      </c>
      <c r="N2994">
        <v>457514024</v>
      </c>
      <c r="O2994">
        <v>317429706</v>
      </c>
      <c r="P2994">
        <v>525</v>
      </c>
      <c r="Q2994" t="s">
        <v>6327</v>
      </c>
    </row>
    <row r="2995" spans="1:17" x14ac:dyDescent="0.3">
      <c r="A2995" t="s">
        <v>4729</v>
      </c>
      <c r="B2995" t="str">
        <f>"002269"</f>
        <v>002269</v>
      </c>
      <c r="C2995" t="s">
        <v>6328</v>
      </c>
      <c r="D2995" t="s">
        <v>255</v>
      </c>
      <c r="F2995">
        <v>2638678728</v>
      </c>
      <c r="G2995">
        <v>3819038468</v>
      </c>
      <c r="H2995">
        <v>5463291977</v>
      </c>
      <c r="I2995">
        <v>7677369050</v>
      </c>
      <c r="J2995">
        <v>6472359205</v>
      </c>
      <c r="K2995">
        <v>6519192145</v>
      </c>
      <c r="L2995">
        <v>6294783764</v>
      </c>
      <c r="M2995">
        <v>6620767477</v>
      </c>
      <c r="N2995">
        <v>7889618084</v>
      </c>
      <c r="O2995">
        <v>9509550614</v>
      </c>
      <c r="P2995">
        <v>143</v>
      </c>
      <c r="Q2995" t="s">
        <v>6329</v>
      </c>
    </row>
    <row r="2996" spans="1:17" x14ac:dyDescent="0.3">
      <c r="A2996" t="s">
        <v>4729</v>
      </c>
      <c r="B2996" t="str">
        <f>"002270"</f>
        <v>002270</v>
      </c>
      <c r="C2996" t="s">
        <v>6330</v>
      </c>
      <c r="D2996" t="s">
        <v>210</v>
      </c>
      <c r="F2996">
        <v>1532380376</v>
      </c>
      <c r="G2996">
        <v>1368241878</v>
      </c>
      <c r="H2996">
        <v>1202519592</v>
      </c>
      <c r="I2996">
        <v>1159474685</v>
      </c>
      <c r="J2996">
        <v>1808779366</v>
      </c>
      <c r="K2996">
        <v>1036717895</v>
      </c>
      <c r="L2996">
        <v>602919766</v>
      </c>
      <c r="M2996">
        <v>300616854</v>
      </c>
      <c r="N2996">
        <v>366418750</v>
      </c>
      <c r="O2996">
        <v>306574860</v>
      </c>
      <c r="P2996">
        <v>160</v>
      </c>
      <c r="Q2996" t="s">
        <v>6331</v>
      </c>
    </row>
    <row r="2997" spans="1:17" x14ac:dyDescent="0.3">
      <c r="A2997" t="s">
        <v>4729</v>
      </c>
      <c r="B2997" t="str">
        <f>"002271"</f>
        <v>002271</v>
      </c>
      <c r="C2997" t="s">
        <v>6332</v>
      </c>
      <c r="D2997" t="s">
        <v>6333</v>
      </c>
      <c r="F2997">
        <v>31934201005</v>
      </c>
      <c r="G2997">
        <v>21730373039</v>
      </c>
      <c r="H2997">
        <v>18154344171</v>
      </c>
      <c r="I2997">
        <v>14045708251</v>
      </c>
      <c r="J2997">
        <v>10292965441</v>
      </c>
      <c r="K2997">
        <v>7000232779</v>
      </c>
      <c r="L2997">
        <v>5303990442</v>
      </c>
      <c r="M2997">
        <v>5005923673</v>
      </c>
      <c r="N2997">
        <v>3902626866</v>
      </c>
      <c r="O2997">
        <v>2978570323</v>
      </c>
      <c r="P2997">
        <v>22867</v>
      </c>
      <c r="Q2997" t="s">
        <v>6334</v>
      </c>
    </row>
    <row r="2998" spans="1:17" x14ac:dyDescent="0.3">
      <c r="A2998" t="s">
        <v>4729</v>
      </c>
      <c r="B2998" t="str">
        <f>"002272"</f>
        <v>002272</v>
      </c>
      <c r="C2998" t="s">
        <v>6335</v>
      </c>
      <c r="D2998" t="s">
        <v>2007</v>
      </c>
      <c r="F2998">
        <v>1531416191</v>
      </c>
      <c r="G2998">
        <v>1273221878</v>
      </c>
      <c r="H2998">
        <v>877067103</v>
      </c>
      <c r="I2998">
        <v>659404116</v>
      </c>
      <c r="J2998">
        <v>604728401</v>
      </c>
      <c r="K2998">
        <v>609611923</v>
      </c>
      <c r="L2998">
        <v>789293897</v>
      </c>
      <c r="M2998">
        <v>844880009</v>
      </c>
      <c r="N2998">
        <v>814631099</v>
      </c>
      <c r="O2998">
        <v>707746144</v>
      </c>
      <c r="P2998">
        <v>107</v>
      </c>
      <c r="Q2998" t="s">
        <v>6336</v>
      </c>
    </row>
    <row r="2999" spans="1:17" x14ac:dyDescent="0.3">
      <c r="A2999" t="s">
        <v>4729</v>
      </c>
      <c r="B2999" t="str">
        <f>"002273"</f>
        <v>002273</v>
      </c>
      <c r="C2999" t="s">
        <v>6337</v>
      </c>
      <c r="D2999" t="s">
        <v>164</v>
      </c>
      <c r="F2999">
        <v>3809382068</v>
      </c>
      <c r="G2999">
        <v>3223426440</v>
      </c>
      <c r="H2999">
        <v>2999838168</v>
      </c>
      <c r="I2999">
        <v>2325790589</v>
      </c>
      <c r="J2999">
        <v>2145786034</v>
      </c>
      <c r="K2999">
        <v>1680193310</v>
      </c>
      <c r="L2999">
        <v>1181557801</v>
      </c>
      <c r="M2999">
        <v>977221822</v>
      </c>
      <c r="N2999">
        <v>626379006</v>
      </c>
      <c r="O2999">
        <v>592492628</v>
      </c>
      <c r="P2999">
        <v>949</v>
      </c>
      <c r="Q2999" t="s">
        <v>6338</v>
      </c>
    </row>
    <row r="3000" spans="1:17" x14ac:dyDescent="0.3">
      <c r="A3000" t="s">
        <v>4729</v>
      </c>
      <c r="B3000" t="str">
        <f>"002274"</f>
        <v>002274</v>
      </c>
      <c r="C3000" t="s">
        <v>6339</v>
      </c>
      <c r="D3000" t="s">
        <v>5562</v>
      </c>
      <c r="F3000">
        <v>9413327789</v>
      </c>
      <c r="G3000">
        <v>6099322689</v>
      </c>
      <c r="H3000">
        <v>6314574629</v>
      </c>
      <c r="I3000">
        <v>5806171818</v>
      </c>
      <c r="J3000">
        <v>5318909978</v>
      </c>
      <c r="K3000">
        <v>4019396252</v>
      </c>
      <c r="L3000">
        <v>4035301986</v>
      </c>
      <c r="M3000">
        <v>4239581164</v>
      </c>
      <c r="N3000">
        <v>4242955010</v>
      </c>
      <c r="O3000">
        <v>3981070714</v>
      </c>
      <c r="P3000">
        <v>219</v>
      </c>
      <c r="Q3000" t="s">
        <v>6340</v>
      </c>
    </row>
    <row r="3001" spans="1:17" x14ac:dyDescent="0.3">
      <c r="A3001" t="s">
        <v>4729</v>
      </c>
      <c r="B3001" t="str">
        <f>"002275"</f>
        <v>002275</v>
      </c>
      <c r="C3001" t="s">
        <v>6341</v>
      </c>
      <c r="D3001" t="s">
        <v>188</v>
      </c>
      <c r="F3001">
        <v>1741224553</v>
      </c>
      <c r="G3001">
        <v>1566484673</v>
      </c>
      <c r="H3001">
        <v>1640423731</v>
      </c>
      <c r="I3001">
        <v>1584673432</v>
      </c>
      <c r="J3001">
        <v>1616016188</v>
      </c>
      <c r="K3001">
        <v>1525223996</v>
      </c>
      <c r="L3001">
        <v>1371821207</v>
      </c>
      <c r="M3001">
        <v>1466351773</v>
      </c>
      <c r="N3001">
        <v>1452636241</v>
      </c>
      <c r="O3001">
        <v>1311546641</v>
      </c>
      <c r="P3001">
        <v>11980</v>
      </c>
      <c r="Q3001" t="s">
        <v>6342</v>
      </c>
    </row>
    <row r="3002" spans="1:17" x14ac:dyDescent="0.3">
      <c r="A3002" t="s">
        <v>4729</v>
      </c>
      <c r="B3002" t="str">
        <f>"002276"</f>
        <v>002276</v>
      </c>
      <c r="C3002" t="s">
        <v>6343</v>
      </c>
      <c r="D3002" t="s">
        <v>1164</v>
      </c>
      <c r="F3002">
        <v>12767477331</v>
      </c>
      <c r="G3002">
        <v>9321789269</v>
      </c>
      <c r="H3002">
        <v>9745408784</v>
      </c>
      <c r="I3002">
        <v>8739834606</v>
      </c>
      <c r="J3002">
        <v>7408734020</v>
      </c>
      <c r="K3002">
        <v>6379646046</v>
      </c>
      <c r="L3002">
        <v>6847147641</v>
      </c>
      <c r="M3002">
        <v>5846950238</v>
      </c>
      <c r="N3002">
        <v>4855629559</v>
      </c>
      <c r="O3002">
        <v>3850942716</v>
      </c>
      <c r="P3002">
        <v>254</v>
      </c>
      <c r="Q3002" t="s">
        <v>6344</v>
      </c>
    </row>
    <row r="3003" spans="1:17" x14ac:dyDescent="0.3">
      <c r="A3003" t="s">
        <v>4729</v>
      </c>
      <c r="B3003" t="str">
        <f>"002277"</f>
        <v>002277</v>
      </c>
      <c r="C3003" t="s">
        <v>6345</v>
      </c>
      <c r="D3003" t="s">
        <v>633</v>
      </c>
      <c r="F3003">
        <v>2566177349</v>
      </c>
      <c r="G3003">
        <v>2313359560</v>
      </c>
      <c r="H3003">
        <v>6248432516</v>
      </c>
      <c r="I3003">
        <v>7218250181</v>
      </c>
      <c r="J3003">
        <v>7256564912</v>
      </c>
      <c r="K3003">
        <v>6227534095</v>
      </c>
      <c r="L3003">
        <v>6179618555</v>
      </c>
      <c r="M3003">
        <v>5951608987</v>
      </c>
      <c r="N3003">
        <v>5985846624</v>
      </c>
      <c r="O3003">
        <v>5716586380</v>
      </c>
      <c r="P3003">
        <v>145</v>
      </c>
      <c r="Q3003" t="s">
        <v>6346</v>
      </c>
    </row>
    <row r="3004" spans="1:17" x14ac:dyDescent="0.3">
      <c r="A3004" t="s">
        <v>4729</v>
      </c>
      <c r="B3004" t="str">
        <f>"002278"</f>
        <v>002278</v>
      </c>
      <c r="C3004" t="s">
        <v>6347</v>
      </c>
      <c r="D3004" t="s">
        <v>395</v>
      </c>
      <c r="F3004">
        <v>775428801</v>
      </c>
      <c r="G3004">
        <v>726160599</v>
      </c>
      <c r="H3004">
        <v>785239502</v>
      </c>
      <c r="I3004">
        <v>702069599</v>
      </c>
      <c r="J3004">
        <v>518389423</v>
      </c>
      <c r="K3004">
        <v>416038608</v>
      </c>
      <c r="L3004">
        <v>613843586</v>
      </c>
      <c r="M3004">
        <v>671386803</v>
      </c>
      <c r="N3004">
        <v>764665101</v>
      </c>
      <c r="O3004">
        <v>749878726</v>
      </c>
      <c r="P3004">
        <v>57</v>
      </c>
      <c r="Q3004" t="s">
        <v>6348</v>
      </c>
    </row>
    <row r="3005" spans="1:17" x14ac:dyDescent="0.3">
      <c r="A3005" t="s">
        <v>4729</v>
      </c>
      <c r="B3005" t="str">
        <f>"002279"</f>
        <v>002279</v>
      </c>
      <c r="C3005" t="s">
        <v>6349</v>
      </c>
      <c r="D3005" t="s">
        <v>1189</v>
      </c>
      <c r="F3005">
        <v>2708605612</v>
      </c>
      <c r="G3005">
        <v>2821408719</v>
      </c>
      <c r="H3005">
        <v>3101650196</v>
      </c>
      <c r="I3005">
        <v>2720235569</v>
      </c>
      <c r="J3005">
        <v>1992176981</v>
      </c>
      <c r="K3005">
        <v>1320802031</v>
      </c>
      <c r="L3005">
        <v>716679346</v>
      </c>
      <c r="M3005">
        <v>326678547</v>
      </c>
      <c r="N3005">
        <v>289545451</v>
      </c>
      <c r="O3005">
        <v>247321193</v>
      </c>
      <c r="P3005">
        <v>323</v>
      </c>
      <c r="Q3005" t="s">
        <v>6350</v>
      </c>
    </row>
    <row r="3006" spans="1:17" x14ac:dyDescent="0.3">
      <c r="A3006" t="s">
        <v>4729</v>
      </c>
      <c r="B3006" t="str">
        <f>"002280"</f>
        <v>002280</v>
      </c>
      <c r="C3006" t="s">
        <v>6351</v>
      </c>
      <c r="D3006" t="s">
        <v>2020</v>
      </c>
      <c r="F3006">
        <v>16548701108</v>
      </c>
      <c r="G3006">
        <v>16155575161</v>
      </c>
      <c r="H3006">
        <v>12468258488</v>
      </c>
      <c r="I3006">
        <v>13989142420</v>
      </c>
      <c r="J3006">
        <v>12345021111</v>
      </c>
      <c r="K3006">
        <v>1201212662</v>
      </c>
      <c r="L3006">
        <v>676355297</v>
      </c>
      <c r="M3006">
        <v>322499271</v>
      </c>
      <c r="N3006">
        <v>215805316</v>
      </c>
      <c r="O3006">
        <v>254819501</v>
      </c>
      <c r="P3006">
        <v>179</v>
      </c>
      <c r="Q3006" t="s">
        <v>6352</v>
      </c>
    </row>
    <row r="3007" spans="1:17" x14ac:dyDescent="0.3">
      <c r="A3007" t="s">
        <v>4729</v>
      </c>
      <c r="B3007" t="str">
        <f>"002281"</f>
        <v>002281</v>
      </c>
      <c r="C3007" t="s">
        <v>6353</v>
      </c>
      <c r="D3007" t="s">
        <v>1019</v>
      </c>
      <c r="F3007">
        <v>6486301556</v>
      </c>
      <c r="G3007">
        <v>6046017104</v>
      </c>
      <c r="H3007">
        <v>5337915721</v>
      </c>
      <c r="I3007">
        <v>4929049262</v>
      </c>
      <c r="J3007">
        <v>4553066951</v>
      </c>
      <c r="K3007">
        <v>4059214646</v>
      </c>
      <c r="L3007">
        <v>3139978743</v>
      </c>
      <c r="M3007">
        <v>2433052628</v>
      </c>
      <c r="N3007">
        <v>2132697179</v>
      </c>
      <c r="O3007">
        <v>2103662919</v>
      </c>
      <c r="P3007">
        <v>894</v>
      </c>
      <c r="Q3007" t="s">
        <v>6354</v>
      </c>
    </row>
    <row r="3008" spans="1:17" x14ac:dyDescent="0.3">
      <c r="A3008" t="s">
        <v>4729</v>
      </c>
      <c r="B3008" t="str">
        <f>"002282"</f>
        <v>002282</v>
      </c>
      <c r="C3008" t="s">
        <v>6355</v>
      </c>
      <c r="D3008" t="s">
        <v>404</v>
      </c>
      <c r="F3008">
        <v>1583424920</v>
      </c>
      <c r="G3008">
        <v>1292337966</v>
      </c>
      <c r="H3008">
        <v>1168217077</v>
      </c>
      <c r="I3008">
        <v>1054038648</v>
      </c>
      <c r="J3008">
        <v>592010244</v>
      </c>
      <c r="K3008">
        <v>429968077</v>
      </c>
      <c r="L3008">
        <v>434384400</v>
      </c>
      <c r="M3008">
        <v>548458143</v>
      </c>
      <c r="N3008">
        <v>566047540</v>
      </c>
      <c r="O3008">
        <v>541229946</v>
      </c>
      <c r="P3008">
        <v>97</v>
      </c>
      <c r="Q3008" t="s">
        <v>6356</v>
      </c>
    </row>
    <row r="3009" spans="1:17" x14ac:dyDescent="0.3">
      <c r="A3009" t="s">
        <v>4729</v>
      </c>
      <c r="B3009" t="str">
        <f>"002283"</f>
        <v>002283</v>
      </c>
      <c r="C3009" t="s">
        <v>6357</v>
      </c>
      <c r="D3009" t="s">
        <v>348</v>
      </c>
      <c r="F3009">
        <v>4720678519</v>
      </c>
      <c r="G3009">
        <v>4428408581</v>
      </c>
      <c r="H3009">
        <v>3602563484</v>
      </c>
      <c r="I3009">
        <v>3405354746</v>
      </c>
      <c r="J3009">
        <v>3021430813</v>
      </c>
      <c r="K3009">
        <v>1821508334</v>
      </c>
      <c r="L3009">
        <v>1689835022</v>
      </c>
      <c r="M3009">
        <v>1619505086</v>
      </c>
      <c r="N3009">
        <v>1569858792</v>
      </c>
      <c r="O3009">
        <v>1068768690</v>
      </c>
      <c r="P3009">
        <v>202</v>
      </c>
      <c r="Q3009" t="s">
        <v>6358</v>
      </c>
    </row>
    <row r="3010" spans="1:17" x14ac:dyDescent="0.3">
      <c r="A3010" t="s">
        <v>4729</v>
      </c>
      <c r="B3010" t="str">
        <f>"002284"</f>
        <v>002284</v>
      </c>
      <c r="C3010" t="s">
        <v>6359</v>
      </c>
      <c r="D3010" t="s">
        <v>348</v>
      </c>
      <c r="F3010">
        <v>3630605188</v>
      </c>
      <c r="G3010">
        <v>2921021472</v>
      </c>
      <c r="H3010">
        <v>3183487798</v>
      </c>
      <c r="I3010">
        <v>3904486255</v>
      </c>
      <c r="J3010">
        <v>3963560685</v>
      </c>
      <c r="K3010">
        <v>3418958268</v>
      </c>
      <c r="L3010">
        <v>3059478501</v>
      </c>
      <c r="M3010">
        <v>3278878218</v>
      </c>
      <c r="N3010">
        <v>2718596726</v>
      </c>
      <c r="O3010">
        <v>2107445991</v>
      </c>
      <c r="P3010">
        <v>197</v>
      </c>
      <c r="Q3010" t="s">
        <v>6360</v>
      </c>
    </row>
    <row r="3011" spans="1:17" x14ac:dyDescent="0.3">
      <c r="A3011" t="s">
        <v>4729</v>
      </c>
      <c r="B3011" t="str">
        <f>"002285"</f>
        <v>002285</v>
      </c>
      <c r="C3011" t="s">
        <v>6361</v>
      </c>
      <c r="D3011" t="s">
        <v>5051</v>
      </c>
      <c r="F3011">
        <v>6082507921</v>
      </c>
      <c r="G3011">
        <v>6722698398</v>
      </c>
      <c r="H3011">
        <v>6649851992</v>
      </c>
      <c r="I3011">
        <v>7533638446</v>
      </c>
      <c r="J3011">
        <v>8211546959</v>
      </c>
      <c r="K3011">
        <v>6269921275</v>
      </c>
      <c r="L3011">
        <v>4710553212</v>
      </c>
      <c r="M3011">
        <v>3308170630</v>
      </c>
      <c r="N3011">
        <v>2563027901</v>
      </c>
      <c r="O3011">
        <v>1878031708</v>
      </c>
      <c r="P3011">
        <v>477</v>
      </c>
      <c r="Q3011" t="s">
        <v>6362</v>
      </c>
    </row>
    <row r="3012" spans="1:17" x14ac:dyDescent="0.3">
      <c r="A3012" t="s">
        <v>4729</v>
      </c>
      <c r="B3012" t="str">
        <f>"002286"</f>
        <v>002286</v>
      </c>
      <c r="C3012" t="s">
        <v>6363</v>
      </c>
      <c r="D3012" t="s">
        <v>445</v>
      </c>
      <c r="F3012">
        <v>2764976973</v>
      </c>
      <c r="G3012">
        <v>2054578268</v>
      </c>
      <c r="H3012">
        <v>1805170075</v>
      </c>
      <c r="I3012">
        <v>1730012458</v>
      </c>
      <c r="J3012">
        <v>1592996189</v>
      </c>
      <c r="K3012">
        <v>1377424259</v>
      </c>
      <c r="L3012">
        <v>1196281697</v>
      </c>
      <c r="M3012">
        <v>910710322</v>
      </c>
      <c r="N3012">
        <v>900769115</v>
      </c>
      <c r="O3012">
        <v>978027984</v>
      </c>
      <c r="P3012">
        <v>179</v>
      </c>
      <c r="Q3012" t="s">
        <v>6364</v>
      </c>
    </row>
    <row r="3013" spans="1:17" x14ac:dyDescent="0.3">
      <c r="A3013" t="s">
        <v>4729</v>
      </c>
      <c r="B3013" t="str">
        <f>"002287"</f>
        <v>002287</v>
      </c>
      <c r="C3013" t="s">
        <v>6365</v>
      </c>
      <c r="D3013" t="s">
        <v>188</v>
      </c>
      <c r="F3013">
        <v>1770485990</v>
      </c>
      <c r="G3013">
        <v>1476213804</v>
      </c>
      <c r="H3013">
        <v>1402676904</v>
      </c>
      <c r="I3013">
        <v>1213209065</v>
      </c>
      <c r="J3013">
        <v>1053150899</v>
      </c>
      <c r="K3013">
        <v>968353944</v>
      </c>
      <c r="L3013">
        <v>994727830</v>
      </c>
      <c r="M3013">
        <v>950105636</v>
      </c>
      <c r="N3013">
        <v>969466771</v>
      </c>
      <c r="O3013">
        <v>934274709</v>
      </c>
      <c r="P3013">
        <v>13304</v>
      </c>
      <c r="Q3013" t="s">
        <v>6366</v>
      </c>
    </row>
    <row r="3014" spans="1:17" x14ac:dyDescent="0.3">
      <c r="A3014" t="s">
        <v>4729</v>
      </c>
      <c r="B3014" t="str">
        <f>"002288"</f>
        <v>002288</v>
      </c>
      <c r="C3014" t="s">
        <v>6367</v>
      </c>
      <c r="D3014" t="s">
        <v>425</v>
      </c>
      <c r="F3014">
        <v>2472378304</v>
      </c>
      <c r="G3014">
        <v>1277778378</v>
      </c>
      <c r="H3014">
        <v>1321304306</v>
      </c>
      <c r="I3014">
        <v>1393429072</v>
      </c>
      <c r="J3014">
        <v>1438602276</v>
      </c>
      <c r="K3014">
        <v>1035279445</v>
      </c>
      <c r="L3014">
        <v>1047767155</v>
      </c>
      <c r="M3014">
        <v>1198912282</v>
      </c>
      <c r="N3014">
        <v>929573917</v>
      </c>
      <c r="O3014">
        <v>692856552</v>
      </c>
      <c r="P3014">
        <v>176</v>
      </c>
      <c r="Q3014" t="s">
        <v>6368</v>
      </c>
    </row>
    <row r="3015" spans="1:17" x14ac:dyDescent="0.3">
      <c r="A3015" t="s">
        <v>4729</v>
      </c>
      <c r="B3015" t="str">
        <f>"002289"</f>
        <v>002289</v>
      </c>
      <c r="C3015" t="s">
        <v>6369</v>
      </c>
      <c r="D3015" t="s">
        <v>1117</v>
      </c>
      <c r="F3015">
        <v>183859667</v>
      </c>
      <c r="G3015">
        <v>139420849</v>
      </c>
      <c r="H3015">
        <v>204480296</v>
      </c>
      <c r="I3015">
        <v>324317943</v>
      </c>
      <c r="J3015">
        <v>400884702</v>
      </c>
      <c r="K3015">
        <v>1301227666</v>
      </c>
      <c r="L3015">
        <v>3380316298</v>
      </c>
      <c r="M3015">
        <v>2750032731</v>
      </c>
      <c r="N3015">
        <v>1444044594</v>
      </c>
      <c r="O3015">
        <v>1007141126</v>
      </c>
      <c r="P3015">
        <v>70</v>
      </c>
      <c r="Q3015" t="s">
        <v>6370</v>
      </c>
    </row>
    <row r="3016" spans="1:17" x14ac:dyDescent="0.3">
      <c r="A3016" t="s">
        <v>4729</v>
      </c>
      <c r="B3016" t="str">
        <f>"002290"</f>
        <v>002290</v>
      </c>
      <c r="C3016" t="s">
        <v>6371</v>
      </c>
      <c r="D3016" t="s">
        <v>1253</v>
      </c>
      <c r="F3016">
        <v>2268832966</v>
      </c>
      <c r="G3016">
        <v>1822307287</v>
      </c>
      <c r="H3016">
        <v>1726050720</v>
      </c>
      <c r="I3016">
        <v>1734274870</v>
      </c>
      <c r="J3016">
        <v>1431589639</v>
      </c>
      <c r="K3016">
        <v>1050316406</v>
      </c>
      <c r="L3016">
        <v>1082339894</v>
      </c>
      <c r="M3016">
        <v>1184858085</v>
      </c>
      <c r="N3016">
        <v>1089651848</v>
      </c>
      <c r="O3016">
        <v>1146865029</v>
      </c>
      <c r="P3016">
        <v>80</v>
      </c>
      <c r="Q3016" t="s">
        <v>6372</v>
      </c>
    </row>
    <row r="3017" spans="1:17" x14ac:dyDescent="0.3">
      <c r="A3017" t="s">
        <v>4729</v>
      </c>
      <c r="B3017" t="str">
        <f>"002291"</f>
        <v>002291</v>
      </c>
      <c r="C3017" t="s">
        <v>6373</v>
      </c>
      <c r="D3017" t="s">
        <v>207</v>
      </c>
      <c r="F3017">
        <v>2811191864</v>
      </c>
      <c r="G3017">
        <v>2150943768</v>
      </c>
      <c r="H3017">
        <v>2070341170</v>
      </c>
      <c r="I3017">
        <v>1511720610</v>
      </c>
      <c r="J3017">
        <v>1503548567</v>
      </c>
      <c r="K3017">
        <v>1484265342</v>
      </c>
      <c r="L3017">
        <v>1642125054</v>
      </c>
      <c r="M3017">
        <v>1758150490</v>
      </c>
      <c r="N3017">
        <v>1844386078</v>
      </c>
      <c r="O3017">
        <v>1569325400</v>
      </c>
      <c r="P3017">
        <v>172</v>
      </c>
      <c r="Q3017" t="s">
        <v>6374</v>
      </c>
    </row>
    <row r="3018" spans="1:17" x14ac:dyDescent="0.3">
      <c r="A3018" t="s">
        <v>4729</v>
      </c>
      <c r="B3018" t="str">
        <f>"002292"</f>
        <v>002292</v>
      </c>
      <c r="C3018" t="s">
        <v>6375</v>
      </c>
      <c r="D3018" t="s">
        <v>113</v>
      </c>
      <c r="F3018">
        <v>2644316753</v>
      </c>
      <c r="G3018">
        <v>2368198964</v>
      </c>
      <c r="H3018">
        <v>2726920352</v>
      </c>
      <c r="I3018">
        <v>2839790072</v>
      </c>
      <c r="J3018">
        <v>3642464105</v>
      </c>
      <c r="K3018">
        <v>3360668383</v>
      </c>
      <c r="L3018">
        <v>2589170846</v>
      </c>
      <c r="M3018">
        <v>2429673167</v>
      </c>
      <c r="N3018">
        <v>1553010630</v>
      </c>
      <c r="O3018">
        <v>1291164910</v>
      </c>
      <c r="P3018">
        <v>291</v>
      </c>
      <c r="Q3018" t="s">
        <v>6376</v>
      </c>
    </row>
    <row r="3019" spans="1:17" x14ac:dyDescent="0.3">
      <c r="A3019" t="s">
        <v>4729</v>
      </c>
      <c r="B3019" t="str">
        <f>"002293"</f>
        <v>002293</v>
      </c>
      <c r="C3019" t="s">
        <v>6377</v>
      </c>
      <c r="D3019" t="s">
        <v>2889</v>
      </c>
      <c r="F3019">
        <v>5760006728</v>
      </c>
      <c r="G3019">
        <v>4910643990</v>
      </c>
      <c r="H3019">
        <v>4860195895</v>
      </c>
      <c r="I3019">
        <v>4812808574</v>
      </c>
      <c r="J3019">
        <v>4661850866</v>
      </c>
      <c r="K3019">
        <v>3152216442</v>
      </c>
      <c r="L3019">
        <v>2915633892</v>
      </c>
      <c r="M3019">
        <v>2761400574</v>
      </c>
      <c r="N3019">
        <v>2524209416</v>
      </c>
      <c r="O3019">
        <v>2724953861</v>
      </c>
      <c r="P3019">
        <v>4959</v>
      </c>
      <c r="Q3019" t="s">
        <v>6378</v>
      </c>
    </row>
    <row r="3020" spans="1:17" x14ac:dyDescent="0.3">
      <c r="A3020" t="s">
        <v>4729</v>
      </c>
      <c r="B3020" t="str">
        <f>"002294"</f>
        <v>002294</v>
      </c>
      <c r="C3020" t="s">
        <v>6379</v>
      </c>
      <c r="D3020" t="s">
        <v>143</v>
      </c>
      <c r="F3020">
        <v>3058392041</v>
      </c>
      <c r="G3020">
        <v>2738562296</v>
      </c>
      <c r="H3020">
        <v>4470465981</v>
      </c>
      <c r="I3020">
        <v>4651876199</v>
      </c>
      <c r="J3020">
        <v>4153776609</v>
      </c>
      <c r="K3020">
        <v>3833490224</v>
      </c>
      <c r="L3020">
        <v>3477692868</v>
      </c>
      <c r="M3020">
        <v>2882644604</v>
      </c>
      <c r="N3020">
        <v>2327483506</v>
      </c>
      <c r="O3020">
        <v>1828881533</v>
      </c>
      <c r="P3020">
        <v>25590</v>
      </c>
      <c r="Q3020" t="s">
        <v>6380</v>
      </c>
    </row>
    <row r="3021" spans="1:17" x14ac:dyDescent="0.3">
      <c r="A3021" t="s">
        <v>4729</v>
      </c>
      <c r="B3021" t="str">
        <f>"002295"</f>
        <v>002295</v>
      </c>
      <c r="C3021" t="s">
        <v>6381</v>
      </c>
      <c r="D3021" t="s">
        <v>263</v>
      </c>
      <c r="F3021">
        <v>6715535791</v>
      </c>
      <c r="G3021">
        <v>5432264257</v>
      </c>
      <c r="H3021">
        <v>5125596178</v>
      </c>
      <c r="I3021">
        <v>5757561169</v>
      </c>
      <c r="J3021">
        <v>5451501747</v>
      </c>
      <c r="K3021">
        <v>3889102053</v>
      </c>
      <c r="L3021">
        <v>3079018833</v>
      </c>
      <c r="M3021">
        <v>2359644900</v>
      </c>
      <c r="N3021">
        <v>2627184461</v>
      </c>
      <c r="O3021">
        <v>2216806633</v>
      </c>
      <c r="P3021">
        <v>56</v>
      </c>
      <c r="Q3021" t="s">
        <v>6382</v>
      </c>
    </row>
    <row r="3022" spans="1:17" x14ac:dyDescent="0.3">
      <c r="A3022" t="s">
        <v>4729</v>
      </c>
      <c r="B3022" t="str">
        <f>"002296"</f>
        <v>002296</v>
      </c>
      <c r="C3022" t="s">
        <v>6383</v>
      </c>
      <c r="D3022" t="s">
        <v>1019</v>
      </c>
      <c r="F3022">
        <v>737168053</v>
      </c>
      <c r="G3022">
        <v>637661580</v>
      </c>
      <c r="H3022">
        <v>504408910</v>
      </c>
      <c r="I3022">
        <v>528708205</v>
      </c>
      <c r="J3022">
        <v>546892513</v>
      </c>
      <c r="K3022">
        <v>514609101</v>
      </c>
      <c r="L3022">
        <v>566026915</v>
      </c>
      <c r="M3022">
        <v>525623757</v>
      </c>
      <c r="N3022">
        <v>387553676</v>
      </c>
      <c r="O3022">
        <v>293990052</v>
      </c>
      <c r="P3022">
        <v>160</v>
      </c>
      <c r="Q3022" t="s">
        <v>6384</v>
      </c>
    </row>
    <row r="3023" spans="1:17" x14ac:dyDescent="0.3">
      <c r="A3023" t="s">
        <v>4729</v>
      </c>
      <c r="B3023" t="str">
        <f>"002297"</f>
        <v>002297</v>
      </c>
      <c r="C3023" t="s">
        <v>6385</v>
      </c>
      <c r="D3023" t="s">
        <v>98</v>
      </c>
      <c r="F3023">
        <v>478536682</v>
      </c>
      <c r="G3023">
        <v>345119304</v>
      </c>
      <c r="H3023">
        <v>349412936</v>
      </c>
      <c r="I3023">
        <v>509392796</v>
      </c>
      <c r="J3023">
        <v>544703596</v>
      </c>
      <c r="K3023">
        <v>515093144</v>
      </c>
      <c r="L3023">
        <v>319429297</v>
      </c>
      <c r="M3023">
        <v>380247815</v>
      </c>
      <c r="N3023">
        <v>367085539</v>
      </c>
      <c r="O3023">
        <v>308614297</v>
      </c>
      <c r="P3023">
        <v>100</v>
      </c>
      <c r="Q3023" t="s">
        <v>6386</v>
      </c>
    </row>
    <row r="3024" spans="1:17" x14ac:dyDescent="0.3">
      <c r="A3024" t="s">
        <v>4729</v>
      </c>
      <c r="B3024" t="str">
        <f>"002298"</f>
        <v>002298</v>
      </c>
      <c r="C3024" t="s">
        <v>6387</v>
      </c>
      <c r="D3024" t="s">
        <v>945</v>
      </c>
      <c r="F3024">
        <v>2770611555</v>
      </c>
      <c r="G3024">
        <v>2766337844</v>
      </c>
      <c r="H3024">
        <v>2755676412</v>
      </c>
      <c r="I3024">
        <v>2455958521</v>
      </c>
      <c r="J3024">
        <v>2025570084</v>
      </c>
      <c r="K3024">
        <v>1671111700</v>
      </c>
      <c r="L3024">
        <v>872705875</v>
      </c>
      <c r="M3024">
        <v>809408930</v>
      </c>
      <c r="N3024">
        <v>905195459</v>
      </c>
      <c r="O3024">
        <v>944045899</v>
      </c>
      <c r="P3024">
        <v>181</v>
      </c>
      <c r="Q3024" t="s">
        <v>6388</v>
      </c>
    </row>
    <row r="3025" spans="1:17" x14ac:dyDescent="0.3">
      <c r="A3025" t="s">
        <v>4729</v>
      </c>
      <c r="B3025" t="str">
        <f>"002299"</f>
        <v>002299</v>
      </c>
      <c r="C3025" t="s">
        <v>6389</v>
      </c>
      <c r="D3025" t="s">
        <v>6260</v>
      </c>
      <c r="F3025">
        <v>14478196536</v>
      </c>
      <c r="G3025">
        <v>13744599499</v>
      </c>
      <c r="H3025">
        <v>14558436762</v>
      </c>
      <c r="I3025">
        <v>11547228732</v>
      </c>
      <c r="J3025">
        <v>10158794866</v>
      </c>
      <c r="K3025">
        <v>8340420528</v>
      </c>
      <c r="L3025">
        <v>6939825279</v>
      </c>
      <c r="M3025">
        <v>6436059894</v>
      </c>
      <c r="N3025">
        <v>4708227702</v>
      </c>
      <c r="O3025">
        <v>4099300059</v>
      </c>
      <c r="P3025">
        <v>1371</v>
      </c>
      <c r="Q3025" t="s">
        <v>6390</v>
      </c>
    </row>
    <row r="3026" spans="1:17" x14ac:dyDescent="0.3">
      <c r="A3026" t="s">
        <v>4729</v>
      </c>
      <c r="B3026" t="str">
        <f>"002300"</f>
        <v>002300</v>
      </c>
      <c r="C3026" t="s">
        <v>6391</v>
      </c>
      <c r="D3026" t="s">
        <v>1164</v>
      </c>
      <c r="F3026">
        <v>11224746836</v>
      </c>
      <c r="G3026">
        <v>7941460114</v>
      </c>
      <c r="H3026">
        <v>6974865051</v>
      </c>
      <c r="I3026">
        <v>5104612067</v>
      </c>
      <c r="J3026">
        <v>4094644606</v>
      </c>
      <c r="K3026">
        <v>3479301279</v>
      </c>
      <c r="L3026">
        <v>3603373823</v>
      </c>
      <c r="M3026">
        <v>3353542538</v>
      </c>
      <c r="N3026">
        <v>3359907270</v>
      </c>
      <c r="O3026">
        <v>3785998190</v>
      </c>
      <c r="P3026">
        <v>125</v>
      </c>
      <c r="Q3026" t="s">
        <v>6392</v>
      </c>
    </row>
    <row r="3027" spans="1:17" x14ac:dyDescent="0.3">
      <c r="A3027" t="s">
        <v>4729</v>
      </c>
      <c r="B3027" t="str">
        <f>"002301"</f>
        <v>002301</v>
      </c>
      <c r="C3027" t="s">
        <v>6393</v>
      </c>
      <c r="D3027" t="s">
        <v>3410</v>
      </c>
      <c r="F3027">
        <v>8236344892</v>
      </c>
      <c r="G3027">
        <v>8009327564</v>
      </c>
      <c r="H3027">
        <v>5981269560</v>
      </c>
      <c r="I3027">
        <v>4241242113</v>
      </c>
      <c r="J3027">
        <v>3181639488</v>
      </c>
      <c r="K3027">
        <v>2864963207</v>
      </c>
      <c r="L3027">
        <v>1581896641</v>
      </c>
      <c r="M3027">
        <v>1632753412</v>
      </c>
      <c r="N3027">
        <v>1677618827</v>
      </c>
      <c r="O3027">
        <v>1463512750</v>
      </c>
      <c r="P3027">
        <v>202</v>
      </c>
      <c r="Q3027" t="s">
        <v>6394</v>
      </c>
    </row>
    <row r="3028" spans="1:17" x14ac:dyDescent="0.3">
      <c r="A3028" t="s">
        <v>4729</v>
      </c>
      <c r="B3028" t="str">
        <f>"002302"</f>
        <v>002302</v>
      </c>
      <c r="C3028" t="s">
        <v>6395</v>
      </c>
      <c r="D3028" t="s">
        <v>3098</v>
      </c>
      <c r="F3028">
        <v>26926362356</v>
      </c>
      <c r="G3028">
        <v>23423095659</v>
      </c>
      <c r="H3028">
        <v>22896385055</v>
      </c>
      <c r="I3028">
        <v>18848862401</v>
      </c>
      <c r="J3028">
        <v>14919781195</v>
      </c>
      <c r="K3028">
        <v>11529494543</v>
      </c>
      <c r="L3028">
        <v>10294929193</v>
      </c>
      <c r="M3028">
        <v>10211040496</v>
      </c>
      <c r="N3028">
        <v>8614318766</v>
      </c>
      <c r="O3028">
        <v>2118775883</v>
      </c>
      <c r="P3028">
        <v>201</v>
      </c>
      <c r="Q3028" t="s">
        <v>6396</v>
      </c>
    </row>
    <row r="3029" spans="1:17" x14ac:dyDescent="0.3">
      <c r="A3029" t="s">
        <v>4729</v>
      </c>
      <c r="B3029" t="str">
        <f>"002303"</f>
        <v>002303</v>
      </c>
      <c r="C3029" t="s">
        <v>6397</v>
      </c>
      <c r="D3029" t="s">
        <v>2165</v>
      </c>
      <c r="F3029">
        <v>3605170216</v>
      </c>
      <c r="G3029">
        <v>3365262053</v>
      </c>
      <c r="H3029">
        <v>3392132632</v>
      </c>
      <c r="I3029">
        <v>3248945549</v>
      </c>
      <c r="J3029">
        <v>2857419303</v>
      </c>
      <c r="K3029">
        <v>2219276357</v>
      </c>
      <c r="L3029">
        <v>2016422891</v>
      </c>
      <c r="M3029">
        <v>1563222282</v>
      </c>
      <c r="N3029">
        <v>1305636965</v>
      </c>
      <c r="O3029">
        <v>1033500560</v>
      </c>
      <c r="P3029">
        <v>224</v>
      </c>
      <c r="Q3029" t="s">
        <v>6398</v>
      </c>
    </row>
    <row r="3030" spans="1:17" x14ac:dyDescent="0.3">
      <c r="A3030" t="s">
        <v>4729</v>
      </c>
      <c r="B3030" t="str">
        <f>"002304"</f>
        <v>002304</v>
      </c>
      <c r="C3030" t="s">
        <v>6399</v>
      </c>
      <c r="D3030" t="s">
        <v>458</v>
      </c>
      <c r="F3030">
        <v>25350178204</v>
      </c>
      <c r="G3030">
        <v>21101051132</v>
      </c>
      <c r="H3030">
        <v>23126476885</v>
      </c>
      <c r="I3030">
        <v>24159801995</v>
      </c>
      <c r="J3030">
        <v>19917942238</v>
      </c>
      <c r="K3030">
        <v>17183109620</v>
      </c>
      <c r="L3030">
        <v>16052444099</v>
      </c>
      <c r="M3030">
        <v>14672214730</v>
      </c>
      <c r="N3030">
        <v>15023624945</v>
      </c>
      <c r="O3030">
        <v>17270481273</v>
      </c>
      <c r="P3030">
        <v>52718</v>
      </c>
      <c r="Q3030" t="s">
        <v>6400</v>
      </c>
    </row>
    <row r="3031" spans="1:17" x14ac:dyDescent="0.3">
      <c r="A3031" t="s">
        <v>4729</v>
      </c>
      <c r="B3031" t="str">
        <f>"002305"</f>
        <v>002305</v>
      </c>
      <c r="C3031" t="s">
        <v>6401</v>
      </c>
      <c r="D3031" t="s">
        <v>30</v>
      </c>
      <c r="F3031">
        <v>3273257726</v>
      </c>
      <c r="G3031">
        <v>4024939608</v>
      </c>
      <c r="H3031">
        <v>6368677185</v>
      </c>
      <c r="I3031">
        <v>4030943830</v>
      </c>
      <c r="J3031">
        <v>3166120490</v>
      </c>
      <c r="K3031">
        <v>2899068589</v>
      </c>
      <c r="L3031">
        <v>3050881883</v>
      </c>
      <c r="M3031">
        <v>2647233521</v>
      </c>
      <c r="N3031">
        <v>1655401764</v>
      </c>
      <c r="O3031">
        <v>2208993164</v>
      </c>
      <c r="P3031">
        <v>107</v>
      </c>
      <c r="Q3031" t="s">
        <v>6402</v>
      </c>
    </row>
    <row r="3032" spans="1:17" x14ac:dyDescent="0.3">
      <c r="A3032" t="s">
        <v>4729</v>
      </c>
      <c r="B3032" t="str">
        <f>"002306"</f>
        <v>002306</v>
      </c>
      <c r="C3032" t="s">
        <v>6403</v>
      </c>
      <c r="D3032" t="s">
        <v>3598</v>
      </c>
      <c r="F3032">
        <v>317172143</v>
      </c>
      <c r="G3032">
        <v>272041122</v>
      </c>
      <c r="H3032">
        <v>93083737</v>
      </c>
      <c r="I3032">
        <v>81650744</v>
      </c>
      <c r="J3032">
        <v>96686958</v>
      </c>
      <c r="K3032">
        <v>100285684</v>
      </c>
      <c r="L3032">
        <v>376635855</v>
      </c>
      <c r="M3032">
        <v>621205756</v>
      </c>
      <c r="N3032">
        <v>802128171</v>
      </c>
      <c r="O3032">
        <v>1363972429</v>
      </c>
      <c r="P3032">
        <v>68</v>
      </c>
      <c r="Q3032" t="s">
        <v>6404</v>
      </c>
    </row>
    <row r="3033" spans="1:17" x14ac:dyDescent="0.3">
      <c r="A3033" t="s">
        <v>4729</v>
      </c>
      <c r="B3033" t="str">
        <f>"002307"</f>
        <v>002307</v>
      </c>
      <c r="C3033" t="s">
        <v>6405</v>
      </c>
      <c r="D3033" t="s">
        <v>101</v>
      </c>
      <c r="F3033">
        <v>12320489855</v>
      </c>
      <c r="G3033">
        <v>11885785185</v>
      </c>
      <c r="H3033">
        <v>11126355400</v>
      </c>
      <c r="I3033">
        <v>10252718032</v>
      </c>
      <c r="J3033">
        <v>9806439909</v>
      </c>
      <c r="K3033">
        <v>6526420580</v>
      </c>
      <c r="L3033">
        <v>5114710933</v>
      </c>
      <c r="M3033">
        <v>5807795612</v>
      </c>
      <c r="N3033">
        <v>4884062864</v>
      </c>
      <c r="O3033">
        <v>3492317397</v>
      </c>
      <c r="P3033">
        <v>90</v>
      </c>
      <c r="Q3033" t="s">
        <v>6406</v>
      </c>
    </row>
    <row r="3034" spans="1:17" x14ac:dyDescent="0.3">
      <c r="A3034" t="s">
        <v>4729</v>
      </c>
      <c r="B3034" t="str">
        <f>"002308"</f>
        <v>002308</v>
      </c>
      <c r="C3034" t="s">
        <v>6407</v>
      </c>
      <c r="D3034" t="s">
        <v>236</v>
      </c>
      <c r="F3034">
        <v>688643272</v>
      </c>
      <c r="G3034">
        <v>640838990</v>
      </c>
      <c r="H3034">
        <v>1101742157</v>
      </c>
      <c r="I3034">
        <v>1169513125</v>
      </c>
      <c r="J3034">
        <v>1137479087</v>
      </c>
      <c r="K3034">
        <v>1050631623</v>
      </c>
      <c r="L3034">
        <v>937146821</v>
      </c>
      <c r="M3034">
        <v>802970861</v>
      </c>
      <c r="N3034">
        <v>1015449796</v>
      </c>
      <c r="O3034">
        <v>1194611373</v>
      </c>
      <c r="P3034">
        <v>218</v>
      </c>
      <c r="Q3034" t="s">
        <v>6408</v>
      </c>
    </row>
    <row r="3035" spans="1:17" x14ac:dyDescent="0.3">
      <c r="A3035" t="s">
        <v>4729</v>
      </c>
      <c r="B3035" t="str">
        <f>"002309"</f>
        <v>002309</v>
      </c>
      <c r="C3035" t="s">
        <v>6409</v>
      </c>
      <c r="D3035" t="s">
        <v>356</v>
      </c>
      <c r="F3035">
        <v>10558386716</v>
      </c>
      <c r="G3035">
        <v>9033399140</v>
      </c>
      <c r="H3035">
        <v>11825098016</v>
      </c>
      <c r="I3035">
        <v>16726296633</v>
      </c>
      <c r="J3035">
        <v>19414957765</v>
      </c>
      <c r="K3035">
        <v>11291634931</v>
      </c>
      <c r="L3035">
        <v>12139976629</v>
      </c>
      <c r="M3035">
        <v>9246071625</v>
      </c>
      <c r="N3035">
        <v>8075051542</v>
      </c>
      <c r="O3035">
        <v>6325725715</v>
      </c>
      <c r="P3035">
        <v>284</v>
      </c>
      <c r="Q3035" t="s">
        <v>6410</v>
      </c>
    </row>
    <row r="3036" spans="1:17" x14ac:dyDescent="0.3">
      <c r="A3036" t="s">
        <v>4729</v>
      </c>
      <c r="B3036" t="str">
        <f>"002310"</f>
        <v>002310</v>
      </c>
      <c r="C3036" t="s">
        <v>6411</v>
      </c>
      <c r="D3036" t="s">
        <v>2417</v>
      </c>
      <c r="F3036">
        <v>10486627572</v>
      </c>
      <c r="G3036">
        <v>8725535438</v>
      </c>
      <c r="H3036">
        <v>8133197165</v>
      </c>
      <c r="I3036">
        <v>13293159247</v>
      </c>
      <c r="J3036">
        <v>15226101712</v>
      </c>
      <c r="K3036">
        <v>8563996969</v>
      </c>
      <c r="L3036">
        <v>5380677760</v>
      </c>
      <c r="M3036">
        <v>4679588700</v>
      </c>
      <c r="N3036">
        <v>4973637295</v>
      </c>
      <c r="O3036">
        <v>3938303723</v>
      </c>
      <c r="P3036">
        <v>1194</v>
      </c>
      <c r="Q3036" t="s">
        <v>6412</v>
      </c>
    </row>
    <row r="3037" spans="1:17" x14ac:dyDescent="0.3">
      <c r="A3037" t="s">
        <v>4729</v>
      </c>
      <c r="B3037" t="str">
        <f>"002311"</f>
        <v>002311</v>
      </c>
      <c r="C3037" t="s">
        <v>6413</v>
      </c>
      <c r="D3037" t="s">
        <v>3155</v>
      </c>
      <c r="F3037">
        <v>85998559749</v>
      </c>
      <c r="G3037">
        <v>60323862406</v>
      </c>
      <c r="H3037">
        <v>47612587465</v>
      </c>
      <c r="I3037">
        <v>42156628800</v>
      </c>
      <c r="J3037">
        <v>32556634127</v>
      </c>
      <c r="K3037">
        <v>27185309985</v>
      </c>
      <c r="L3037">
        <v>25567402483</v>
      </c>
      <c r="M3037">
        <v>21090411325</v>
      </c>
      <c r="N3037">
        <v>17930412464</v>
      </c>
      <c r="O3037">
        <v>15451453921</v>
      </c>
      <c r="P3037">
        <v>1934</v>
      </c>
      <c r="Q3037" t="s">
        <v>6414</v>
      </c>
    </row>
    <row r="3038" spans="1:17" x14ac:dyDescent="0.3">
      <c r="A3038" t="s">
        <v>4729</v>
      </c>
      <c r="B3038" t="str">
        <f>"002312"</f>
        <v>002312</v>
      </c>
      <c r="C3038" t="s">
        <v>6415</v>
      </c>
      <c r="D3038" t="s">
        <v>183</v>
      </c>
      <c r="F3038">
        <v>6644764343</v>
      </c>
      <c r="G3038">
        <v>5179911756</v>
      </c>
      <c r="H3038">
        <v>1908403645</v>
      </c>
      <c r="I3038">
        <v>716895601</v>
      </c>
      <c r="J3038">
        <v>805541659</v>
      </c>
      <c r="K3038">
        <v>1039454149</v>
      </c>
      <c r="L3038">
        <v>1426291405</v>
      </c>
      <c r="M3038">
        <v>1256369245</v>
      </c>
      <c r="N3038">
        <v>898360699</v>
      </c>
      <c r="O3038">
        <v>657421226</v>
      </c>
      <c r="P3038">
        <v>249</v>
      </c>
      <c r="Q3038" t="s">
        <v>6416</v>
      </c>
    </row>
    <row r="3039" spans="1:17" x14ac:dyDescent="0.3">
      <c r="A3039" t="s">
        <v>4729</v>
      </c>
      <c r="B3039" t="str">
        <f>"002313"</f>
        <v>002313</v>
      </c>
      <c r="C3039" t="s">
        <v>6417</v>
      </c>
      <c r="D3039" t="s">
        <v>786</v>
      </c>
      <c r="F3039">
        <v>4682873403</v>
      </c>
      <c r="G3039">
        <v>3783362104</v>
      </c>
      <c r="H3039">
        <v>4639815898</v>
      </c>
      <c r="I3039">
        <v>4420088766</v>
      </c>
      <c r="J3039">
        <v>2989786058</v>
      </c>
      <c r="K3039">
        <v>2706793456</v>
      </c>
      <c r="L3039">
        <v>2869246807</v>
      </c>
      <c r="M3039">
        <v>2428735924</v>
      </c>
      <c r="N3039">
        <v>2079223758</v>
      </c>
      <c r="O3039">
        <v>1925097203</v>
      </c>
      <c r="P3039">
        <v>243</v>
      </c>
      <c r="Q3039" t="s">
        <v>6418</v>
      </c>
    </row>
    <row r="3040" spans="1:17" x14ac:dyDescent="0.3">
      <c r="A3040" t="s">
        <v>4729</v>
      </c>
      <c r="B3040" t="str">
        <f>"002314"</f>
        <v>002314</v>
      </c>
      <c r="C3040" t="s">
        <v>6419</v>
      </c>
      <c r="D3040" t="s">
        <v>104</v>
      </c>
      <c r="F3040">
        <v>11180201472</v>
      </c>
      <c r="G3040">
        <v>11232385825</v>
      </c>
      <c r="H3040">
        <v>7237981452</v>
      </c>
      <c r="I3040">
        <v>7051678631</v>
      </c>
      <c r="J3040">
        <v>6601520546</v>
      </c>
      <c r="K3040">
        <v>4985812077</v>
      </c>
      <c r="L3040">
        <v>4883102441</v>
      </c>
      <c r="M3040">
        <v>1732840621</v>
      </c>
      <c r="N3040">
        <v>2116053525</v>
      </c>
      <c r="O3040">
        <v>2317303217</v>
      </c>
      <c r="P3040">
        <v>206</v>
      </c>
      <c r="Q3040" t="s">
        <v>6420</v>
      </c>
    </row>
    <row r="3041" spans="1:17" x14ac:dyDescent="0.3">
      <c r="A3041" t="s">
        <v>4729</v>
      </c>
      <c r="B3041" t="str">
        <f>"002315"</f>
        <v>002315</v>
      </c>
      <c r="C3041" t="s">
        <v>6421</v>
      </c>
      <c r="D3041" t="s">
        <v>2020</v>
      </c>
      <c r="F3041">
        <v>1454160425</v>
      </c>
      <c r="G3041">
        <v>1129744169</v>
      </c>
      <c r="H3041">
        <v>978005673</v>
      </c>
      <c r="I3041">
        <v>875181935</v>
      </c>
      <c r="J3041">
        <v>1211088801</v>
      </c>
      <c r="K3041">
        <v>683971923</v>
      </c>
      <c r="L3041">
        <v>494515188</v>
      </c>
      <c r="M3041">
        <v>509890147</v>
      </c>
      <c r="N3041">
        <v>510871711</v>
      </c>
      <c r="O3041">
        <v>449643840</v>
      </c>
      <c r="P3041">
        <v>221</v>
      </c>
      <c r="Q3041" t="s">
        <v>6422</v>
      </c>
    </row>
    <row r="3042" spans="1:17" x14ac:dyDescent="0.3">
      <c r="A3042" t="s">
        <v>4729</v>
      </c>
      <c r="B3042" t="str">
        <f>"002316"</f>
        <v>002316</v>
      </c>
      <c r="C3042" t="s">
        <v>6423</v>
      </c>
      <c r="D3042" t="s">
        <v>6424</v>
      </c>
      <c r="F3042">
        <v>1933242997</v>
      </c>
      <c r="G3042">
        <v>3279219308</v>
      </c>
      <c r="H3042">
        <v>4201004151</v>
      </c>
      <c r="I3042">
        <v>3921517862</v>
      </c>
      <c r="J3042">
        <v>1034143769</v>
      </c>
      <c r="K3042">
        <v>701812884</v>
      </c>
      <c r="L3042">
        <v>848498015</v>
      </c>
      <c r="M3042">
        <v>517561461</v>
      </c>
      <c r="N3042">
        <v>630349034</v>
      </c>
      <c r="O3042">
        <v>460718718</v>
      </c>
      <c r="P3042">
        <v>229</v>
      </c>
      <c r="Q3042" t="s">
        <v>6425</v>
      </c>
    </row>
    <row r="3043" spans="1:17" x14ac:dyDescent="0.3">
      <c r="A3043" t="s">
        <v>4729</v>
      </c>
      <c r="B3043" t="str">
        <f>"002317"</f>
        <v>002317</v>
      </c>
      <c r="C3043" t="s">
        <v>6426</v>
      </c>
      <c r="D3043" t="s">
        <v>188</v>
      </c>
      <c r="F3043">
        <v>2429095464</v>
      </c>
      <c r="G3043">
        <v>1895823561</v>
      </c>
      <c r="H3043">
        <v>2531516439</v>
      </c>
      <c r="I3043">
        <v>2361506446</v>
      </c>
      <c r="J3043">
        <v>1964235002</v>
      </c>
      <c r="K3043">
        <v>1692485823</v>
      </c>
      <c r="L3043">
        <v>1577736594</v>
      </c>
      <c r="M3043">
        <v>1308516504</v>
      </c>
      <c r="N3043">
        <v>1090027703</v>
      </c>
      <c r="O3043">
        <v>886433224</v>
      </c>
      <c r="P3043">
        <v>344</v>
      </c>
      <c r="Q3043" t="s">
        <v>6427</v>
      </c>
    </row>
    <row r="3044" spans="1:17" x14ac:dyDescent="0.3">
      <c r="A3044" t="s">
        <v>4729</v>
      </c>
      <c r="B3044" t="str">
        <f>"002318"</f>
        <v>002318</v>
      </c>
      <c r="C3044" t="s">
        <v>6428</v>
      </c>
      <c r="D3044" t="s">
        <v>281</v>
      </c>
      <c r="F3044">
        <v>5973833593</v>
      </c>
      <c r="G3044">
        <v>4955246677</v>
      </c>
      <c r="H3044">
        <v>4436860899</v>
      </c>
      <c r="I3044">
        <v>4063057118</v>
      </c>
      <c r="J3044">
        <v>2833002975</v>
      </c>
      <c r="K3044">
        <v>2698103712</v>
      </c>
      <c r="L3044">
        <v>2721324820</v>
      </c>
      <c r="M3044">
        <v>2901822936</v>
      </c>
      <c r="N3044">
        <v>2848581559</v>
      </c>
      <c r="O3044">
        <v>2659983990</v>
      </c>
      <c r="P3044">
        <v>451</v>
      </c>
      <c r="Q3044" t="s">
        <v>6429</v>
      </c>
    </row>
    <row r="3045" spans="1:17" x14ac:dyDescent="0.3">
      <c r="A3045" t="s">
        <v>4729</v>
      </c>
      <c r="B3045" t="str">
        <f>"002319"</f>
        <v>002319</v>
      </c>
      <c r="C3045" t="s">
        <v>6430</v>
      </c>
      <c r="D3045" t="s">
        <v>2585</v>
      </c>
      <c r="F3045">
        <v>387741377</v>
      </c>
      <c r="G3045">
        <v>314563719</v>
      </c>
      <c r="H3045">
        <v>383055009</v>
      </c>
      <c r="I3045">
        <v>487438097</v>
      </c>
      <c r="J3045">
        <v>532046548</v>
      </c>
      <c r="K3045">
        <v>520244455</v>
      </c>
      <c r="L3045">
        <v>441741032</v>
      </c>
      <c r="M3045">
        <v>597579907</v>
      </c>
      <c r="N3045">
        <v>564232217</v>
      </c>
      <c r="O3045">
        <v>486248019</v>
      </c>
      <c r="P3045">
        <v>55</v>
      </c>
      <c r="Q3045" t="s">
        <v>6431</v>
      </c>
    </row>
    <row r="3046" spans="1:17" x14ac:dyDescent="0.3">
      <c r="A3046" t="s">
        <v>4729</v>
      </c>
      <c r="B3046" t="str">
        <f>"002320"</f>
        <v>002320</v>
      </c>
      <c r="C3046" t="s">
        <v>6432</v>
      </c>
      <c r="D3046" t="s">
        <v>69</v>
      </c>
      <c r="F3046">
        <v>1399103925</v>
      </c>
      <c r="G3046">
        <v>1072723991</v>
      </c>
      <c r="H3046">
        <v>1110175620</v>
      </c>
      <c r="I3046">
        <v>1049580629</v>
      </c>
      <c r="J3046">
        <v>978022412</v>
      </c>
      <c r="K3046">
        <v>751826360</v>
      </c>
      <c r="L3046">
        <v>682616464</v>
      </c>
      <c r="M3046">
        <v>595417520</v>
      </c>
      <c r="N3046">
        <v>535817343</v>
      </c>
      <c r="O3046">
        <v>582263421</v>
      </c>
      <c r="P3046">
        <v>174</v>
      </c>
      <c r="Q3046" t="s">
        <v>6433</v>
      </c>
    </row>
    <row r="3047" spans="1:17" x14ac:dyDescent="0.3">
      <c r="A3047" t="s">
        <v>4729</v>
      </c>
      <c r="B3047" t="str">
        <f>"002321"</f>
        <v>002321</v>
      </c>
      <c r="C3047" t="s">
        <v>6434</v>
      </c>
      <c r="D3047" t="s">
        <v>1882</v>
      </c>
      <c r="F3047">
        <v>3192457800</v>
      </c>
      <c r="G3047">
        <v>3125556245</v>
      </c>
      <c r="H3047">
        <v>5517686135</v>
      </c>
      <c r="I3047">
        <v>5348828565</v>
      </c>
      <c r="J3047">
        <v>4121925898</v>
      </c>
      <c r="K3047">
        <v>2514708470</v>
      </c>
      <c r="L3047">
        <v>1857499503</v>
      </c>
      <c r="M3047">
        <v>1843102831</v>
      </c>
      <c r="N3047">
        <v>1756369220</v>
      </c>
      <c r="O3047">
        <v>1809417148</v>
      </c>
      <c r="P3047">
        <v>111</v>
      </c>
      <c r="Q3047" t="s">
        <v>6435</v>
      </c>
    </row>
    <row r="3048" spans="1:17" x14ac:dyDescent="0.3">
      <c r="A3048" t="s">
        <v>4729</v>
      </c>
      <c r="B3048" t="str">
        <f>"002322"</f>
        <v>002322</v>
      </c>
      <c r="C3048" t="s">
        <v>6436</v>
      </c>
      <c r="D3048" t="s">
        <v>945</v>
      </c>
      <c r="F3048">
        <v>1108794316</v>
      </c>
      <c r="G3048">
        <v>1135376074</v>
      </c>
      <c r="H3048">
        <v>1002528183</v>
      </c>
      <c r="I3048">
        <v>994066630</v>
      </c>
      <c r="J3048">
        <v>841853410</v>
      </c>
      <c r="K3048">
        <v>687282669</v>
      </c>
      <c r="L3048">
        <v>448802538</v>
      </c>
      <c r="M3048">
        <v>195380408</v>
      </c>
      <c r="N3048">
        <v>310550768</v>
      </c>
      <c r="O3048">
        <v>342127475</v>
      </c>
      <c r="P3048">
        <v>180</v>
      </c>
      <c r="Q3048" t="s">
        <v>6437</v>
      </c>
    </row>
    <row r="3049" spans="1:17" x14ac:dyDescent="0.3">
      <c r="A3049" t="s">
        <v>4729</v>
      </c>
      <c r="B3049" t="str">
        <f>"002323"</f>
        <v>002323</v>
      </c>
      <c r="C3049" t="s">
        <v>6438</v>
      </c>
      <c r="D3049" t="s">
        <v>722</v>
      </c>
      <c r="F3049">
        <v>125223064</v>
      </c>
      <c r="G3049">
        <v>125374567</v>
      </c>
      <c r="H3049">
        <v>104657977</v>
      </c>
      <c r="I3049">
        <v>229356533</v>
      </c>
      <c r="J3049">
        <v>1377256584</v>
      </c>
      <c r="K3049">
        <v>1285284657</v>
      </c>
      <c r="L3049">
        <v>443813738</v>
      </c>
      <c r="M3049">
        <v>391265342</v>
      </c>
      <c r="N3049">
        <v>313393373</v>
      </c>
      <c r="O3049">
        <v>298793061</v>
      </c>
      <c r="P3049">
        <v>78</v>
      </c>
      <c r="Q3049" t="s">
        <v>6439</v>
      </c>
    </row>
    <row r="3050" spans="1:17" x14ac:dyDescent="0.3">
      <c r="A3050" t="s">
        <v>4729</v>
      </c>
      <c r="B3050" t="str">
        <f>"002324"</f>
        <v>002324</v>
      </c>
      <c r="C3050" t="s">
        <v>6440</v>
      </c>
      <c r="D3050" t="s">
        <v>341</v>
      </c>
      <c r="F3050">
        <v>4870775032</v>
      </c>
      <c r="G3050">
        <v>4447542055</v>
      </c>
      <c r="H3050">
        <v>3599966583</v>
      </c>
      <c r="I3050">
        <v>3665524127</v>
      </c>
      <c r="J3050">
        <v>3397487074</v>
      </c>
      <c r="K3050">
        <v>3157920062</v>
      </c>
      <c r="L3050">
        <v>2787424216</v>
      </c>
      <c r="M3050">
        <v>2025766771</v>
      </c>
      <c r="N3050">
        <v>1709885045</v>
      </c>
      <c r="O3050">
        <v>1211690148</v>
      </c>
      <c r="P3050">
        <v>212</v>
      </c>
      <c r="Q3050" t="s">
        <v>6441</v>
      </c>
    </row>
    <row r="3051" spans="1:17" x14ac:dyDescent="0.3">
      <c r="A3051" t="s">
        <v>4729</v>
      </c>
      <c r="B3051" t="str">
        <f>"002325"</f>
        <v>002325</v>
      </c>
      <c r="C3051" t="s">
        <v>6442</v>
      </c>
      <c r="D3051" t="s">
        <v>450</v>
      </c>
      <c r="F3051">
        <v>2590613385</v>
      </c>
      <c r="G3051">
        <v>3568577321</v>
      </c>
      <c r="H3051">
        <v>4030647813</v>
      </c>
      <c r="I3051">
        <v>3925766803</v>
      </c>
      <c r="J3051">
        <v>3330875526</v>
      </c>
      <c r="K3051">
        <v>2877123982</v>
      </c>
      <c r="L3051">
        <v>3006340271</v>
      </c>
      <c r="M3051">
        <v>3392640877</v>
      </c>
      <c r="N3051">
        <v>3545650688</v>
      </c>
      <c r="O3051">
        <v>2841738940</v>
      </c>
      <c r="P3051">
        <v>171</v>
      </c>
      <c r="Q3051" t="s">
        <v>6443</v>
      </c>
    </row>
    <row r="3052" spans="1:17" x14ac:dyDescent="0.3">
      <c r="A3052" t="s">
        <v>4729</v>
      </c>
      <c r="B3052" t="str">
        <f>"002326"</f>
        <v>002326</v>
      </c>
      <c r="C3052" t="s">
        <v>6444</v>
      </c>
      <c r="D3052" t="s">
        <v>375</v>
      </c>
      <c r="F3052">
        <v>4468739445</v>
      </c>
      <c r="G3052">
        <v>3450306550</v>
      </c>
      <c r="H3052">
        <v>3429842432</v>
      </c>
      <c r="I3052">
        <v>3295273793</v>
      </c>
      <c r="J3052">
        <v>2751122307</v>
      </c>
      <c r="K3052">
        <v>1748536268</v>
      </c>
      <c r="L3052">
        <v>1542012579</v>
      </c>
      <c r="M3052">
        <v>1061449343</v>
      </c>
      <c r="N3052">
        <v>769622808</v>
      </c>
      <c r="O3052">
        <v>838874861</v>
      </c>
      <c r="P3052">
        <v>298</v>
      </c>
      <c r="Q3052" t="s">
        <v>6445</v>
      </c>
    </row>
    <row r="3053" spans="1:17" x14ac:dyDescent="0.3">
      <c r="A3053" t="s">
        <v>4729</v>
      </c>
      <c r="B3053" t="str">
        <f>"002327"</f>
        <v>002327</v>
      </c>
      <c r="C3053" t="s">
        <v>6446</v>
      </c>
      <c r="D3053" t="s">
        <v>2889</v>
      </c>
      <c r="F3053">
        <v>3179282836</v>
      </c>
      <c r="G3053">
        <v>2874049807</v>
      </c>
      <c r="H3053">
        <v>2788843145</v>
      </c>
      <c r="I3053">
        <v>2918494283</v>
      </c>
      <c r="J3053">
        <v>2616208430</v>
      </c>
      <c r="K3053">
        <v>2311575475</v>
      </c>
      <c r="L3053">
        <v>2092608347</v>
      </c>
      <c r="M3053">
        <v>1969766904</v>
      </c>
      <c r="N3053">
        <v>1863895420</v>
      </c>
      <c r="O3053">
        <v>1776970381</v>
      </c>
      <c r="P3053">
        <v>1306</v>
      </c>
      <c r="Q3053" t="s">
        <v>6447</v>
      </c>
    </row>
    <row r="3054" spans="1:17" x14ac:dyDescent="0.3">
      <c r="A3054" t="s">
        <v>4729</v>
      </c>
      <c r="B3054" t="str">
        <f>"002328"</f>
        <v>002328</v>
      </c>
      <c r="C3054" t="s">
        <v>6448</v>
      </c>
      <c r="D3054" t="s">
        <v>985</v>
      </c>
      <c r="F3054">
        <v>4721631987</v>
      </c>
      <c r="G3054">
        <v>4250596622</v>
      </c>
      <c r="H3054">
        <v>3602487202</v>
      </c>
      <c r="I3054">
        <v>4081121546</v>
      </c>
      <c r="J3054">
        <v>3948396180</v>
      </c>
      <c r="K3054">
        <v>3960943286</v>
      </c>
      <c r="L3054">
        <v>3956021258</v>
      </c>
      <c r="M3054">
        <v>3661561225</v>
      </c>
      <c r="N3054">
        <v>2664864918</v>
      </c>
      <c r="O3054">
        <v>1591827518</v>
      </c>
      <c r="P3054">
        <v>110</v>
      </c>
      <c r="Q3054" t="s">
        <v>6449</v>
      </c>
    </row>
    <row r="3055" spans="1:17" x14ac:dyDescent="0.3">
      <c r="A3055" t="s">
        <v>4729</v>
      </c>
      <c r="B3055" t="str">
        <f>"002329"</f>
        <v>002329</v>
      </c>
      <c r="C3055" t="s">
        <v>6450</v>
      </c>
      <c r="D3055" t="s">
        <v>900</v>
      </c>
      <c r="F3055">
        <v>2568690730</v>
      </c>
      <c r="G3055">
        <v>2490168718</v>
      </c>
      <c r="H3055">
        <v>2253248316</v>
      </c>
      <c r="I3055">
        <v>2335911680</v>
      </c>
      <c r="J3055">
        <v>2366753869</v>
      </c>
      <c r="K3055">
        <v>2446430743</v>
      </c>
      <c r="L3055">
        <v>1685137678</v>
      </c>
      <c r="M3055">
        <v>1130304344</v>
      </c>
      <c r="N3055">
        <v>990720972</v>
      </c>
      <c r="O3055">
        <v>754269419</v>
      </c>
      <c r="P3055">
        <v>186</v>
      </c>
      <c r="Q3055" t="s">
        <v>6451</v>
      </c>
    </row>
    <row r="3056" spans="1:17" x14ac:dyDescent="0.3">
      <c r="A3056" t="s">
        <v>4729</v>
      </c>
      <c r="B3056" t="str">
        <f>"002330"</f>
        <v>002330</v>
      </c>
      <c r="C3056" t="s">
        <v>6452</v>
      </c>
      <c r="D3056" t="s">
        <v>170</v>
      </c>
      <c r="F3056">
        <v>3130031539</v>
      </c>
      <c r="G3056">
        <v>3280512127</v>
      </c>
      <c r="H3056">
        <v>2346471153</v>
      </c>
      <c r="I3056">
        <v>2018532199</v>
      </c>
      <c r="J3056">
        <v>1608657527</v>
      </c>
      <c r="K3056">
        <v>1575593009</v>
      </c>
      <c r="L3056">
        <v>1550992537</v>
      </c>
      <c r="M3056">
        <v>1622384831</v>
      </c>
      <c r="N3056">
        <v>2051739074</v>
      </c>
      <c r="O3056">
        <v>1974628499</v>
      </c>
      <c r="P3056">
        <v>539</v>
      </c>
      <c r="Q3056" t="s">
        <v>6453</v>
      </c>
    </row>
    <row r="3057" spans="1:17" x14ac:dyDescent="0.3">
      <c r="A3057" t="s">
        <v>4729</v>
      </c>
      <c r="B3057" t="str">
        <f>"002331"</f>
        <v>002331</v>
      </c>
      <c r="C3057" t="s">
        <v>6454</v>
      </c>
      <c r="D3057" t="s">
        <v>316</v>
      </c>
      <c r="F3057">
        <v>1007263587</v>
      </c>
      <c r="G3057">
        <v>1575948973</v>
      </c>
      <c r="H3057">
        <v>1459618235</v>
      </c>
      <c r="I3057">
        <v>1249370240</v>
      </c>
      <c r="J3057">
        <v>995817238</v>
      </c>
      <c r="K3057">
        <v>992136841</v>
      </c>
      <c r="L3057">
        <v>882037007</v>
      </c>
      <c r="M3057">
        <v>781300864</v>
      </c>
      <c r="N3057">
        <v>794848111</v>
      </c>
      <c r="O3057">
        <v>660944646</v>
      </c>
      <c r="P3057">
        <v>121</v>
      </c>
      <c r="Q3057" t="s">
        <v>6455</v>
      </c>
    </row>
    <row r="3058" spans="1:17" x14ac:dyDescent="0.3">
      <c r="A3058" t="s">
        <v>4729</v>
      </c>
      <c r="B3058" t="str">
        <f>"002332"</f>
        <v>002332</v>
      </c>
      <c r="C3058" t="s">
        <v>6456</v>
      </c>
      <c r="D3058" t="s">
        <v>143</v>
      </c>
      <c r="F3058">
        <v>4337150965</v>
      </c>
      <c r="G3058">
        <v>4018872772</v>
      </c>
      <c r="H3058">
        <v>3708545531</v>
      </c>
      <c r="I3058">
        <v>3621754713</v>
      </c>
      <c r="J3058">
        <v>2852555263</v>
      </c>
      <c r="K3058">
        <v>2503730345</v>
      </c>
      <c r="L3058">
        <v>2480246154</v>
      </c>
      <c r="M3058">
        <v>2470533019</v>
      </c>
      <c r="N3058">
        <v>2315040566</v>
      </c>
      <c r="O3058">
        <v>1992191545</v>
      </c>
      <c r="P3058">
        <v>385</v>
      </c>
      <c r="Q3058" t="s">
        <v>6457</v>
      </c>
    </row>
    <row r="3059" spans="1:17" x14ac:dyDescent="0.3">
      <c r="A3059" t="s">
        <v>4729</v>
      </c>
      <c r="B3059" t="str">
        <f>"002333"</f>
        <v>002333</v>
      </c>
      <c r="C3059" t="s">
        <v>6458</v>
      </c>
      <c r="D3059" t="s">
        <v>722</v>
      </c>
      <c r="F3059">
        <v>1443023624</v>
      </c>
      <c r="G3059">
        <v>839763454</v>
      </c>
      <c r="H3059">
        <v>711438974</v>
      </c>
      <c r="I3059">
        <v>1102974425</v>
      </c>
      <c r="J3059">
        <v>1032480739</v>
      </c>
      <c r="K3059">
        <v>977172460</v>
      </c>
      <c r="L3059">
        <v>1080167412</v>
      </c>
      <c r="M3059">
        <v>1080319622</v>
      </c>
      <c r="N3059">
        <v>1064445175</v>
      </c>
      <c r="O3059">
        <v>1138647851</v>
      </c>
      <c r="P3059">
        <v>59</v>
      </c>
      <c r="Q3059" t="s">
        <v>6459</v>
      </c>
    </row>
    <row r="3060" spans="1:17" x14ac:dyDescent="0.3">
      <c r="A3060" t="s">
        <v>4729</v>
      </c>
      <c r="B3060" t="str">
        <f>"002334"</f>
        <v>002334</v>
      </c>
      <c r="C3060" t="s">
        <v>6460</v>
      </c>
      <c r="D3060" t="s">
        <v>2432</v>
      </c>
      <c r="F3060">
        <v>3008775064</v>
      </c>
      <c r="G3060">
        <v>2286434216</v>
      </c>
      <c r="H3060">
        <v>2242025149</v>
      </c>
      <c r="I3060">
        <v>2228061114</v>
      </c>
      <c r="J3060">
        <v>2122310972</v>
      </c>
      <c r="K3060">
        <v>1323982178</v>
      </c>
      <c r="L3060">
        <v>1083362628</v>
      </c>
      <c r="M3060">
        <v>1057884347</v>
      </c>
      <c r="N3060">
        <v>928088766</v>
      </c>
      <c r="O3060">
        <v>736711887</v>
      </c>
      <c r="P3060">
        <v>222</v>
      </c>
      <c r="Q3060" t="s">
        <v>6461</v>
      </c>
    </row>
    <row r="3061" spans="1:17" x14ac:dyDescent="0.3">
      <c r="A3061" t="s">
        <v>4729</v>
      </c>
      <c r="B3061" t="str">
        <f>"002335"</f>
        <v>002335</v>
      </c>
      <c r="C3061" t="s">
        <v>6462</v>
      </c>
      <c r="D3061" t="s">
        <v>880</v>
      </c>
      <c r="F3061">
        <v>4865706292</v>
      </c>
      <c r="G3061">
        <v>4167587618</v>
      </c>
      <c r="H3061">
        <v>3869308155</v>
      </c>
      <c r="I3061">
        <v>3436927692</v>
      </c>
      <c r="J3061">
        <v>2400613346</v>
      </c>
      <c r="K3061">
        <v>1704614204</v>
      </c>
      <c r="L3061">
        <v>1639804919</v>
      </c>
      <c r="M3061">
        <v>1473278756</v>
      </c>
      <c r="N3061">
        <v>1013615368</v>
      </c>
      <c r="O3061">
        <v>933408626</v>
      </c>
      <c r="P3061">
        <v>431</v>
      </c>
      <c r="Q3061" t="s">
        <v>6463</v>
      </c>
    </row>
    <row r="3062" spans="1:17" x14ac:dyDescent="0.3">
      <c r="A3062" t="s">
        <v>4729</v>
      </c>
      <c r="B3062" t="str">
        <f>"002336"</f>
        <v>002336</v>
      </c>
      <c r="C3062" t="s">
        <v>6464</v>
      </c>
      <c r="D3062" t="s">
        <v>798</v>
      </c>
      <c r="F3062">
        <v>5095540236</v>
      </c>
      <c r="G3062">
        <v>5981168067</v>
      </c>
      <c r="H3062">
        <v>7600623602</v>
      </c>
      <c r="I3062">
        <v>8130921066</v>
      </c>
      <c r="J3062">
        <v>8855285522</v>
      </c>
      <c r="K3062">
        <v>10156778093</v>
      </c>
      <c r="L3062">
        <v>11218049720</v>
      </c>
      <c r="M3062">
        <v>12117384021</v>
      </c>
      <c r="N3062">
        <v>12716456768</v>
      </c>
      <c r="O3062">
        <v>12913437727</v>
      </c>
      <c r="P3062">
        <v>69</v>
      </c>
      <c r="Q3062" t="s">
        <v>6465</v>
      </c>
    </row>
    <row r="3063" spans="1:17" x14ac:dyDescent="0.3">
      <c r="A3063" t="s">
        <v>4729</v>
      </c>
      <c r="B3063" t="str">
        <f>"002337"</f>
        <v>002337</v>
      </c>
      <c r="C3063" t="s">
        <v>6466</v>
      </c>
      <c r="D3063" t="s">
        <v>741</v>
      </c>
      <c r="F3063">
        <v>725423113</v>
      </c>
      <c r="G3063">
        <v>357979923</v>
      </c>
      <c r="H3063">
        <v>527453764</v>
      </c>
      <c r="I3063">
        <v>450080247</v>
      </c>
      <c r="J3063">
        <v>566973802</v>
      </c>
      <c r="K3063">
        <v>374633069</v>
      </c>
      <c r="L3063">
        <v>354219701</v>
      </c>
      <c r="M3063">
        <v>721326326</v>
      </c>
      <c r="N3063">
        <v>672276168</v>
      </c>
      <c r="O3063">
        <v>453283520</v>
      </c>
      <c r="P3063">
        <v>92</v>
      </c>
      <c r="Q3063" t="s">
        <v>6467</v>
      </c>
    </row>
    <row r="3064" spans="1:17" x14ac:dyDescent="0.3">
      <c r="A3064" t="s">
        <v>4729</v>
      </c>
      <c r="B3064" t="str">
        <f>"002338"</f>
        <v>002338</v>
      </c>
      <c r="C3064" t="s">
        <v>6468</v>
      </c>
      <c r="D3064" t="s">
        <v>1136</v>
      </c>
      <c r="F3064">
        <v>546849229</v>
      </c>
      <c r="G3064">
        <v>440745975</v>
      </c>
      <c r="H3064">
        <v>402192805</v>
      </c>
      <c r="I3064">
        <v>384765406</v>
      </c>
      <c r="J3064">
        <v>368437728</v>
      </c>
      <c r="K3064">
        <v>341857795</v>
      </c>
      <c r="L3064">
        <v>344726041</v>
      </c>
      <c r="M3064">
        <v>388701228</v>
      </c>
      <c r="N3064">
        <v>295439036</v>
      </c>
      <c r="O3064">
        <v>264857407</v>
      </c>
      <c r="P3064">
        <v>147</v>
      </c>
      <c r="Q3064" t="s">
        <v>6469</v>
      </c>
    </row>
    <row r="3065" spans="1:17" x14ac:dyDescent="0.3">
      <c r="A3065" t="s">
        <v>4729</v>
      </c>
      <c r="B3065" t="str">
        <f>"002339"</f>
        <v>002339</v>
      </c>
      <c r="C3065" t="s">
        <v>6470</v>
      </c>
      <c r="D3065" t="s">
        <v>610</v>
      </c>
      <c r="F3065">
        <v>2037903379</v>
      </c>
      <c r="G3065">
        <v>2084971133</v>
      </c>
      <c r="H3065">
        <v>1841353459</v>
      </c>
      <c r="I3065">
        <v>1961886218</v>
      </c>
      <c r="J3065">
        <v>1618513020</v>
      </c>
      <c r="K3065">
        <v>1421634976</v>
      </c>
      <c r="L3065">
        <v>1285785547</v>
      </c>
      <c r="M3065">
        <v>1108751708</v>
      </c>
      <c r="N3065">
        <v>885778891</v>
      </c>
      <c r="O3065">
        <v>834187024</v>
      </c>
      <c r="P3065">
        <v>120</v>
      </c>
      <c r="Q3065" t="s">
        <v>6471</v>
      </c>
    </row>
    <row r="3066" spans="1:17" x14ac:dyDescent="0.3">
      <c r="A3066" t="s">
        <v>4729</v>
      </c>
      <c r="B3066" t="str">
        <f>"002340"</f>
        <v>002340</v>
      </c>
      <c r="C3066" t="s">
        <v>6472</v>
      </c>
      <c r="D3066" t="s">
        <v>1790</v>
      </c>
      <c r="F3066">
        <v>19301018280</v>
      </c>
      <c r="G3066">
        <v>12466276299</v>
      </c>
      <c r="H3066">
        <v>14354010107</v>
      </c>
      <c r="I3066">
        <v>13878229148</v>
      </c>
      <c r="J3066">
        <v>10752142992</v>
      </c>
      <c r="K3066">
        <v>7835898467</v>
      </c>
      <c r="L3066">
        <v>5117166480</v>
      </c>
      <c r="M3066">
        <v>3908856341</v>
      </c>
      <c r="N3066">
        <v>3486028288</v>
      </c>
      <c r="O3066">
        <v>1418421039</v>
      </c>
      <c r="P3066">
        <v>1302</v>
      </c>
      <c r="Q3066" t="s">
        <v>6473</v>
      </c>
    </row>
    <row r="3067" spans="1:17" x14ac:dyDescent="0.3">
      <c r="A3067" t="s">
        <v>4729</v>
      </c>
      <c r="B3067" t="str">
        <f>"002341"</f>
        <v>002341</v>
      </c>
      <c r="C3067" t="s">
        <v>6474</v>
      </c>
      <c r="D3067" t="s">
        <v>324</v>
      </c>
      <c r="F3067">
        <v>1332103763</v>
      </c>
      <c r="G3067">
        <v>2246999651</v>
      </c>
      <c r="H3067">
        <v>3321969617</v>
      </c>
      <c r="I3067">
        <v>3151363604</v>
      </c>
      <c r="J3067">
        <v>1726142099</v>
      </c>
      <c r="K3067">
        <v>1321898357</v>
      </c>
      <c r="L3067">
        <v>1024098645</v>
      </c>
      <c r="M3067">
        <v>1348972672</v>
      </c>
      <c r="N3067">
        <v>1349728384</v>
      </c>
      <c r="O3067">
        <v>1142006864</v>
      </c>
      <c r="P3067">
        <v>276</v>
      </c>
      <c r="Q3067" t="s">
        <v>6475</v>
      </c>
    </row>
    <row r="3068" spans="1:17" x14ac:dyDescent="0.3">
      <c r="A3068" t="s">
        <v>4729</v>
      </c>
      <c r="B3068" t="str">
        <f>"002342"</f>
        <v>002342</v>
      </c>
      <c r="C3068" t="s">
        <v>6476</v>
      </c>
      <c r="D3068" t="s">
        <v>274</v>
      </c>
      <c r="F3068">
        <v>2465904256</v>
      </c>
      <c r="G3068">
        <v>2214702287</v>
      </c>
      <c r="H3068">
        <v>1965954097</v>
      </c>
      <c r="I3068">
        <v>1685140075</v>
      </c>
      <c r="J3068">
        <v>1415941108</v>
      </c>
      <c r="K3068">
        <v>1365111067</v>
      </c>
      <c r="L3068">
        <v>1334488974</v>
      </c>
      <c r="M3068">
        <v>1553656764</v>
      </c>
      <c r="N3068">
        <v>1697467734</v>
      </c>
      <c r="O3068">
        <v>1653291686</v>
      </c>
      <c r="P3068">
        <v>112</v>
      </c>
      <c r="Q3068" t="s">
        <v>6477</v>
      </c>
    </row>
    <row r="3069" spans="1:17" x14ac:dyDescent="0.3">
      <c r="A3069" t="s">
        <v>4729</v>
      </c>
      <c r="B3069" t="str">
        <f>"002343"</f>
        <v>002343</v>
      </c>
      <c r="C3069" t="s">
        <v>6478</v>
      </c>
      <c r="D3069" t="s">
        <v>113</v>
      </c>
      <c r="F3069">
        <v>405291092</v>
      </c>
      <c r="G3069">
        <v>674169263</v>
      </c>
      <c r="H3069">
        <v>1171427358</v>
      </c>
      <c r="I3069">
        <v>1435030474</v>
      </c>
      <c r="J3069">
        <v>1665603141</v>
      </c>
      <c r="K3069">
        <v>1826189607</v>
      </c>
      <c r="L3069">
        <v>855999006</v>
      </c>
      <c r="M3069">
        <v>1613207735</v>
      </c>
      <c r="N3069">
        <v>1458865106</v>
      </c>
      <c r="O3069">
        <v>1355880827</v>
      </c>
      <c r="P3069">
        <v>183</v>
      </c>
      <c r="Q3069" t="s">
        <v>6479</v>
      </c>
    </row>
    <row r="3070" spans="1:17" x14ac:dyDescent="0.3">
      <c r="A3070" t="s">
        <v>4729</v>
      </c>
      <c r="B3070" t="str">
        <f>"002344"</f>
        <v>002344</v>
      </c>
      <c r="C3070" t="s">
        <v>6480</v>
      </c>
      <c r="D3070" t="s">
        <v>271</v>
      </c>
      <c r="F3070">
        <v>1434766941</v>
      </c>
      <c r="G3070">
        <v>1425119267</v>
      </c>
      <c r="H3070">
        <v>1412635587</v>
      </c>
      <c r="I3070">
        <v>1702618915</v>
      </c>
      <c r="J3070">
        <v>1869298388</v>
      </c>
      <c r="K3070">
        <v>2168949561</v>
      </c>
      <c r="L3070">
        <v>1836666740</v>
      </c>
      <c r="M3070">
        <v>2427285430</v>
      </c>
      <c r="N3070">
        <v>2926478920</v>
      </c>
      <c r="O3070">
        <v>2261547869</v>
      </c>
      <c r="P3070">
        <v>145</v>
      </c>
      <c r="Q3070" t="s">
        <v>6481</v>
      </c>
    </row>
    <row r="3071" spans="1:17" x14ac:dyDescent="0.3">
      <c r="A3071" t="s">
        <v>4729</v>
      </c>
      <c r="B3071" t="str">
        <f>"002345"</f>
        <v>002345</v>
      </c>
      <c r="C3071" t="s">
        <v>6482</v>
      </c>
      <c r="D3071" t="s">
        <v>1238</v>
      </c>
      <c r="F3071">
        <v>4636492775</v>
      </c>
      <c r="G3071">
        <v>3215258485</v>
      </c>
      <c r="H3071">
        <v>3542777910</v>
      </c>
      <c r="I3071">
        <v>3248025039</v>
      </c>
      <c r="J3071">
        <v>3086183668</v>
      </c>
      <c r="K3071">
        <v>2738684372</v>
      </c>
      <c r="L3071">
        <v>2690714738</v>
      </c>
      <c r="M3071">
        <v>2470381491</v>
      </c>
      <c r="N3071">
        <v>2074042337</v>
      </c>
      <c r="O3071">
        <v>1534299573</v>
      </c>
      <c r="P3071">
        <v>137</v>
      </c>
      <c r="Q3071" t="s">
        <v>6483</v>
      </c>
    </row>
    <row r="3072" spans="1:17" x14ac:dyDescent="0.3">
      <c r="A3072" t="s">
        <v>4729</v>
      </c>
      <c r="B3072" t="str">
        <f>"002346"</f>
        <v>002346</v>
      </c>
      <c r="C3072" t="s">
        <v>6484</v>
      </c>
      <c r="D3072" t="s">
        <v>210</v>
      </c>
      <c r="F3072">
        <v>688962208</v>
      </c>
      <c r="G3072">
        <v>604422155</v>
      </c>
      <c r="H3072">
        <v>451656674</v>
      </c>
      <c r="I3072">
        <v>559383742</v>
      </c>
      <c r="J3072">
        <v>453212634</v>
      </c>
      <c r="K3072">
        <v>421834228</v>
      </c>
      <c r="L3072">
        <v>437572582</v>
      </c>
      <c r="M3072">
        <v>463310812</v>
      </c>
      <c r="N3072">
        <v>186359596</v>
      </c>
      <c r="O3072">
        <v>306968986</v>
      </c>
      <c r="P3072">
        <v>105</v>
      </c>
      <c r="Q3072" t="s">
        <v>6485</v>
      </c>
    </row>
    <row r="3073" spans="1:17" x14ac:dyDescent="0.3">
      <c r="A3073" t="s">
        <v>4729</v>
      </c>
      <c r="B3073" t="str">
        <f>"002347"</f>
        <v>002347</v>
      </c>
      <c r="C3073" t="s">
        <v>6486</v>
      </c>
      <c r="D3073" t="s">
        <v>274</v>
      </c>
      <c r="F3073">
        <v>1059376696</v>
      </c>
      <c r="G3073">
        <v>811976466</v>
      </c>
      <c r="H3073">
        <v>818380089</v>
      </c>
      <c r="I3073">
        <v>746253239</v>
      </c>
      <c r="J3073">
        <v>438258841</v>
      </c>
      <c r="K3073">
        <v>366846800</v>
      </c>
      <c r="L3073">
        <v>375840132</v>
      </c>
      <c r="M3073">
        <v>373042529</v>
      </c>
      <c r="N3073">
        <v>358019291</v>
      </c>
      <c r="O3073">
        <v>406746701</v>
      </c>
      <c r="P3073">
        <v>75</v>
      </c>
      <c r="Q3073" t="s">
        <v>6487</v>
      </c>
    </row>
    <row r="3074" spans="1:17" x14ac:dyDescent="0.3">
      <c r="A3074" t="s">
        <v>4729</v>
      </c>
      <c r="B3074" t="str">
        <f>"002348"</f>
        <v>002348</v>
      </c>
      <c r="C3074" t="s">
        <v>6488</v>
      </c>
      <c r="D3074" t="s">
        <v>2931</v>
      </c>
      <c r="F3074">
        <v>439686407</v>
      </c>
      <c r="G3074">
        <v>507658168</v>
      </c>
      <c r="H3074">
        <v>712431248</v>
      </c>
      <c r="I3074">
        <v>830248171</v>
      </c>
      <c r="J3074">
        <v>661152900</v>
      </c>
      <c r="K3074">
        <v>403507350</v>
      </c>
      <c r="L3074">
        <v>414433041</v>
      </c>
      <c r="M3074">
        <v>417037052</v>
      </c>
      <c r="N3074">
        <v>425468241</v>
      </c>
      <c r="O3074">
        <v>391955598</v>
      </c>
      <c r="P3074">
        <v>112</v>
      </c>
      <c r="Q3074" t="s">
        <v>6489</v>
      </c>
    </row>
    <row r="3075" spans="1:17" x14ac:dyDescent="0.3">
      <c r="A3075" t="s">
        <v>4729</v>
      </c>
      <c r="B3075" t="str">
        <f>"002349"</f>
        <v>002349</v>
      </c>
      <c r="C3075" t="s">
        <v>6490</v>
      </c>
      <c r="D3075" t="s">
        <v>188</v>
      </c>
      <c r="F3075">
        <v>1357868014</v>
      </c>
      <c r="G3075">
        <v>1281353325</v>
      </c>
      <c r="H3075">
        <v>1157389428</v>
      </c>
      <c r="I3075">
        <v>1354705882</v>
      </c>
      <c r="J3075">
        <v>1120920318</v>
      </c>
      <c r="K3075">
        <v>881487171</v>
      </c>
      <c r="L3075">
        <v>780334010</v>
      </c>
      <c r="M3075">
        <v>577753554</v>
      </c>
      <c r="N3075">
        <v>732618194</v>
      </c>
      <c r="O3075">
        <v>665382374</v>
      </c>
      <c r="P3075">
        <v>194</v>
      </c>
      <c r="Q3075" t="s">
        <v>6491</v>
      </c>
    </row>
    <row r="3076" spans="1:17" x14ac:dyDescent="0.3">
      <c r="A3076" t="s">
        <v>4729</v>
      </c>
      <c r="B3076" t="str">
        <f>"002350"</f>
        <v>002350</v>
      </c>
      <c r="C3076" t="s">
        <v>6492</v>
      </c>
      <c r="D3076" t="s">
        <v>657</v>
      </c>
      <c r="F3076">
        <v>2333181210</v>
      </c>
      <c r="G3076">
        <v>2182895356</v>
      </c>
      <c r="H3076">
        <v>2420992908</v>
      </c>
      <c r="I3076">
        <v>2550582515</v>
      </c>
      <c r="J3076">
        <v>2215280596</v>
      </c>
      <c r="K3076">
        <v>1776594263</v>
      </c>
      <c r="L3076">
        <v>1462220055</v>
      </c>
      <c r="M3076">
        <v>1347774548</v>
      </c>
      <c r="N3076">
        <v>993434619</v>
      </c>
      <c r="O3076">
        <v>1124120611</v>
      </c>
      <c r="P3076">
        <v>104</v>
      </c>
      <c r="Q3076" t="s">
        <v>6493</v>
      </c>
    </row>
    <row r="3077" spans="1:17" x14ac:dyDescent="0.3">
      <c r="A3077" t="s">
        <v>4729</v>
      </c>
      <c r="B3077" t="str">
        <f>"002351"</f>
        <v>002351</v>
      </c>
      <c r="C3077" t="s">
        <v>6494</v>
      </c>
      <c r="D3077" t="s">
        <v>3526</v>
      </c>
      <c r="F3077">
        <v>2303667859</v>
      </c>
      <c r="G3077">
        <v>1934181462</v>
      </c>
      <c r="H3077">
        <v>1243145580</v>
      </c>
      <c r="I3077">
        <v>880866313</v>
      </c>
      <c r="J3077">
        <v>900790384</v>
      </c>
      <c r="K3077">
        <v>726172575</v>
      </c>
      <c r="L3077">
        <v>661471342</v>
      </c>
      <c r="M3077">
        <v>681418080</v>
      </c>
      <c r="N3077">
        <v>734310075</v>
      </c>
      <c r="O3077">
        <v>792961679</v>
      </c>
      <c r="P3077">
        <v>339</v>
      </c>
      <c r="Q3077" t="s">
        <v>6495</v>
      </c>
    </row>
    <row r="3078" spans="1:17" x14ac:dyDescent="0.3">
      <c r="A3078" t="s">
        <v>4729</v>
      </c>
      <c r="B3078" t="str">
        <f>"002352"</f>
        <v>002352</v>
      </c>
      <c r="C3078" t="s">
        <v>6496</v>
      </c>
      <c r="D3078" t="s">
        <v>537</v>
      </c>
      <c r="F3078">
        <v>207186647000</v>
      </c>
      <c r="G3078">
        <v>153986870053</v>
      </c>
      <c r="H3078">
        <v>112193396064</v>
      </c>
      <c r="I3078">
        <v>90942694240</v>
      </c>
      <c r="J3078">
        <v>71094296984</v>
      </c>
      <c r="K3078">
        <v>57482698073</v>
      </c>
      <c r="L3078">
        <v>668465543</v>
      </c>
      <c r="M3078">
        <v>812645897</v>
      </c>
      <c r="N3078">
        <v>721994655</v>
      </c>
      <c r="O3078">
        <v>833419819</v>
      </c>
      <c r="P3078">
        <v>3728</v>
      </c>
      <c r="Q3078" t="s">
        <v>6497</v>
      </c>
    </row>
    <row r="3079" spans="1:17" x14ac:dyDescent="0.3">
      <c r="A3079" t="s">
        <v>4729</v>
      </c>
      <c r="B3079" t="str">
        <f>"002353"</f>
        <v>002353</v>
      </c>
      <c r="C3079" t="s">
        <v>6498</v>
      </c>
      <c r="D3079" t="s">
        <v>395</v>
      </c>
      <c r="F3079">
        <v>8776172248</v>
      </c>
      <c r="G3079">
        <v>8294957105</v>
      </c>
      <c r="H3079">
        <v>6925426977</v>
      </c>
      <c r="I3079">
        <v>4596771207</v>
      </c>
      <c r="J3079">
        <v>3187076543</v>
      </c>
      <c r="K3079">
        <v>2833829957</v>
      </c>
      <c r="L3079">
        <v>2826572017</v>
      </c>
      <c r="M3079">
        <v>4460602104</v>
      </c>
      <c r="N3079">
        <v>3700232672</v>
      </c>
      <c r="O3079">
        <v>2384029703</v>
      </c>
      <c r="P3079">
        <v>863</v>
      </c>
      <c r="Q3079" t="s">
        <v>6499</v>
      </c>
    </row>
    <row r="3080" spans="1:17" x14ac:dyDescent="0.3">
      <c r="A3080" t="s">
        <v>4729</v>
      </c>
      <c r="B3080" t="str">
        <f>"002354"</f>
        <v>002354</v>
      </c>
      <c r="C3080" t="s">
        <v>6500</v>
      </c>
      <c r="D3080" t="s">
        <v>517</v>
      </c>
      <c r="F3080">
        <v>1764077432</v>
      </c>
      <c r="G3080">
        <v>996266630</v>
      </c>
      <c r="H3080">
        <v>1334906169</v>
      </c>
      <c r="I3080">
        <v>2598811185</v>
      </c>
      <c r="J3080">
        <v>3101374995</v>
      </c>
      <c r="K3080">
        <v>1674860622</v>
      </c>
      <c r="L3080">
        <v>940847582</v>
      </c>
      <c r="M3080">
        <v>475541247</v>
      </c>
      <c r="N3080">
        <v>404860704</v>
      </c>
      <c r="O3080">
        <v>368978530</v>
      </c>
      <c r="P3080">
        <v>265</v>
      </c>
      <c r="Q3080" t="s">
        <v>6501</v>
      </c>
    </row>
    <row r="3081" spans="1:17" x14ac:dyDescent="0.3">
      <c r="A3081" t="s">
        <v>4729</v>
      </c>
      <c r="B3081" t="str">
        <f>"002355"</f>
        <v>002355</v>
      </c>
      <c r="C3081" t="s">
        <v>6502</v>
      </c>
      <c r="D3081" t="s">
        <v>422</v>
      </c>
      <c r="F3081">
        <v>1418483588</v>
      </c>
      <c r="G3081">
        <v>1465176760</v>
      </c>
      <c r="H3081">
        <v>1832114195</v>
      </c>
      <c r="I3081">
        <v>1889691783</v>
      </c>
      <c r="J3081">
        <v>1868128413</v>
      </c>
      <c r="K3081">
        <v>1295151713</v>
      </c>
      <c r="L3081">
        <v>1106055809</v>
      </c>
      <c r="M3081">
        <v>1325388727</v>
      </c>
      <c r="N3081">
        <v>1284847420</v>
      </c>
      <c r="O3081">
        <v>1133590676</v>
      </c>
      <c r="P3081">
        <v>120</v>
      </c>
      <c r="Q3081" t="s">
        <v>6503</v>
      </c>
    </row>
    <row r="3082" spans="1:17" x14ac:dyDescent="0.3">
      <c r="A3082" t="s">
        <v>4729</v>
      </c>
      <c r="B3082" t="str">
        <f>"002356"</f>
        <v>002356</v>
      </c>
      <c r="C3082" t="s">
        <v>6504</v>
      </c>
      <c r="D3082" t="s">
        <v>1404</v>
      </c>
      <c r="F3082">
        <v>332794449</v>
      </c>
      <c r="G3082">
        <v>466537017</v>
      </c>
      <c r="H3082">
        <v>848393526</v>
      </c>
      <c r="I3082">
        <v>1918218259</v>
      </c>
      <c r="J3082">
        <v>2410387858</v>
      </c>
      <c r="K3082">
        <v>2126708617</v>
      </c>
      <c r="L3082">
        <v>1262020480</v>
      </c>
      <c r="M3082">
        <v>774120629</v>
      </c>
      <c r="N3082">
        <v>611880578</v>
      </c>
      <c r="O3082">
        <v>610781848</v>
      </c>
      <c r="P3082">
        <v>75</v>
      </c>
      <c r="Q3082" t="s">
        <v>6505</v>
      </c>
    </row>
    <row r="3083" spans="1:17" x14ac:dyDescent="0.3">
      <c r="A3083" t="s">
        <v>4729</v>
      </c>
      <c r="B3083" t="str">
        <f>"002357"</f>
        <v>002357</v>
      </c>
      <c r="C3083" t="s">
        <v>6506</v>
      </c>
      <c r="D3083" t="s">
        <v>1133</v>
      </c>
      <c r="F3083">
        <v>696706101</v>
      </c>
      <c r="G3083">
        <v>628905444</v>
      </c>
      <c r="H3083">
        <v>885614821</v>
      </c>
      <c r="I3083">
        <v>959999712</v>
      </c>
      <c r="J3083">
        <v>1075209433</v>
      </c>
      <c r="K3083">
        <v>1190372546</v>
      </c>
      <c r="L3083">
        <v>1291426754</v>
      </c>
      <c r="M3083">
        <v>391287590</v>
      </c>
      <c r="N3083">
        <v>372236544</v>
      </c>
      <c r="O3083">
        <v>325784649</v>
      </c>
      <c r="P3083">
        <v>102</v>
      </c>
      <c r="Q3083" t="s">
        <v>6507</v>
      </c>
    </row>
    <row r="3084" spans="1:17" x14ac:dyDescent="0.3">
      <c r="A3084" t="s">
        <v>4729</v>
      </c>
      <c r="B3084" t="str">
        <f>"002358"</f>
        <v>002358</v>
      </c>
      <c r="C3084" t="s">
        <v>6508</v>
      </c>
      <c r="D3084" t="s">
        <v>210</v>
      </c>
      <c r="F3084">
        <v>1708191846</v>
      </c>
      <c r="G3084">
        <v>1649914528</v>
      </c>
      <c r="H3084">
        <v>1626751720</v>
      </c>
      <c r="I3084">
        <v>2700743663</v>
      </c>
      <c r="J3084">
        <v>3551471460</v>
      </c>
      <c r="K3084">
        <v>2952700424</v>
      </c>
      <c r="L3084">
        <v>1689922083</v>
      </c>
      <c r="M3084">
        <v>1125201346</v>
      </c>
      <c r="N3084">
        <v>1319285934</v>
      </c>
      <c r="O3084">
        <v>990486871</v>
      </c>
      <c r="P3084">
        <v>142</v>
      </c>
      <c r="Q3084" t="s">
        <v>6509</v>
      </c>
    </row>
    <row r="3085" spans="1:17" x14ac:dyDescent="0.3">
      <c r="A3085" t="s">
        <v>4729</v>
      </c>
      <c r="B3085" t="str">
        <f>"002359"</f>
        <v>002359</v>
      </c>
      <c r="C3085" t="s">
        <v>6510</v>
      </c>
      <c r="G3085">
        <v>351345803</v>
      </c>
      <c r="H3085">
        <v>286797711</v>
      </c>
      <c r="I3085">
        <v>2696492174</v>
      </c>
      <c r="J3085">
        <v>2095872421</v>
      </c>
      <c r="K3085">
        <v>940127834</v>
      </c>
      <c r="L3085">
        <v>661564256</v>
      </c>
      <c r="M3085">
        <v>590404400</v>
      </c>
      <c r="N3085">
        <v>693641669</v>
      </c>
      <c r="O3085">
        <v>597326004</v>
      </c>
      <c r="P3085">
        <v>68</v>
      </c>
      <c r="Q3085" t="s">
        <v>6511</v>
      </c>
    </row>
    <row r="3086" spans="1:17" x14ac:dyDescent="0.3">
      <c r="A3086" t="s">
        <v>4729</v>
      </c>
      <c r="B3086" t="str">
        <f>"002360"</f>
        <v>002360</v>
      </c>
      <c r="C3086" t="s">
        <v>6512</v>
      </c>
      <c r="D3086" t="s">
        <v>2736</v>
      </c>
      <c r="F3086">
        <v>852561477</v>
      </c>
      <c r="G3086">
        <v>962522801</v>
      </c>
      <c r="H3086">
        <v>842892055</v>
      </c>
      <c r="I3086">
        <v>896586128</v>
      </c>
      <c r="J3086">
        <v>709716418</v>
      </c>
      <c r="K3086">
        <v>646493376</v>
      </c>
      <c r="L3086">
        <v>674552265</v>
      </c>
      <c r="M3086">
        <v>896799585</v>
      </c>
      <c r="N3086">
        <v>827092489</v>
      </c>
      <c r="O3086">
        <v>564557488</v>
      </c>
      <c r="P3086">
        <v>111</v>
      </c>
      <c r="Q3086" t="s">
        <v>6513</v>
      </c>
    </row>
    <row r="3087" spans="1:17" x14ac:dyDescent="0.3">
      <c r="A3087" t="s">
        <v>4729</v>
      </c>
      <c r="B3087" t="str">
        <f>"002361"</f>
        <v>002361</v>
      </c>
      <c r="C3087" t="s">
        <v>6514</v>
      </c>
      <c r="D3087" t="s">
        <v>3377</v>
      </c>
      <c r="F3087">
        <v>2591275506</v>
      </c>
      <c r="G3087">
        <v>1869319573</v>
      </c>
      <c r="H3087">
        <v>2078690550</v>
      </c>
      <c r="I3087">
        <v>1937869068</v>
      </c>
      <c r="J3087">
        <v>1827986378</v>
      </c>
      <c r="K3087">
        <v>1413156057</v>
      </c>
      <c r="L3087">
        <v>1178688359</v>
      </c>
      <c r="M3087">
        <v>1249584676</v>
      </c>
      <c r="N3087">
        <v>982492266</v>
      </c>
      <c r="O3087">
        <v>823659728</v>
      </c>
      <c r="P3087">
        <v>89</v>
      </c>
      <c r="Q3087" t="s">
        <v>6515</v>
      </c>
    </row>
    <row r="3088" spans="1:17" x14ac:dyDescent="0.3">
      <c r="A3088" t="s">
        <v>4729</v>
      </c>
      <c r="B3088" t="str">
        <f>"002362"</f>
        <v>002362</v>
      </c>
      <c r="C3088" t="s">
        <v>6516</v>
      </c>
      <c r="D3088" t="s">
        <v>945</v>
      </c>
      <c r="F3088">
        <v>1613261199</v>
      </c>
      <c r="G3088">
        <v>1555160537</v>
      </c>
      <c r="H3088">
        <v>1104507779</v>
      </c>
      <c r="I3088">
        <v>747282042</v>
      </c>
      <c r="J3088">
        <v>604385667</v>
      </c>
      <c r="K3088">
        <v>415626508</v>
      </c>
      <c r="L3088">
        <v>364158919</v>
      </c>
      <c r="M3088">
        <v>354285533</v>
      </c>
      <c r="N3088">
        <v>278734565</v>
      </c>
      <c r="O3088">
        <v>413951214</v>
      </c>
      <c r="P3088">
        <v>197</v>
      </c>
      <c r="Q3088" t="s">
        <v>6517</v>
      </c>
    </row>
    <row r="3089" spans="1:17" x14ac:dyDescent="0.3">
      <c r="A3089" t="s">
        <v>4729</v>
      </c>
      <c r="B3089" t="str">
        <f>"002363"</f>
        <v>002363</v>
      </c>
      <c r="C3089" t="s">
        <v>6518</v>
      </c>
      <c r="D3089" t="s">
        <v>348</v>
      </c>
      <c r="F3089">
        <v>1959669298</v>
      </c>
      <c r="G3089">
        <v>1596463053</v>
      </c>
      <c r="H3089">
        <v>1632845128</v>
      </c>
      <c r="I3089">
        <v>1900511876</v>
      </c>
      <c r="J3089">
        <v>1724623250</v>
      </c>
      <c r="K3089">
        <v>1471762826</v>
      </c>
      <c r="L3089">
        <v>1386499118</v>
      </c>
      <c r="M3089">
        <v>1238033575</v>
      </c>
      <c r="N3089">
        <v>1132157973</v>
      </c>
      <c r="O3089">
        <v>1011519308</v>
      </c>
      <c r="P3089">
        <v>126</v>
      </c>
      <c r="Q3089" t="s">
        <v>6519</v>
      </c>
    </row>
    <row r="3090" spans="1:17" x14ac:dyDescent="0.3">
      <c r="A3090" t="s">
        <v>4729</v>
      </c>
      <c r="B3090" t="str">
        <f>"002364"</f>
        <v>002364</v>
      </c>
      <c r="C3090" t="s">
        <v>6520</v>
      </c>
      <c r="D3090" t="s">
        <v>880</v>
      </c>
      <c r="F3090">
        <v>1818872738</v>
      </c>
      <c r="G3090">
        <v>1433495165</v>
      </c>
      <c r="H3090">
        <v>1173602080</v>
      </c>
      <c r="I3090">
        <v>984082514</v>
      </c>
      <c r="J3090">
        <v>866109401</v>
      </c>
      <c r="K3090">
        <v>891150097</v>
      </c>
      <c r="L3090">
        <v>841829704</v>
      </c>
      <c r="M3090">
        <v>600906469</v>
      </c>
      <c r="N3090">
        <v>431885286</v>
      </c>
      <c r="O3090">
        <v>396128451</v>
      </c>
      <c r="P3090">
        <v>219</v>
      </c>
      <c r="Q3090" t="s">
        <v>6521</v>
      </c>
    </row>
    <row r="3091" spans="1:17" x14ac:dyDescent="0.3">
      <c r="A3091" t="s">
        <v>4729</v>
      </c>
      <c r="B3091" t="str">
        <f>"002365"</f>
        <v>002365</v>
      </c>
      <c r="C3091" t="s">
        <v>6522</v>
      </c>
      <c r="D3091" t="s">
        <v>496</v>
      </c>
      <c r="F3091">
        <v>1565409182</v>
      </c>
      <c r="G3091">
        <v>1172853519</v>
      </c>
      <c r="H3091">
        <v>1370443052</v>
      </c>
      <c r="I3091">
        <v>1005407832</v>
      </c>
      <c r="J3091">
        <v>932771729</v>
      </c>
      <c r="K3091">
        <v>549399725</v>
      </c>
      <c r="L3091">
        <v>555893652</v>
      </c>
      <c r="M3091">
        <v>658417064</v>
      </c>
      <c r="N3091">
        <v>522718156</v>
      </c>
      <c r="O3091">
        <v>470697829</v>
      </c>
      <c r="P3091">
        <v>195</v>
      </c>
      <c r="Q3091" t="s">
        <v>6523</v>
      </c>
    </row>
    <row r="3092" spans="1:17" x14ac:dyDescent="0.3">
      <c r="A3092" t="s">
        <v>4729</v>
      </c>
      <c r="B3092" t="str">
        <f>"002366"</f>
        <v>002366</v>
      </c>
      <c r="C3092" t="s">
        <v>6524</v>
      </c>
      <c r="D3092" t="s">
        <v>880</v>
      </c>
      <c r="F3092">
        <v>408295821</v>
      </c>
      <c r="G3092">
        <v>440057718</v>
      </c>
      <c r="H3092">
        <v>509758442</v>
      </c>
      <c r="I3092">
        <v>1379664129</v>
      </c>
      <c r="J3092">
        <v>2469808307</v>
      </c>
      <c r="K3092">
        <v>1210071378</v>
      </c>
      <c r="L3092">
        <v>393555225</v>
      </c>
      <c r="M3092">
        <v>573466191</v>
      </c>
      <c r="N3092">
        <v>616291416</v>
      </c>
      <c r="O3092">
        <v>603557117</v>
      </c>
      <c r="P3092">
        <v>175</v>
      </c>
      <c r="Q3092" t="s">
        <v>6525</v>
      </c>
    </row>
    <row r="3093" spans="1:17" x14ac:dyDescent="0.3">
      <c r="A3093" t="s">
        <v>4729</v>
      </c>
      <c r="B3093" t="str">
        <f>"002367"</f>
        <v>002367</v>
      </c>
      <c r="C3093" t="s">
        <v>6526</v>
      </c>
      <c r="D3093" t="s">
        <v>1691</v>
      </c>
      <c r="F3093">
        <v>5169911298</v>
      </c>
      <c r="G3093">
        <v>4280120001</v>
      </c>
      <c r="H3093">
        <v>3663130278</v>
      </c>
      <c r="I3093">
        <v>3091835825</v>
      </c>
      <c r="J3093">
        <v>3279935046</v>
      </c>
      <c r="K3093">
        <v>3314058122</v>
      </c>
      <c r="L3093">
        <v>3270312470</v>
      </c>
      <c r="M3093">
        <v>2821281989</v>
      </c>
      <c r="N3093">
        <v>2228396873</v>
      </c>
      <c r="O3093">
        <v>1823337342</v>
      </c>
      <c r="P3093">
        <v>388</v>
      </c>
      <c r="Q3093" t="s">
        <v>6527</v>
      </c>
    </row>
    <row r="3094" spans="1:17" x14ac:dyDescent="0.3">
      <c r="A3094" t="s">
        <v>4729</v>
      </c>
      <c r="B3094" t="str">
        <f>"002368"</f>
        <v>002368</v>
      </c>
      <c r="C3094" t="s">
        <v>6528</v>
      </c>
      <c r="D3094" t="s">
        <v>316</v>
      </c>
      <c r="F3094">
        <v>10504878283</v>
      </c>
      <c r="G3094">
        <v>8532609638</v>
      </c>
      <c r="H3094">
        <v>7062735038</v>
      </c>
      <c r="I3094">
        <v>6016098404</v>
      </c>
      <c r="J3094">
        <v>5299588470</v>
      </c>
      <c r="K3094">
        <v>5164075576</v>
      </c>
      <c r="L3094">
        <v>4829487171</v>
      </c>
      <c r="M3094">
        <v>4255622147</v>
      </c>
      <c r="N3094">
        <v>3366376085</v>
      </c>
      <c r="O3094">
        <v>2888276885</v>
      </c>
      <c r="P3094">
        <v>373</v>
      </c>
      <c r="Q3094" t="s">
        <v>6529</v>
      </c>
    </row>
    <row r="3095" spans="1:17" x14ac:dyDescent="0.3">
      <c r="A3095" t="s">
        <v>4729</v>
      </c>
      <c r="B3095" t="str">
        <f>"002369"</f>
        <v>002369</v>
      </c>
      <c r="C3095" t="s">
        <v>6530</v>
      </c>
      <c r="D3095" t="s">
        <v>313</v>
      </c>
      <c r="F3095">
        <v>2495227363</v>
      </c>
      <c r="G3095">
        <v>3040626182</v>
      </c>
      <c r="H3095">
        <v>3343171427</v>
      </c>
      <c r="I3095">
        <v>3146176524</v>
      </c>
      <c r="J3095">
        <v>2763249182</v>
      </c>
      <c r="K3095">
        <v>2697981964</v>
      </c>
      <c r="L3095">
        <v>3779465102</v>
      </c>
      <c r="M3095">
        <v>3586877474</v>
      </c>
      <c r="N3095">
        <v>2043620035</v>
      </c>
      <c r="O3095">
        <v>1469818734</v>
      </c>
      <c r="P3095">
        <v>179</v>
      </c>
      <c r="Q3095" t="s">
        <v>6531</v>
      </c>
    </row>
    <row r="3096" spans="1:17" x14ac:dyDescent="0.3">
      <c r="A3096" t="s">
        <v>4729</v>
      </c>
      <c r="B3096" t="str">
        <f>"002370"</f>
        <v>002370</v>
      </c>
      <c r="C3096" t="s">
        <v>6532</v>
      </c>
      <c r="D3096" t="s">
        <v>143</v>
      </c>
      <c r="F3096">
        <v>315134249</v>
      </c>
      <c r="G3096">
        <v>514885287</v>
      </c>
      <c r="H3096">
        <v>709291124</v>
      </c>
      <c r="I3096">
        <v>1132392747</v>
      </c>
      <c r="J3096">
        <v>906868690</v>
      </c>
      <c r="K3096">
        <v>762341882</v>
      </c>
      <c r="L3096">
        <v>463145519</v>
      </c>
      <c r="M3096">
        <v>375601839</v>
      </c>
      <c r="N3096">
        <v>313637218</v>
      </c>
      <c r="O3096">
        <v>316044644</v>
      </c>
      <c r="P3096">
        <v>201</v>
      </c>
      <c r="Q3096" t="s">
        <v>6533</v>
      </c>
    </row>
    <row r="3097" spans="1:17" x14ac:dyDescent="0.3">
      <c r="A3097" t="s">
        <v>4729</v>
      </c>
      <c r="B3097" t="str">
        <f>"002371"</f>
        <v>002371</v>
      </c>
      <c r="C3097" t="s">
        <v>6534</v>
      </c>
      <c r="D3097" t="s">
        <v>3187</v>
      </c>
      <c r="F3097">
        <v>9683478119</v>
      </c>
      <c r="G3097">
        <v>6056043031</v>
      </c>
      <c r="H3097">
        <v>4058312882</v>
      </c>
      <c r="I3097">
        <v>3323850957</v>
      </c>
      <c r="J3097">
        <v>2222818470</v>
      </c>
      <c r="K3097">
        <v>1622387418</v>
      </c>
      <c r="L3097">
        <v>854458664</v>
      </c>
      <c r="M3097">
        <v>961734097</v>
      </c>
      <c r="N3097">
        <v>859527070</v>
      </c>
      <c r="O3097">
        <v>1012243465</v>
      </c>
      <c r="P3097">
        <v>1587</v>
      </c>
      <c r="Q3097" t="s">
        <v>6535</v>
      </c>
    </row>
    <row r="3098" spans="1:17" x14ac:dyDescent="0.3">
      <c r="A3098" t="s">
        <v>4729</v>
      </c>
      <c r="B3098" t="str">
        <f>"002372"</f>
        <v>002372</v>
      </c>
      <c r="C3098" t="s">
        <v>6536</v>
      </c>
      <c r="D3098" t="s">
        <v>3347</v>
      </c>
      <c r="F3098">
        <v>6387626214</v>
      </c>
      <c r="G3098">
        <v>5104806705</v>
      </c>
      <c r="H3098">
        <v>4664060883</v>
      </c>
      <c r="I3098">
        <v>4569537729</v>
      </c>
      <c r="J3098">
        <v>3902958186</v>
      </c>
      <c r="K3098">
        <v>3321493432</v>
      </c>
      <c r="L3098">
        <v>2746501501</v>
      </c>
      <c r="M3098">
        <v>2353677591</v>
      </c>
      <c r="N3098">
        <v>2158814375</v>
      </c>
      <c r="O3098">
        <v>1857300980</v>
      </c>
      <c r="P3098">
        <v>10690</v>
      </c>
      <c r="Q3098" t="s">
        <v>6537</v>
      </c>
    </row>
    <row r="3099" spans="1:17" x14ac:dyDescent="0.3">
      <c r="A3099" t="s">
        <v>4729</v>
      </c>
      <c r="B3099" t="str">
        <f>"002373"</f>
        <v>002373</v>
      </c>
      <c r="C3099" t="s">
        <v>6538</v>
      </c>
      <c r="D3099" t="s">
        <v>316</v>
      </c>
      <c r="F3099">
        <v>10281096020</v>
      </c>
      <c r="G3099">
        <v>9418895592</v>
      </c>
      <c r="H3099">
        <v>8722189768</v>
      </c>
      <c r="I3099">
        <v>7251295291</v>
      </c>
      <c r="J3099">
        <v>2504260847</v>
      </c>
      <c r="K3099">
        <v>2344834887</v>
      </c>
      <c r="L3099">
        <v>1542358597</v>
      </c>
      <c r="M3099">
        <v>1360718285</v>
      </c>
      <c r="N3099">
        <v>349281703</v>
      </c>
      <c r="O3099">
        <v>697410130</v>
      </c>
      <c r="P3099">
        <v>713</v>
      </c>
      <c r="Q3099" t="s">
        <v>6539</v>
      </c>
    </row>
    <row r="3100" spans="1:17" x14ac:dyDescent="0.3">
      <c r="A3100" t="s">
        <v>4729</v>
      </c>
      <c r="B3100" t="str">
        <f>"002374"</f>
        <v>002374</v>
      </c>
      <c r="C3100" t="s">
        <v>6540</v>
      </c>
      <c r="D3100" t="s">
        <v>2373</v>
      </c>
      <c r="F3100">
        <v>682600017</v>
      </c>
      <c r="G3100">
        <v>616048822</v>
      </c>
      <c r="H3100">
        <v>1172553104</v>
      </c>
      <c r="I3100">
        <v>1247889350</v>
      </c>
      <c r="J3100">
        <v>1857817489</v>
      </c>
      <c r="K3100">
        <v>1748926893</v>
      </c>
      <c r="L3100">
        <v>1357490739</v>
      </c>
      <c r="M3100">
        <v>701923115</v>
      </c>
      <c r="N3100">
        <v>660601761</v>
      </c>
      <c r="O3100">
        <v>617399844</v>
      </c>
      <c r="P3100">
        <v>92</v>
      </c>
      <c r="Q3100" t="s">
        <v>6541</v>
      </c>
    </row>
    <row r="3101" spans="1:17" x14ac:dyDescent="0.3">
      <c r="A3101" t="s">
        <v>4729</v>
      </c>
      <c r="B3101" t="str">
        <f>"002375"</f>
        <v>002375</v>
      </c>
      <c r="C3101" t="s">
        <v>6542</v>
      </c>
      <c r="D3101" t="s">
        <v>450</v>
      </c>
      <c r="F3101">
        <v>12076293973</v>
      </c>
      <c r="G3101">
        <v>10787352160</v>
      </c>
      <c r="H3101">
        <v>10785629767</v>
      </c>
      <c r="I3101">
        <v>9199473023</v>
      </c>
      <c r="J3101">
        <v>9068796960</v>
      </c>
      <c r="K3101">
        <v>8936853530</v>
      </c>
      <c r="L3101">
        <v>8968523682</v>
      </c>
      <c r="M3101">
        <v>12917112314</v>
      </c>
      <c r="N3101">
        <v>12142947353</v>
      </c>
      <c r="O3101">
        <v>9576539781</v>
      </c>
      <c r="P3101">
        <v>176</v>
      </c>
      <c r="Q3101" t="s">
        <v>6543</v>
      </c>
    </row>
    <row r="3102" spans="1:17" x14ac:dyDescent="0.3">
      <c r="A3102" t="s">
        <v>4729</v>
      </c>
      <c r="B3102" t="str">
        <f>"002376"</f>
        <v>002376</v>
      </c>
      <c r="C3102" t="s">
        <v>6544</v>
      </c>
      <c r="D3102" t="s">
        <v>236</v>
      </c>
      <c r="F3102">
        <v>2645650053</v>
      </c>
      <c r="G3102">
        <v>2395931932</v>
      </c>
      <c r="H3102">
        <v>2450860709</v>
      </c>
      <c r="I3102">
        <v>2635195628</v>
      </c>
      <c r="J3102">
        <v>1860430727</v>
      </c>
      <c r="K3102">
        <v>1635021272</v>
      </c>
      <c r="L3102">
        <v>1210876460</v>
      </c>
      <c r="M3102">
        <v>992438471</v>
      </c>
      <c r="N3102">
        <v>855861098</v>
      </c>
      <c r="O3102">
        <v>756383951</v>
      </c>
      <c r="P3102">
        <v>298</v>
      </c>
      <c r="Q3102" t="s">
        <v>6545</v>
      </c>
    </row>
    <row r="3103" spans="1:17" x14ac:dyDescent="0.3">
      <c r="A3103" t="s">
        <v>4729</v>
      </c>
      <c r="B3103" t="str">
        <f>"002377"</f>
        <v>002377</v>
      </c>
      <c r="C3103" t="s">
        <v>6546</v>
      </c>
      <c r="D3103" t="s">
        <v>5051</v>
      </c>
      <c r="F3103">
        <v>3797619406</v>
      </c>
      <c r="G3103">
        <v>4398289209</v>
      </c>
      <c r="H3103">
        <v>4935568134</v>
      </c>
      <c r="I3103">
        <v>4380707707</v>
      </c>
      <c r="J3103">
        <v>2380524071</v>
      </c>
      <c r="K3103">
        <v>624994262</v>
      </c>
      <c r="L3103">
        <v>1424993570</v>
      </c>
      <c r="M3103">
        <v>1934212550</v>
      </c>
      <c r="N3103">
        <v>1171727478</v>
      </c>
      <c r="O3103">
        <v>1261146267</v>
      </c>
      <c r="P3103">
        <v>95</v>
      </c>
      <c r="Q3103" t="s">
        <v>6547</v>
      </c>
    </row>
    <row r="3104" spans="1:17" x14ac:dyDescent="0.3">
      <c r="A3104" t="s">
        <v>4729</v>
      </c>
      <c r="B3104" t="str">
        <f>"002378"</f>
        <v>002378</v>
      </c>
      <c r="C3104" t="s">
        <v>6548</v>
      </c>
      <c r="D3104" t="s">
        <v>1110</v>
      </c>
      <c r="F3104">
        <v>2664432290</v>
      </c>
      <c r="G3104">
        <v>1931225157</v>
      </c>
      <c r="H3104">
        <v>1827799675</v>
      </c>
      <c r="I3104">
        <v>1869256046</v>
      </c>
      <c r="J3104">
        <v>1830606073</v>
      </c>
      <c r="K3104">
        <v>1311389385</v>
      </c>
      <c r="L3104">
        <v>1343837350</v>
      </c>
      <c r="M3104">
        <v>2038829464</v>
      </c>
      <c r="N3104">
        <v>1952470198</v>
      </c>
      <c r="O3104">
        <v>1744356499</v>
      </c>
      <c r="P3104">
        <v>128</v>
      </c>
      <c r="Q3104" t="s">
        <v>6549</v>
      </c>
    </row>
    <row r="3105" spans="1:17" x14ac:dyDescent="0.3">
      <c r="A3105" t="s">
        <v>4729</v>
      </c>
      <c r="B3105" t="str">
        <f>"002379"</f>
        <v>002379</v>
      </c>
      <c r="C3105" t="s">
        <v>6550</v>
      </c>
      <c r="D3105" t="s">
        <v>504</v>
      </c>
      <c r="F3105">
        <v>3190524073</v>
      </c>
      <c r="G3105">
        <v>2367054172</v>
      </c>
      <c r="H3105">
        <v>2878271809</v>
      </c>
      <c r="I3105">
        <v>1517668591</v>
      </c>
      <c r="J3105">
        <v>1446495313</v>
      </c>
      <c r="K3105">
        <v>977120506</v>
      </c>
      <c r="L3105">
        <v>1528245617</v>
      </c>
      <c r="M3105">
        <v>2039062155</v>
      </c>
      <c r="N3105">
        <v>2412688791</v>
      </c>
      <c r="O3105">
        <v>2058138787</v>
      </c>
      <c r="P3105">
        <v>88</v>
      </c>
      <c r="Q3105" t="s">
        <v>6551</v>
      </c>
    </row>
    <row r="3106" spans="1:17" x14ac:dyDescent="0.3">
      <c r="A3106" t="s">
        <v>4729</v>
      </c>
      <c r="B3106" t="str">
        <f>"002380"</f>
        <v>002380</v>
      </c>
      <c r="C3106" t="s">
        <v>6552</v>
      </c>
      <c r="D3106" t="s">
        <v>316</v>
      </c>
      <c r="F3106">
        <v>1140279009</v>
      </c>
      <c r="G3106">
        <v>844534982</v>
      </c>
      <c r="H3106">
        <v>750142788</v>
      </c>
      <c r="I3106">
        <v>608872838</v>
      </c>
      <c r="J3106">
        <v>590941789</v>
      </c>
      <c r="K3106">
        <v>512680945</v>
      </c>
      <c r="L3106">
        <v>422591659</v>
      </c>
      <c r="M3106">
        <v>314303317</v>
      </c>
      <c r="N3106">
        <v>242725039</v>
      </c>
      <c r="O3106">
        <v>230534107</v>
      </c>
      <c r="P3106">
        <v>131</v>
      </c>
      <c r="Q3106" t="s">
        <v>6553</v>
      </c>
    </row>
    <row r="3107" spans="1:17" x14ac:dyDescent="0.3">
      <c r="A3107" t="s">
        <v>4729</v>
      </c>
      <c r="B3107" t="str">
        <f>"002381"</f>
        <v>002381</v>
      </c>
      <c r="C3107" t="s">
        <v>6554</v>
      </c>
      <c r="D3107" t="s">
        <v>2469</v>
      </c>
      <c r="F3107">
        <v>1916218042</v>
      </c>
      <c r="G3107">
        <v>1811149393</v>
      </c>
      <c r="H3107">
        <v>1525277063</v>
      </c>
      <c r="I3107">
        <v>1358141626</v>
      </c>
      <c r="J3107">
        <v>1137875298</v>
      </c>
      <c r="K3107">
        <v>1071943872</v>
      </c>
      <c r="L3107">
        <v>954305832</v>
      </c>
      <c r="M3107">
        <v>1102096759</v>
      </c>
      <c r="N3107">
        <v>1132619377</v>
      </c>
      <c r="O3107">
        <v>1183458836</v>
      </c>
      <c r="P3107">
        <v>276</v>
      </c>
      <c r="Q3107" t="s">
        <v>6555</v>
      </c>
    </row>
    <row r="3108" spans="1:17" x14ac:dyDescent="0.3">
      <c r="A3108" t="s">
        <v>4729</v>
      </c>
      <c r="B3108" t="str">
        <f>"002382"</f>
        <v>002382</v>
      </c>
      <c r="C3108" t="s">
        <v>6556</v>
      </c>
      <c r="D3108" t="s">
        <v>1077</v>
      </c>
      <c r="F3108">
        <v>8108586465</v>
      </c>
      <c r="G3108">
        <v>7869425144</v>
      </c>
      <c r="H3108">
        <v>3475614155</v>
      </c>
      <c r="I3108">
        <v>2653120079</v>
      </c>
      <c r="J3108">
        <v>1575945309</v>
      </c>
      <c r="K3108">
        <v>1288770720</v>
      </c>
      <c r="L3108">
        <v>1508984687</v>
      </c>
      <c r="M3108">
        <v>1535087448</v>
      </c>
      <c r="N3108">
        <v>1335188020</v>
      </c>
      <c r="O3108">
        <v>1333379951</v>
      </c>
      <c r="P3108">
        <v>849</v>
      </c>
      <c r="Q3108" t="s">
        <v>6557</v>
      </c>
    </row>
    <row r="3109" spans="1:17" x14ac:dyDescent="0.3">
      <c r="A3109" t="s">
        <v>4729</v>
      </c>
      <c r="B3109" t="str">
        <f>"002383"</f>
        <v>002383</v>
      </c>
      <c r="C3109" t="s">
        <v>6558</v>
      </c>
      <c r="D3109" t="s">
        <v>1136</v>
      </c>
      <c r="F3109">
        <v>2107546243</v>
      </c>
      <c r="G3109">
        <v>1690239245</v>
      </c>
      <c r="H3109">
        <v>1548913727</v>
      </c>
      <c r="I3109">
        <v>2299991415</v>
      </c>
      <c r="J3109">
        <v>2287703749</v>
      </c>
      <c r="K3109">
        <v>1170283594</v>
      </c>
      <c r="L3109">
        <v>757069209</v>
      </c>
      <c r="M3109">
        <v>489874158</v>
      </c>
      <c r="N3109">
        <v>619755877</v>
      </c>
      <c r="O3109">
        <v>414979642</v>
      </c>
      <c r="P3109">
        <v>211</v>
      </c>
      <c r="Q3109" t="s">
        <v>6559</v>
      </c>
    </row>
    <row r="3110" spans="1:17" x14ac:dyDescent="0.3">
      <c r="A3110" t="s">
        <v>4729</v>
      </c>
      <c r="B3110" t="str">
        <f>"002384"</f>
        <v>002384</v>
      </c>
      <c r="C3110" t="s">
        <v>6560</v>
      </c>
      <c r="D3110" t="s">
        <v>425</v>
      </c>
      <c r="F3110">
        <v>31793147908</v>
      </c>
      <c r="G3110">
        <v>28093409430</v>
      </c>
      <c r="H3110">
        <v>23552825103</v>
      </c>
      <c r="I3110">
        <v>19825420035</v>
      </c>
      <c r="J3110">
        <v>15389565630</v>
      </c>
      <c r="K3110">
        <v>8403297217</v>
      </c>
      <c r="L3110">
        <v>3992874010</v>
      </c>
      <c r="M3110">
        <v>3523739425</v>
      </c>
      <c r="N3110">
        <v>2642072348</v>
      </c>
      <c r="O3110">
        <v>1816463925</v>
      </c>
      <c r="P3110">
        <v>1070</v>
      </c>
      <c r="Q3110" t="s">
        <v>6561</v>
      </c>
    </row>
    <row r="3111" spans="1:17" x14ac:dyDescent="0.3">
      <c r="A3111" t="s">
        <v>4729</v>
      </c>
      <c r="B3111" t="str">
        <f>"002385"</f>
        <v>002385</v>
      </c>
      <c r="C3111" t="s">
        <v>6562</v>
      </c>
      <c r="D3111" t="s">
        <v>2886</v>
      </c>
      <c r="F3111">
        <v>31328078121</v>
      </c>
      <c r="G3111">
        <v>22813861333</v>
      </c>
      <c r="H3111">
        <v>16577901767</v>
      </c>
      <c r="I3111">
        <v>19302066718</v>
      </c>
      <c r="J3111">
        <v>18741738574</v>
      </c>
      <c r="K3111">
        <v>16840937067</v>
      </c>
      <c r="L3111">
        <v>16098085185</v>
      </c>
      <c r="M3111">
        <v>18444915960</v>
      </c>
      <c r="N3111">
        <v>16661124004</v>
      </c>
      <c r="O3111">
        <v>10639570118</v>
      </c>
      <c r="P3111">
        <v>890</v>
      </c>
      <c r="Q3111" t="s">
        <v>6563</v>
      </c>
    </row>
    <row r="3112" spans="1:17" x14ac:dyDescent="0.3">
      <c r="A3112" t="s">
        <v>4729</v>
      </c>
      <c r="B3112" t="str">
        <f>"002386"</f>
        <v>002386</v>
      </c>
      <c r="C3112" t="s">
        <v>6564</v>
      </c>
      <c r="D3112" t="s">
        <v>175</v>
      </c>
      <c r="F3112">
        <v>18824859936</v>
      </c>
      <c r="G3112">
        <v>21646070304</v>
      </c>
      <c r="H3112">
        <v>23103208447</v>
      </c>
      <c r="I3112">
        <v>18123173259</v>
      </c>
      <c r="J3112">
        <v>15285575244</v>
      </c>
      <c r="K3112">
        <v>12501860869</v>
      </c>
      <c r="L3112">
        <v>10703827561</v>
      </c>
      <c r="M3112">
        <v>9183984600</v>
      </c>
      <c r="N3112">
        <v>9152048013</v>
      </c>
      <c r="O3112">
        <v>5828007523</v>
      </c>
      <c r="P3112">
        <v>143</v>
      </c>
      <c r="Q3112" t="s">
        <v>6565</v>
      </c>
    </row>
    <row r="3113" spans="1:17" x14ac:dyDescent="0.3">
      <c r="A3113" t="s">
        <v>4729</v>
      </c>
      <c r="B3113" t="str">
        <f>"002387"</f>
        <v>002387</v>
      </c>
      <c r="C3113" t="s">
        <v>6566</v>
      </c>
      <c r="D3113" t="s">
        <v>1117</v>
      </c>
      <c r="F3113">
        <v>4544470603</v>
      </c>
      <c r="G3113">
        <v>3434331072</v>
      </c>
      <c r="H3113">
        <v>2689559156</v>
      </c>
      <c r="I3113">
        <v>1778152197</v>
      </c>
      <c r="J3113">
        <v>31727546</v>
      </c>
      <c r="K3113">
        <v>159157619</v>
      </c>
      <c r="L3113">
        <v>430507791</v>
      </c>
      <c r="M3113">
        <v>583344130</v>
      </c>
      <c r="N3113">
        <v>697156325</v>
      </c>
      <c r="O3113">
        <v>762873354</v>
      </c>
      <c r="P3113">
        <v>274</v>
      </c>
      <c r="Q3113" t="s">
        <v>6567</v>
      </c>
    </row>
    <row r="3114" spans="1:17" x14ac:dyDescent="0.3">
      <c r="A3114" t="s">
        <v>4729</v>
      </c>
      <c r="B3114" t="str">
        <f>"002388"</f>
        <v>002388</v>
      </c>
      <c r="C3114" t="s">
        <v>6568</v>
      </c>
      <c r="D3114" t="s">
        <v>651</v>
      </c>
      <c r="F3114">
        <v>2319586820</v>
      </c>
      <c r="G3114">
        <v>2039231422</v>
      </c>
      <c r="H3114">
        <v>1514989472</v>
      </c>
      <c r="I3114">
        <v>837647797</v>
      </c>
      <c r="J3114">
        <v>812610818</v>
      </c>
      <c r="K3114">
        <v>814382755</v>
      </c>
      <c r="L3114">
        <v>569444395</v>
      </c>
      <c r="M3114">
        <v>517205184</v>
      </c>
      <c r="N3114">
        <v>419771007</v>
      </c>
      <c r="O3114">
        <v>425725499</v>
      </c>
      <c r="P3114">
        <v>148</v>
      </c>
      <c r="Q3114" t="s">
        <v>6569</v>
      </c>
    </row>
    <row r="3115" spans="1:17" x14ac:dyDescent="0.3">
      <c r="A3115" t="s">
        <v>4729</v>
      </c>
      <c r="B3115" t="str">
        <f>"002389"</f>
        <v>002389</v>
      </c>
      <c r="C3115" t="s">
        <v>6570</v>
      </c>
      <c r="D3115" t="s">
        <v>98</v>
      </c>
      <c r="F3115">
        <v>2913832016</v>
      </c>
      <c r="G3115">
        <v>2988331300</v>
      </c>
      <c r="H3115">
        <v>3100495301</v>
      </c>
      <c r="I3115">
        <v>2718849022</v>
      </c>
      <c r="J3115">
        <v>1446735530</v>
      </c>
      <c r="K3115">
        <v>1213767023</v>
      </c>
      <c r="L3115">
        <v>923366217</v>
      </c>
      <c r="M3115">
        <v>699622637</v>
      </c>
      <c r="N3115">
        <v>441947563</v>
      </c>
      <c r="O3115">
        <v>358579063</v>
      </c>
      <c r="P3115">
        <v>434</v>
      </c>
      <c r="Q3115" t="s">
        <v>6571</v>
      </c>
    </row>
    <row r="3116" spans="1:17" x14ac:dyDescent="0.3">
      <c r="A3116" t="s">
        <v>4729</v>
      </c>
      <c r="B3116" t="str">
        <f>"002390"</f>
        <v>002390</v>
      </c>
      <c r="C3116" t="s">
        <v>6572</v>
      </c>
      <c r="D3116" t="s">
        <v>188</v>
      </c>
      <c r="F3116">
        <v>6471866335</v>
      </c>
      <c r="G3116">
        <v>5845621526</v>
      </c>
      <c r="H3116">
        <v>6655063578</v>
      </c>
      <c r="I3116">
        <v>6580278918</v>
      </c>
      <c r="J3116">
        <v>6002471031</v>
      </c>
      <c r="K3116">
        <v>5157031775</v>
      </c>
      <c r="L3116">
        <v>4179756099</v>
      </c>
      <c r="M3116">
        <v>2476183060</v>
      </c>
      <c r="N3116">
        <v>569487922</v>
      </c>
      <c r="O3116">
        <v>447572063</v>
      </c>
      <c r="P3116">
        <v>272</v>
      </c>
      <c r="Q3116" t="s">
        <v>6573</v>
      </c>
    </row>
    <row r="3117" spans="1:17" x14ac:dyDescent="0.3">
      <c r="A3117" t="s">
        <v>4729</v>
      </c>
      <c r="B3117" t="str">
        <f>"002391"</f>
        <v>002391</v>
      </c>
      <c r="C3117" t="s">
        <v>6574</v>
      </c>
      <c r="D3117" t="s">
        <v>853</v>
      </c>
      <c r="F3117">
        <v>3764717682</v>
      </c>
      <c r="G3117">
        <v>3008259257</v>
      </c>
      <c r="H3117">
        <v>3377169624</v>
      </c>
      <c r="I3117">
        <v>3000795070</v>
      </c>
      <c r="J3117">
        <v>2245305885</v>
      </c>
      <c r="K3117">
        <v>1832821360</v>
      </c>
      <c r="L3117">
        <v>1820809289</v>
      </c>
      <c r="M3117">
        <v>1808980761</v>
      </c>
      <c r="N3117">
        <v>1568668858</v>
      </c>
      <c r="O3117">
        <v>1270852548</v>
      </c>
      <c r="P3117">
        <v>192</v>
      </c>
      <c r="Q3117" t="s">
        <v>6575</v>
      </c>
    </row>
    <row r="3118" spans="1:17" x14ac:dyDescent="0.3">
      <c r="A3118" t="s">
        <v>4729</v>
      </c>
      <c r="B3118" t="str">
        <f>"002392"</f>
        <v>002392</v>
      </c>
      <c r="C3118" t="s">
        <v>6576</v>
      </c>
      <c r="D3118" t="s">
        <v>5922</v>
      </c>
      <c r="F3118">
        <v>4910749865</v>
      </c>
      <c r="G3118">
        <v>4310826486</v>
      </c>
      <c r="H3118">
        <v>3742406925</v>
      </c>
      <c r="I3118">
        <v>3196919636</v>
      </c>
      <c r="J3118">
        <v>2277200669</v>
      </c>
      <c r="K3118">
        <v>1879412512</v>
      </c>
      <c r="L3118">
        <v>1765181999</v>
      </c>
      <c r="M3118">
        <v>1881981844</v>
      </c>
      <c r="N3118">
        <v>1480719159</v>
      </c>
      <c r="O3118">
        <v>1100792952</v>
      </c>
      <c r="P3118">
        <v>142</v>
      </c>
      <c r="Q3118" t="s">
        <v>6577</v>
      </c>
    </row>
    <row r="3119" spans="1:17" x14ac:dyDescent="0.3">
      <c r="A3119" t="s">
        <v>4729</v>
      </c>
      <c r="B3119" t="str">
        <f>"002393"</f>
        <v>002393</v>
      </c>
      <c r="C3119" t="s">
        <v>6578</v>
      </c>
      <c r="D3119" t="s">
        <v>143</v>
      </c>
      <c r="F3119">
        <v>1091940631</v>
      </c>
      <c r="G3119">
        <v>1140837555</v>
      </c>
      <c r="H3119">
        <v>1615276373</v>
      </c>
      <c r="I3119">
        <v>1503607407</v>
      </c>
      <c r="J3119">
        <v>1029433431</v>
      </c>
      <c r="K3119">
        <v>846853224</v>
      </c>
      <c r="L3119">
        <v>774782193</v>
      </c>
      <c r="M3119">
        <v>773725674</v>
      </c>
      <c r="N3119">
        <v>1044397823</v>
      </c>
      <c r="O3119">
        <v>479256679</v>
      </c>
      <c r="P3119">
        <v>153</v>
      </c>
      <c r="Q3119" t="s">
        <v>6579</v>
      </c>
    </row>
    <row r="3120" spans="1:17" x14ac:dyDescent="0.3">
      <c r="A3120" t="s">
        <v>4729</v>
      </c>
      <c r="B3120" t="str">
        <f>"002394"</f>
        <v>002394</v>
      </c>
      <c r="C3120" t="s">
        <v>6580</v>
      </c>
      <c r="D3120" t="s">
        <v>1009</v>
      </c>
      <c r="F3120">
        <v>3896981298</v>
      </c>
      <c r="G3120">
        <v>3873259434</v>
      </c>
      <c r="H3120">
        <v>3910527325</v>
      </c>
      <c r="I3120">
        <v>4168693636</v>
      </c>
      <c r="J3120">
        <v>4003621034</v>
      </c>
      <c r="K3120">
        <v>3738610954</v>
      </c>
      <c r="L3120">
        <v>3476970839</v>
      </c>
      <c r="M3120">
        <v>3391583067</v>
      </c>
      <c r="N3120">
        <v>3205146878</v>
      </c>
      <c r="O3120">
        <v>2730919737</v>
      </c>
      <c r="P3120">
        <v>673</v>
      </c>
      <c r="Q3120" t="s">
        <v>6581</v>
      </c>
    </row>
    <row r="3121" spans="1:17" x14ac:dyDescent="0.3">
      <c r="A3121" t="s">
        <v>4729</v>
      </c>
      <c r="B3121" t="str">
        <f>"002395"</f>
        <v>002395</v>
      </c>
      <c r="C3121" t="s">
        <v>6582</v>
      </c>
      <c r="D3121" t="s">
        <v>3377</v>
      </c>
      <c r="F3121">
        <v>1469952872</v>
      </c>
      <c r="G3121">
        <v>1341751406</v>
      </c>
      <c r="H3121">
        <v>1416596779</v>
      </c>
      <c r="I3121">
        <v>1395654119</v>
      </c>
      <c r="J3121">
        <v>1273442516</v>
      </c>
      <c r="K3121">
        <v>1056050756</v>
      </c>
      <c r="L3121">
        <v>990486798</v>
      </c>
      <c r="M3121">
        <v>803273144</v>
      </c>
      <c r="N3121">
        <v>549150513</v>
      </c>
      <c r="O3121">
        <v>508840818</v>
      </c>
      <c r="P3121">
        <v>59</v>
      </c>
      <c r="Q3121" t="s">
        <v>6583</v>
      </c>
    </row>
    <row r="3122" spans="1:17" x14ac:dyDescent="0.3">
      <c r="A3122" t="s">
        <v>4729</v>
      </c>
      <c r="B3122" t="str">
        <f>"002396"</f>
        <v>002396</v>
      </c>
      <c r="C3122" t="s">
        <v>6584</v>
      </c>
      <c r="D3122" t="s">
        <v>1019</v>
      </c>
      <c r="F3122">
        <v>13548675867</v>
      </c>
      <c r="G3122">
        <v>10304234310</v>
      </c>
      <c r="H3122">
        <v>9265767751</v>
      </c>
      <c r="I3122">
        <v>9131571813</v>
      </c>
      <c r="J3122">
        <v>7705135613</v>
      </c>
      <c r="K3122">
        <v>5687658283</v>
      </c>
      <c r="L3122">
        <v>4516505130</v>
      </c>
      <c r="M3122">
        <v>3641686744</v>
      </c>
      <c r="N3122">
        <v>3276162752</v>
      </c>
      <c r="O3122">
        <v>2787368783</v>
      </c>
      <c r="P3122">
        <v>3694</v>
      </c>
      <c r="Q3122" t="s">
        <v>6585</v>
      </c>
    </row>
    <row r="3123" spans="1:17" x14ac:dyDescent="0.3">
      <c r="A3123" t="s">
        <v>4729</v>
      </c>
      <c r="B3123" t="str">
        <f>"002397"</f>
        <v>002397</v>
      </c>
      <c r="C3123" t="s">
        <v>6586</v>
      </c>
      <c r="D3123" t="s">
        <v>2889</v>
      </c>
      <c r="F3123">
        <v>2462664064</v>
      </c>
      <c r="G3123">
        <v>2220109147</v>
      </c>
      <c r="H3123">
        <v>2603609858</v>
      </c>
      <c r="I3123">
        <v>2308092760</v>
      </c>
      <c r="J3123">
        <v>1933924379</v>
      </c>
      <c r="K3123">
        <v>1446587831</v>
      </c>
      <c r="L3123">
        <v>1517448122</v>
      </c>
      <c r="M3123">
        <v>1566053910</v>
      </c>
      <c r="N3123">
        <v>1422671471</v>
      </c>
      <c r="O3123">
        <v>1200028312</v>
      </c>
      <c r="P3123">
        <v>109</v>
      </c>
      <c r="Q3123" t="s">
        <v>6587</v>
      </c>
    </row>
    <row r="3124" spans="1:17" x14ac:dyDescent="0.3">
      <c r="A3124" t="s">
        <v>4729</v>
      </c>
      <c r="B3124" t="str">
        <f>"002398"</f>
        <v>002398</v>
      </c>
      <c r="C3124" t="s">
        <v>6588</v>
      </c>
      <c r="D3124" t="s">
        <v>722</v>
      </c>
      <c r="F3124">
        <v>4917751276</v>
      </c>
      <c r="G3124">
        <v>3870737293</v>
      </c>
      <c r="H3124">
        <v>3393523149</v>
      </c>
      <c r="I3124">
        <v>2715699371</v>
      </c>
      <c r="J3124">
        <v>1997655720</v>
      </c>
      <c r="K3124">
        <v>1384925742</v>
      </c>
      <c r="L3124">
        <v>1345320713</v>
      </c>
      <c r="M3124">
        <v>1789202698</v>
      </c>
      <c r="N3124">
        <v>1772355254</v>
      </c>
      <c r="O3124">
        <v>1308448171</v>
      </c>
      <c r="P3124">
        <v>217</v>
      </c>
      <c r="Q3124" t="s">
        <v>6589</v>
      </c>
    </row>
    <row r="3125" spans="1:17" x14ac:dyDescent="0.3">
      <c r="A3125" t="s">
        <v>4729</v>
      </c>
      <c r="B3125" t="str">
        <f>"002399"</f>
        <v>002399</v>
      </c>
      <c r="C3125" t="s">
        <v>6590</v>
      </c>
      <c r="D3125" t="s">
        <v>496</v>
      </c>
      <c r="F3125">
        <v>6365177483</v>
      </c>
      <c r="G3125">
        <v>5332074875</v>
      </c>
      <c r="H3125">
        <v>4624653616</v>
      </c>
      <c r="I3125">
        <v>4814965144</v>
      </c>
      <c r="J3125">
        <v>2670205862</v>
      </c>
      <c r="K3125">
        <v>2260932416</v>
      </c>
      <c r="L3125">
        <v>2292300000</v>
      </c>
      <c r="M3125">
        <v>1958861291</v>
      </c>
      <c r="N3125">
        <v>1513168624</v>
      </c>
      <c r="O3125">
        <v>1761820028</v>
      </c>
      <c r="P3125">
        <v>285</v>
      </c>
      <c r="Q3125" t="s">
        <v>6591</v>
      </c>
    </row>
    <row r="3126" spans="1:17" x14ac:dyDescent="0.3">
      <c r="A3126" t="s">
        <v>4729</v>
      </c>
      <c r="B3126" t="str">
        <f>"002400"</f>
        <v>002400</v>
      </c>
      <c r="C3126" t="s">
        <v>6592</v>
      </c>
      <c r="D3126" t="s">
        <v>207</v>
      </c>
      <c r="F3126">
        <v>13003000295</v>
      </c>
      <c r="G3126">
        <v>13291267668</v>
      </c>
      <c r="H3126">
        <v>11535693014</v>
      </c>
      <c r="I3126">
        <v>12114751070</v>
      </c>
      <c r="J3126">
        <v>11295196170</v>
      </c>
      <c r="K3126">
        <v>10915022295</v>
      </c>
      <c r="L3126">
        <v>9628636707</v>
      </c>
      <c r="M3126">
        <v>6337587606</v>
      </c>
      <c r="N3126">
        <v>5590897296</v>
      </c>
      <c r="O3126">
        <v>4626647073</v>
      </c>
      <c r="P3126">
        <v>328</v>
      </c>
      <c r="Q3126" t="s">
        <v>6593</v>
      </c>
    </row>
    <row r="3127" spans="1:17" x14ac:dyDescent="0.3">
      <c r="A3127" t="s">
        <v>4729</v>
      </c>
      <c r="B3127" t="str">
        <f>"002401"</f>
        <v>002401</v>
      </c>
      <c r="C3127" t="s">
        <v>6594</v>
      </c>
      <c r="D3127" t="s">
        <v>316</v>
      </c>
      <c r="F3127">
        <v>1706851525</v>
      </c>
      <c r="G3127">
        <v>1520537410</v>
      </c>
      <c r="H3127">
        <v>1203712102</v>
      </c>
      <c r="I3127">
        <v>980054007</v>
      </c>
      <c r="J3127">
        <v>917006880</v>
      </c>
      <c r="K3127">
        <v>654125647</v>
      </c>
      <c r="L3127">
        <v>650567189</v>
      </c>
      <c r="M3127">
        <v>554808496</v>
      </c>
      <c r="N3127">
        <v>549994137</v>
      </c>
      <c r="O3127">
        <v>502553636</v>
      </c>
      <c r="P3127">
        <v>152</v>
      </c>
      <c r="Q3127" t="s">
        <v>6595</v>
      </c>
    </row>
    <row r="3128" spans="1:17" x14ac:dyDescent="0.3">
      <c r="A3128" t="s">
        <v>4729</v>
      </c>
      <c r="B3128" t="str">
        <f>"002402"</f>
        <v>002402</v>
      </c>
      <c r="C3128" t="s">
        <v>6596</v>
      </c>
      <c r="D3128" t="s">
        <v>313</v>
      </c>
      <c r="F3128">
        <v>5985847043</v>
      </c>
      <c r="G3128">
        <v>4665677222</v>
      </c>
      <c r="H3128">
        <v>3649383104</v>
      </c>
      <c r="I3128">
        <v>2671111130</v>
      </c>
      <c r="J3128">
        <v>1978567897</v>
      </c>
      <c r="K3128">
        <v>1346098765</v>
      </c>
      <c r="L3128">
        <v>1110572017</v>
      </c>
      <c r="M3128">
        <v>868030520</v>
      </c>
      <c r="N3128">
        <v>750644133</v>
      </c>
      <c r="O3128">
        <v>561515631</v>
      </c>
      <c r="P3128">
        <v>1283</v>
      </c>
      <c r="Q3128" t="s">
        <v>6597</v>
      </c>
    </row>
    <row r="3129" spans="1:17" x14ac:dyDescent="0.3">
      <c r="A3129" t="s">
        <v>4729</v>
      </c>
      <c r="B3129" t="str">
        <f>"002403"</f>
        <v>002403</v>
      </c>
      <c r="C3129" t="s">
        <v>6598</v>
      </c>
      <c r="D3129" t="s">
        <v>5799</v>
      </c>
      <c r="F3129">
        <v>3508226804</v>
      </c>
      <c r="G3129">
        <v>2892946072</v>
      </c>
      <c r="H3129">
        <v>3542141915</v>
      </c>
      <c r="I3129">
        <v>3257725020</v>
      </c>
      <c r="J3129">
        <v>3071545489</v>
      </c>
      <c r="K3129">
        <v>2547537746</v>
      </c>
      <c r="L3129">
        <v>2242019425</v>
      </c>
      <c r="M3129">
        <v>2206531493</v>
      </c>
      <c r="N3129">
        <v>2134693673</v>
      </c>
      <c r="O3129">
        <v>1937630383</v>
      </c>
      <c r="P3129">
        <v>151</v>
      </c>
      <c r="Q3129" t="s">
        <v>6599</v>
      </c>
    </row>
    <row r="3130" spans="1:17" x14ac:dyDescent="0.3">
      <c r="A3130" t="s">
        <v>4729</v>
      </c>
      <c r="B3130" t="str">
        <f>"002404"</f>
        <v>002404</v>
      </c>
      <c r="C3130" t="s">
        <v>6600</v>
      </c>
      <c r="D3130" t="s">
        <v>366</v>
      </c>
      <c r="F3130">
        <v>3694866735</v>
      </c>
      <c r="G3130">
        <v>2602815604</v>
      </c>
      <c r="H3130">
        <v>3438465946</v>
      </c>
      <c r="I3130">
        <v>3181203703</v>
      </c>
      <c r="J3130">
        <v>2773166626</v>
      </c>
      <c r="K3130">
        <v>2253559115</v>
      </c>
      <c r="L3130">
        <v>2013595397</v>
      </c>
      <c r="M3130">
        <v>2006276803</v>
      </c>
      <c r="N3130">
        <v>1813433509</v>
      </c>
      <c r="O3130">
        <v>1735235829</v>
      </c>
      <c r="P3130">
        <v>108</v>
      </c>
      <c r="Q3130" t="s">
        <v>6601</v>
      </c>
    </row>
    <row r="3131" spans="1:17" x14ac:dyDescent="0.3">
      <c r="A3131" t="s">
        <v>4729</v>
      </c>
      <c r="B3131" t="str">
        <f>"002405"</f>
        <v>002405</v>
      </c>
      <c r="C3131" t="s">
        <v>6602</v>
      </c>
      <c r="D3131" t="s">
        <v>945</v>
      </c>
      <c r="F3131">
        <v>3060031660</v>
      </c>
      <c r="G3131">
        <v>2147655643</v>
      </c>
      <c r="H3131">
        <v>2309742644</v>
      </c>
      <c r="I3131">
        <v>2133659114</v>
      </c>
      <c r="J3131">
        <v>2156487775</v>
      </c>
      <c r="K3131">
        <v>1585306336</v>
      </c>
      <c r="L3131">
        <v>1506153411</v>
      </c>
      <c r="M3131">
        <v>1059013155</v>
      </c>
      <c r="N3131">
        <v>880874048</v>
      </c>
      <c r="O3131">
        <v>772970184</v>
      </c>
      <c r="P3131">
        <v>3861</v>
      </c>
      <c r="Q3131" t="s">
        <v>6603</v>
      </c>
    </row>
    <row r="3132" spans="1:17" x14ac:dyDescent="0.3">
      <c r="A3132" t="s">
        <v>4729</v>
      </c>
      <c r="B3132" t="str">
        <f>"002406"</f>
        <v>002406</v>
      </c>
      <c r="C3132" t="s">
        <v>6604</v>
      </c>
      <c r="D3132" t="s">
        <v>348</v>
      </c>
      <c r="F3132">
        <v>2005707735</v>
      </c>
      <c r="G3132">
        <v>2165330172</v>
      </c>
      <c r="H3132">
        <v>1754199311</v>
      </c>
      <c r="I3132">
        <v>1719615145</v>
      </c>
      <c r="J3132">
        <v>1522611275</v>
      </c>
      <c r="K3132">
        <v>1024274789</v>
      </c>
      <c r="L3132">
        <v>926486537</v>
      </c>
      <c r="M3132">
        <v>1186840415</v>
      </c>
      <c r="N3132">
        <v>1102334304</v>
      </c>
      <c r="O3132">
        <v>864111968</v>
      </c>
      <c r="P3132">
        <v>272</v>
      </c>
      <c r="Q3132" t="s">
        <v>6605</v>
      </c>
    </row>
    <row r="3133" spans="1:17" x14ac:dyDescent="0.3">
      <c r="A3133" t="s">
        <v>4729</v>
      </c>
      <c r="B3133" t="str">
        <f>"002407"</f>
        <v>002407</v>
      </c>
      <c r="C3133" t="s">
        <v>6606</v>
      </c>
      <c r="D3133" t="s">
        <v>375</v>
      </c>
      <c r="F3133">
        <v>7798541139</v>
      </c>
      <c r="G3133">
        <v>4208777197</v>
      </c>
      <c r="H3133">
        <v>3850747482</v>
      </c>
      <c r="I3133">
        <v>3912765880</v>
      </c>
      <c r="J3133">
        <v>3735845526</v>
      </c>
      <c r="K3133">
        <v>2857032332</v>
      </c>
      <c r="L3133">
        <v>2182106509</v>
      </c>
      <c r="M3133">
        <v>2131897177</v>
      </c>
      <c r="N3133">
        <v>1559551260</v>
      </c>
      <c r="O3133">
        <v>1444482445</v>
      </c>
      <c r="P3133">
        <v>566</v>
      </c>
      <c r="Q3133" t="s">
        <v>6607</v>
      </c>
    </row>
    <row r="3134" spans="1:17" x14ac:dyDescent="0.3">
      <c r="A3134" t="s">
        <v>4729</v>
      </c>
      <c r="B3134" t="str">
        <f>"002408"</f>
        <v>002408</v>
      </c>
      <c r="C3134" t="s">
        <v>6608</v>
      </c>
      <c r="D3134" t="s">
        <v>1617</v>
      </c>
      <c r="F3134">
        <v>34892072753</v>
      </c>
      <c r="G3134">
        <v>24685919355</v>
      </c>
      <c r="H3134">
        <v>30057692949</v>
      </c>
      <c r="I3134">
        <v>27924062084</v>
      </c>
      <c r="J3134">
        <v>22226197019</v>
      </c>
      <c r="K3134">
        <v>5875241125</v>
      </c>
      <c r="L3134">
        <v>4278458441</v>
      </c>
      <c r="M3134">
        <v>5200429297</v>
      </c>
      <c r="N3134">
        <v>3771195106</v>
      </c>
      <c r="O3134">
        <v>3422031053</v>
      </c>
      <c r="P3134">
        <v>317</v>
      </c>
      <c r="Q3134" t="s">
        <v>6609</v>
      </c>
    </row>
    <row r="3135" spans="1:17" x14ac:dyDescent="0.3">
      <c r="A3135" t="s">
        <v>4729</v>
      </c>
      <c r="B3135" t="str">
        <f>"002409"</f>
        <v>002409</v>
      </c>
      <c r="C3135" t="s">
        <v>6610</v>
      </c>
      <c r="D3135" t="s">
        <v>475</v>
      </c>
      <c r="F3135">
        <v>3782309859</v>
      </c>
      <c r="G3135">
        <v>2273032030</v>
      </c>
      <c r="H3135">
        <v>1832385178</v>
      </c>
      <c r="I3135">
        <v>1547398719</v>
      </c>
      <c r="J3135">
        <v>1132922077</v>
      </c>
      <c r="K3135">
        <v>894478347</v>
      </c>
      <c r="L3135">
        <v>1005734424</v>
      </c>
      <c r="M3135">
        <v>1323065050</v>
      </c>
      <c r="N3135">
        <v>1309419809</v>
      </c>
      <c r="O3135">
        <v>1053752541</v>
      </c>
      <c r="P3135">
        <v>498</v>
      </c>
      <c r="Q3135" t="s">
        <v>6611</v>
      </c>
    </row>
    <row r="3136" spans="1:17" x14ac:dyDescent="0.3">
      <c r="A3136" t="s">
        <v>4729</v>
      </c>
      <c r="B3136" t="str">
        <f>"002410"</f>
        <v>002410</v>
      </c>
      <c r="C3136" t="s">
        <v>6612</v>
      </c>
      <c r="D3136" t="s">
        <v>945</v>
      </c>
      <c r="F3136">
        <v>5562216443</v>
      </c>
      <c r="G3136">
        <v>3947083030</v>
      </c>
      <c r="H3136">
        <v>3464151445</v>
      </c>
      <c r="I3136">
        <v>2861555261</v>
      </c>
      <c r="J3136">
        <v>2339727574</v>
      </c>
      <c r="K3136">
        <v>2029551232</v>
      </c>
      <c r="L3136">
        <v>1535833740</v>
      </c>
      <c r="M3136">
        <v>1759874737</v>
      </c>
      <c r="N3136">
        <v>1393095617</v>
      </c>
      <c r="O3136">
        <v>1013655522</v>
      </c>
      <c r="P3136">
        <v>2190</v>
      </c>
      <c r="Q3136" t="s">
        <v>6613</v>
      </c>
    </row>
    <row r="3137" spans="1:17" x14ac:dyDescent="0.3">
      <c r="A3137" t="s">
        <v>4729</v>
      </c>
      <c r="B3137" t="str">
        <f>"002411"</f>
        <v>002411</v>
      </c>
      <c r="C3137" t="s">
        <v>6614</v>
      </c>
      <c r="D3137" t="s">
        <v>125</v>
      </c>
      <c r="G3137">
        <v>6953408153</v>
      </c>
      <c r="H3137">
        <v>9328178533</v>
      </c>
      <c r="I3137">
        <v>8446807320</v>
      </c>
      <c r="J3137">
        <v>5368005751</v>
      </c>
      <c r="K3137">
        <v>3723904605</v>
      </c>
      <c r="L3137">
        <v>2023403966</v>
      </c>
      <c r="M3137">
        <v>1060273648</v>
      </c>
      <c r="N3137">
        <v>894688389</v>
      </c>
      <c r="O3137">
        <v>1009769856</v>
      </c>
      <c r="P3137">
        <v>244</v>
      </c>
      <c r="Q3137" t="s">
        <v>6615</v>
      </c>
    </row>
    <row r="3138" spans="1:17" x14ac:dyDescent="0.3">
      <c r="A3138" t="s">
        <v>4729</v>
      </c>
      <c r="B3138" t="str">
        <f>"002412"</f>
        <v>002412</v>
      </c>
      <c r="C3138" t="s">
        <v>6616</v>
      </c>
      <c r="D3138" t="s">
        <v>188</v>
      </c>
      <c r="F3138">
        <v>891835182</v>
      </c>
      <c r="G3138">
        <v>741237325</v>
      </c>
      <c r="H3138">
        <v>887490963</v>
      </c>
      <c r="I3138">
        <v>921949824</v>
      </c>
      <c r="J3138">
        <v>829937834</v>
      </c>
      <c r="K3138">
        <v>798466938</v>
      </c>
      <c r="L3138">
        <v>781127866</v>
      </c>
      <c r="M3138">
        <v>737424614</v>
      </c>
      <c r="N3138">
        <v>584932131</v>
      </c>
      <c r="O3138">
        <v>489461124</v>
      </c>
      <c r="P3138">
        <v>155</v>
      </c>
      <c r="Q3138" t="s">
        <v>6617</v>
      </c>
    </row>
    <row r="3139" spans="1:17" x14ac:dyDescent="0.3">
      <c r="A3139" t="s">
        <v>4729</v>
      </c>
      <c r="B3139" t="str">
        <f>"002413"</f>
        <v>002413</v>
      </c>
      <c r="C3139" t="s">
        <v>6618</v>
      </c>
      <c r="D3139" t="s">
        <v>1136</v>
      </c>
      <c r="F3139">
        <v>1622188130</v>
      </c>
      <c r="G3139">
        <v>1215560377</v>
      </c>
      <c r="H3139">
        <v>1124767019</v>
      </c>
      <c r="I3139">
        <v>994005467</v>
      </c>
      <c r="J3139">
        <v>767180576</v>
      </c>
      <c r="K3139">
        <v>530528700</v>
      </c>
      <c r="L3139">
        <v>2028542901</v>
      </c>
      <c r="M3139">
        <v>2164844616</v>
      </c>
      <c r="N3139">
        <v>1854182467</v>
      </c>
      <c r="O3139">
        <v>1365798010</v>
      </c>
      <c r="P3139">
        <v>218</v>
      </c>
      <c r="Q3139" t="s">
        <v>6619</v>
      </c>
    </row>
    <row r="3140" spans="1:17" x14ac:dyDescent="0.3">
      <c r="A3140" t="s">
        <v>4729</v>
      </c>
      <c r="B3140" t="str">
        <f>"002414"</f>
        <v>002414</v>
      </c>
      <c r="C3140" t="s">
        <v>6620</v>
      </c>
      <c r="D3140" t="s">
        <v>1136</v>
      </c>
      <c r="F3140">
        <v>3499680245</v>
      </c>
      <c r="G3140">
        <v>3333519242</v>
      </c>
      <c r="H3140">
        <v>1637972265</v>
      </c>
      <c r="I3140">
        <v>1083625699</v>
      </c>
      <c r="J3140">
        <v>1016457841</v>
      </c>
      <c r="K3140">
        <v>810334607</v>
      </c>
      <c r="L3140">
        <v>632348730</v>
      </c>
      <c r="M3140">
        <v>397980550</v>
      </c>
      <c r="N3140">
        <v>356275368</v>
      </c>
      <c r="O3140">
        <v>296535490</v>
      </c>
      <c r="P3140">
        <v>789</v>
      </c>
      <c r="Q3140" t="s">
        <v>6621</v>
      </c>
    </row>
    <row r="3141" spans="1:17" x14ac:dyDescent="0.3">
      <c r="A3141" t="s">
        <v>4729</v>
      </c>
      <c r="B3141" t="str">
        <f>"002415"</f>
        <v>002415</v>
      </c>
      <c r="C3141" t="s">
        <v>6622</v>
      </c>
      <c r="D3141" t="s">
        <v>2980</v>
      </c>
      <c r="F3141">
        <v>81420053539</v>
      </c>
      <c r="G3141">
        <v>63503450892</v>
      </c>
      <c r="H3141">
        <v>57658110065</v>
      </c>
      <c r="I3141">
        <v>49837132482</v>
      </c>
      <c r="J3141">
        <v>41905476572</v>
      </c>
      <c r="K3141">
        <v>31924020872</v>
      </c>
      <c r="L3141">
        <v>25271390273</v>
      </c>
      <c r="M3141">
        <v>17233114022</v>
      </c>
      <c r="N3141">
        <v>10745907039</v>
      </c>
      <c r="O3141">
        <v>7213789489</v>
      </c>
      <c r="P3141">
        <v>63223</v>
      </c>
      <c r="Q3141" t="s">
        <v>6623</v>
      </c>
    </row>
    <row r="3142" spans="1:17" x14ac:dyDescent="0.3">
      <c r="A3142" t="s">
        <v>4729</v>
      </c>
      <c r="B3142" t="str">
        <f>"002416"</f>
        <v>002416</v>
      </c>
      <c r="C3142" t="s">
        <v>6624</v>
      </c>
      <c r="D3142" t="s">
        <v>295</v>
      </c>
      <c r="F3142">
        <v>95037494762</v>
      </c>
      <c r="G3142">
        <v>64032439196</v>
      </c>
      <c r="H3142">
        <v>55796630956</v>
      </c>
      <c r="I3142">
        <v>56807507067</v>
      </c>
      <c r="J3142">
        <v>56735870507</v>
      </c>
      <c r="K3142">
        <v>48333277751</v>
      </c>
      <c r="L3142">
        <v>49569028332</v>
      </c>
      <c r="M3142">
        <v>48320567497</v>
      </c>
      <c r="N3142">
        <v>40243479774</v>
      </c>
      <c r="O3142">
        <v>19580609941</v>
      </c>
      <c r="P3142">
        <v>251</v>
      </c>
      <c r="Q3142" t="s">
        <v>6625</v>
      </c>
    </row>
    <row r="3143" spans="1:17" x14ac:dyDescent="0.3">
      <c r="A3143" t="s">
        <v>4729</v>
      </c>
      <c r="B3143" t="str">
        <f>"002417"</f>
        <v>002417</v>
      </c>
      <c r="C3143" t="s">
        <v>6626</v>
      </c>
      <c r="D3143" t="s">
        <v>316</v>
      </c>
      <c r="F3143">
        <v>105853498</v>
      </c>
      <c r="G3143">
        <v>481835437</v>
      </c>
      <c r="H3143">
        <v>289441370</v>
      </c>
      <c r="I3143">
        <v>181681232</v>
      </c>
      <c r="J3143">
        <v>104835367</v>
      </c>
      <c r="K3143">
        <v>325030505</v>
      </c>
      <c r="L3143">
        <v>478776024</v>
      </c>
      <c r="M3143">
        <v>520783394</v>
      </c>
      <c r="N3143">
        <v>757594962</v>
      </c>
      <c r="O3143">
        <v>824741068</v>
      </c>
      <c r="P3143">
        <v>140</v>
      </c>
      <c r="Q3143" t="s">
        <v>6627</v>
      </c>
    </row>
    <row r="3144" spans="1:17" x14ac:dyDescent="0.3">
      <c r="A3144" t="s">
        <v>4729</v>
      </c>
      <c r="B3144" t="str">
        <f>"002418"</f>
        <v>002418</v>
      </c>
      <c r="C3144" t="s">
        <v>6628</v>
      </c>
      <c r="D3144" t="s">
        <v>1253</v>
      </c>
      <c r="F3144">
        <v>2377359901</v>
      </c>
      <c r="G3144">
        <v>2352346003</v>
      </c>
      <c r="H3144">
        <v>2007637162</v>
      </c>
      <c r="I3144">
        <v>2918320040</v>
      </c>
      <c r="J3144">
        <v>3339475386</v>
      </c>
      <c r="K3144">
        <v>2806573343</v>
      </c>
      <c r="L3144">
        <v>2179588763</v>
      </c>
      <c r="M3144">
        <v>1864504845</v>
      </c>
      <c r="N3144">
        <v>1472681060</v>
      </c>
      <c r="O3144">
        <v>1331915562</v>
      </c>
      <c r="P3144">
        <v>94</v>
      </c>
      <c r="Q3144" t="s">
        <v>6629</v>
      </c>
    </row>
    <row r="3145" spans="1:17" x14ac:dyDescent="0.3">
      <c r="A3145" t="s">
        <v>4729</v>
      </c>
      <c r="B3145" t="str">
        <f>"002419"</f>
        <v>002419</v>
      </c>
      <c r="C3145" t="s">
        <v>6630</v>
      </c>
      <c r="D3145" t="s">
        <v>633</v>
      </c>
      <c r="F3145">
        <v>12268244701</v>
      </c>
      <c r="G3145">
        <v>11799926404</v>
      </c>
      <c r="H3145">
        <v>19392529091</v>
      </c>
      <c r="I3145">
        <v>19137953377</v>
      </c>
      <c r="J3145">
        <v>18536284672</v>
      </c>
      <c r="K3145">
        <v>17272958428</v>
      </c>
      <c r="L3145">
        <v>17396064948</v>
      </c>
      <c r="M3145">
        <v>16997956581</v>
      </c>
      <c r="N3145">
        <v>16032483139</v>
      </c>
      <c r="O3145">
        <v>14377010077</v>
      </c>
      <c r="P3145">
        <v>421</v>
      </c>
      <c r="Q3145" t="s">
        <v>6631</v>
      </c>
    </row>
    <row r="3146" spans="1:17" x14ac:dyDescent="0.3">
      <c r="A3146" t="s">
        <v>4729</v>
      </c>
      <c r="B3146" t="str">
        <f>"002420"</f>
        <v>002420</v>
      </c>
      <c r="C3146" t="s">
        <v>6632</v>
      </c>
      <c r="D3146" t="s">
        <v>1253</v>
      </c>
      <c r="F3146">
        <v>3744353273</v>
      </c>
      <c r="G3146">
        <v>3063213120</v>
      </c>
      <c r="H3146">
        <v>3514813978</v>
      </c>
      <c r="I3146">
        <v>4899126829</v>
      </c>
      <c r="J3146">
        <v>5697733562</v>
      </c>
      <c r="K3146">
        <v>5754328939</v>
      </c>
      <c r="L3146">
        <v>3716109442</v>
      </c>
      <c r="M3146">
        <v>3242645390</v>
      </c>
      <c r="N3146">
        <v>2735049453</v>
      </c>
      <c r="O3146">
        <v>2234219086</v>
      </c>
      <c r="P3146">
        <v>82</v>
      </c>
      <c r="Q3146" t="s">
        <v>6633</v>
      </c>
    </row>
    <row r="3147" spans="1:17" x14ac:dyDescent="0.3">
      <c r="A3147" t="s">
        <v>4729</v>
      </c>
      <c r="B3147" t="str">
        <f>"002421"</f>
        <v>002421</v>
      </c>
      <c r="C3147" t="s">
        <v>6634</v>
      </c>
      <c r="D3147" t="s">
        <v>316</v>
      </c>
      <c r="F3147">
        <v>3163998560</v>
      </c>
      <c r="G3147">
        <v>3210988542</v>
      </c>
      <c r="H3147">
        <v>2205852549</v>
      </c>
      <c r="I3147">
        <v>2527415275</v>
      </c>
      <c r="J3147">
        <v>2572487726</v>
      </c>
      <c r="K3147">
        <v>2457015466</v>
      </c>
      <c r="L3147">
        <v>1711308669</v>
      </c>
      <c r="M3147">
        <v>1263062267</v>
      </c>
      <c r="N3147">
        <v>1011892654</v>
      </c>
      <c r="O3147">
        <v>824070264</v>
      </c>
      <c r="P3147">
        <v>199</v>
      </c>
      <c r="Q3147" t="s">
        <v>6635</v>
      </c>
    </row>
    <row r="3148" spans="1:17" x14ac:dyDescent="0.3">
      <c r="A3148" t="s">
        <v>4729</v>
      </c>
      <c r="B3148" t="str">
        <f>"002422"</f>
        <v>002422</v>
      </c>
      <c r="C3148" t="s">
        <v>6636</v>
      </c>
      <c r="D3148" t="s">
        <v>143</v>
      </c>
      <c r="F3148">
        <v>17277407533</v>
      </c>
      <c r="G3148">
        <v>16464201277</v>
      </c>
      <c r="H3148">
        <v>17636267044</v>
      </c>
      <c r="I3148">
        <v>16351790239</v>
      </c>
      <c r="J3148">
        <v>11434948841</v>
      </c>
      <c r="K3148">
        <v>8565943415</v>
      </c>
      <c r="L3148">
        <v>7763339982</v>
      </c>
      <c r="M3148">
        <v>8023421289</v>
      </c>
      <c r="N3148">
        <v>6831281981</v>
      </c>
      <c r="O3148">
        <v>5885278617</v>
      </c>
      <c r="P3148">
        <v>926</v>
      </c>
      <c r="Q3148" t="s">
        <v>6637</v>
      </c>
    </row>
    <row r="3149" spans="1:17" x14ac:dyDescent="0.3">
      <c r="A3149" t="s">
        <v>4729</v>
      </c>
      <c r="B3149" t="str">
        <f>"002423"</f>
        <v>002423</v>
      </c>
      <c r="C3149" t="s">
        <v>6638</v>
      </c>
      <c r="D3149" t="s">
        <v>140</v>
      </c>
      <c r="F3149">
        <v>6347425301</v>
      </c>
      <c r="G3149">
        <v>1571614341</v>
      </c>
      <c r="H3149">
        <v>326630756</v>
      </c>
      <c r="I3149">
        <v>1025559070</v>
      </c>
      <c r="J3149">
        <v>972925945</v>
      </c>
      <c r="K3149">
        <v>874212865</v>
      </c>
      <c r="L3149">
        <v>954477798</v>
      </c>
      <c r="M3149">
        <v>1218501825</v>
      </c>
      <c r="N3149">
        <v>1315918138</v>
      </c>
      <c r="O3149">
        <v>1854319985</v>
      </c>
      <c r="P3149">
        <v>145</v>
      </c>
      <c r="Q3149" t="s">
        <v>6639</v>
      </c>
    </row>
    <row r="3150" spans="1:17" x14ac:dyDescent="0.3">
      <c r="A3150" t="s">
        <v>4729</v>
      </c>
      <c r="B3150" t="str">
        <f>"002424"</f>
        <v>002424</v>
      </c>
      <c r="C3150" t="s">
        <v>6640</v>
      </c>
      <c r="D3150" t="s">
        <v>188</v>
      </c>
      <c r="F3150">
        <v>3111649548</v>
      </c>
      <c r="G3150">
        <v>3087888202</v>
      </c>
      <c r="H3150">
        <v>2850585251</v>
      </c>
      <c r="I3150">
        <v>3136843232</v>
      </c>
      <c r="J3150">
        <v>2591816650</v>
      </c>
      <c r="K3150">
        <v>2214211074</v>
      </c>
      <c r="L3150">
        <v>1899087619</v>
      </c>
      <c r="M3150">
        <v>1574672162</v>
      </c>
      <c r="N3150">
        <v>1405330331</v>
      </c>
      <c r="O3150">
        <v>1367582448</v>
      </c>
      <c r="P3150">
        <v>472</v>
      </c>
      <c r="Q3150" t="s">
        <v>6641</v>
      </c>
    </row>
    <row r="3151" spans="1:17" x14ac:dyDescent="0.3">
      <c r="A3151" t="s">
        <v>4729</v>
      </c>
      <c r="B3151" t="str">
        <f>"002425"</f>
        <v>002425</v>
      </c>
      <c r="C3151" t="s">
        <v>6642</v>
      </c>
      <c r="D3151" t="s">
        <v>517</v>
      </c>
      <c r="F3151">
        <v>932832502</v>
      </c>
      <c r="G3151">
        <v>589813575</v>
      </c>
      <c r="H3151">
        <v>803702809</v>
      </c>
      <c r="I3151">
        <v>744658324</v>
      </c>
      <c r="J3151">
        <v>703871692</v>
      </c>
      <c r="K3151">
        <v>519930624</v>
      </c>
      <c r="L3151">
        <v>632532577</v>
      </c>
      <c r="M3151">
        <v>541521083</v>
      </c>
      <c r="N3151">
        <v>506380783</v>
      </c>
      <c r="O3151">
        <v>531650144</v>
      </c>
      <c r="P3151">
        <v>257</v>
      </c>
      <c r="Q3151" t="s">
        <v>6643</v>
      </c>
    </row>
    <row r="3152" spans="1:17" x14ac:dyDescent="0.3">
      <c r="A3152" t="s">
        <v>4729</v>
      </c>
      <c r="B3152" t="str">
        <f>"002426"</f>
        <v>002426</v>
      </c>
      <c r="C3152" t="s">
        <v>6644</v>
      </c>
      <c r="D3152" t="s">
        <v>274</v>
      </c>
      <c r="F3152">
        <v>5004604476</v>
      </c>
      <c r="G3152">
        <v>9595213664</v>
      </c>
      <c r="H3152">
        <v>13649644463</v>
      </c>
      <c r="I3152">
        <v>17389895494</v>
      </c>
      <c r="J3152">
        <v>15913108526</v>
      </c>
      <c r="K3152">
        <v>13476864737</v>
      </c>
      <c r="L3152">
        <v>5860562868</v>
      </c>
      <c r="M3152">
        <v>3255815330</v>
      </c>
      <c r="N3152">
        <v>2121513781</v>
      </c>
      <c r="O3152">
        <v>1719710854</v>
      </c>
      <c r="P3152">
        <v>207</v>
      </c>
      <c r="Q3152" t="s">
        <v>6645</v>
      </c>
    </row>
    <row r="3153" spans="1:17" x14ac:dyDescent="0.3">
      <c r="A3153" t="s">
        <v>4729</v>
      </c>
      <c r="B3153" t="str">
        <f>"002427"</f>
        <v>002427</v>
      </c>
      <c r="C3153" t="s">
        <v>6646</v>
      </c>
      <c r="D3153" t="s">
        <v>2731</v>
      </c>
      <c r="F3153">
        <v>2896962514</v>
      </c>
      <c r="G3153">
        <v>2446411663</v>
      </c>
      <c r="H3153">
        <v>3084044799</v>
      </c>
      <c r="I3153">
        <v>3860460841</v>
      </c>
      <c r="J3153">
        <v>5084374549</v>
      </c>
      <c r="K3153">
        <v>2460089492</v>
      </c>
      <c r="L3153">
        <v>2005045174</v>
      </c>
      <c r="M3153">
        <v>2479241170</v>
      </c>
      <c r="N3153">
        <v>1758860536</v>
      </c>
      <c r="O3153">
        <v>912768916</v>
      </c>
      <c r="P3153">
        <v>82</v>
      </c>
      <c r="Q3153" t="s">
        <v>6647</v>
      </c>
    </row>
    <row r="3154" spans="1:17" x14ac:dyDescent="0.3">
      <c r="A3154" t="s">
        <v>4729</v>
      </c>
      <c r="B3154" t="str">
        <f>"002428"</f>
        <v>002428</v>
      </c>
      <c r="C3154" t="s">
        <v>6648</v>
      </c>
      <c r="D3154" t="s">
        <v>636</v>
      </c>
      <c r="F3154">
        <v>556481927</v>
      </c>
      <c r="G3154">
        <v>670039629</v>
      </c>
      <c r="H3154">
        <v>418466180</v>
      </c>
      <c r="I3154">
        <v>465043920</v>
      </c>
      <c r="J3154">
        <v>464282455</v>
      </c>
      <c r="K3154">
        <v>298332361</v>
      </c>
      <c r="L3154">
        <v>402207595</v>
      </c>
      <c r="M3154">
        <v>555911068</v>
      </c>
      <c r="N3154">
        <v>824071975</v>
      </c>
      <c r="O3154">
        <v>381742374</v>
      </c>
      <c r="P3154">
        <v>186</v>
      </c>
      <c r="Q3154" t="s">
        <v>6649</v>
      </c>
    </row>
    <row r="3155" spans="1:17" x14ac:dyDescent="0.3">
      <c r="A3155" t="s">
        <v>4729</v>
      </c>
      <c r="B3155" t="str">
        <f>"002429"</f>
        <v>002429</v>
      </c>
      <c r="C3155" t="s">
        <v>6650</v>
      </c>
      <c r="D3155" t="s">
        <v>137</v>
      </c>
      <c r="F3155">
        <v>22538110056</v>
      </c>
      <c r="G3155">
        <v>20186226599</v>
      </c>
      <c r="H3155">
        <v>13302201407</v>
      </c>
      <c r="I3155">
        <v>12867768055</v>
      </c>
      <c r="J3155">
        <v>10228670515</v>
      </c>
      <c r="K3155">
        <v>7477346378</v>
      </c>
      <c r="L3155">
        <v>6095877231</v>
      </c>
      <c r="M3155">
        <v>7107625001</v>
      </c>
      <c r="N3155">
        <v>6776119798</v>
      </c>
      <c r="O3155">
        <v>6456908624</v>
      </c>
      <c r="P3155">
        <v>454</v>
      </c>
      <c r="Q3155" t="s">
        <v>6651</v>
      </c>
    </row>
    <row r="3156" spans="1:17" x14ac:dyDescent="0.3">
      <c r="A3156" t="s">
        <v>4729</v>
      </c>
      <c r="B3156" t="str">
        <f>"002430"</f>
        <v>002430</v>
      </c>
      <c r="C3156" t="s">
        <v>6652</v>
      </c>
      <c r="D3156" t="s">
        <v>741</v>
      </c>
      <c r="F3156">
        <v>11877844649</v>
      </c>
      <c r="G3156">
        <v>10020768135</v>
      </c>
      <c r="H3156">
        <v>8187012395</v>
      </c>
      <c r="I3156">
        <v>7901217450</v>
      </c>
      <c r="J3156">
        <v>6451799196</v>
      </c>
      <c r="K3156">
        <v>4944465775</v>
      </c>
      <c r="L3156">
        <v>5939667063</v>
      </c>
      <c r="M3156">
        <v>5933824005</v>
      </c>
      <c r="N3156">
        <v>5502717841</v>
      </c>
      <c r="O3156">
        <v>5353924661</v>
      </c>
      <c r="P3156">
        <v>395</v>
      </c>
      <c r="Q3156" t="s">
        <v>6653</v>
      </c>
    </row>
    <row r="3157" spans="1:17" x14ac:dyDescent="0.3">
      <c r="A3157" t="s">
        <v>4729</v>
      </c>
      <c r="B3157" t="str">
        <f>"002431"</f>
        <v>002431</v>
      </c>
      <c r="C3157" t="s">
        <v>6654</v>
      </c>
      <c r="D3157" t="s">
        <v>2417</v>
      </c>
      <c r="F3157">
        <v>4045893458</v>
      </c>
      <c r="G3157">
        <v>4821153801</v>
      </c>
      <c r="H3157">
        <v>2708825167</v>
      </c>
      <c r="I3157">
        <v>5328805899</v>
      </c>
      <c r="J3157">
        <v>5253259143</v>
      </c>
      <c r="K3157">
        <v>3906064778</v>
      </c>
      <c r="L3157">
        <v>4400507524</v>
      </c>
      <c r="M3157">
        <v>5006942898</v>
      </c>
      <c r="N3157">
        <v>4297297489</v>
      </c>
      <c r="O3157">
        <v>3192991323</v>
      </c>
      <c r="P3157">
        <v>124</v>
      </c>
      <c r="Q3157" t="s">
        <v>6655</v>
      </c>
    </row>
    <row r="3158" spans="1:17" x14ac:dyDescent="0.3">
      <c r="A3158" t="s">
        <v>4729</v>
      </c>
      <c r="B3158" t="str">
        <f>"002432"</f>
        <v>002432</v>
      </c>
      <c r="C3158" t="s">
        <v>6656</v>
      </c>
      <c r="D3158" t="s">
        <v>122</v>
      </c>
      <c r="F3158">
        <v>2397097777</v>
      </c>
      <c r="G3158">
        <v>2008360220</v>
      </c>
      <c r="H3158">
        <v>706276406</v>
      </c>
      <c r="I3158">
        <v>563880299</v>
      </c>
      <c r="J3158">
        <v>597918934</v>
      </c>
      <c r="K3158">
        <v>420138125</v>
      </c>
      <c r="L3158">
        <v>397858037</v>
      </c>
      <c r="M3158">
        <v>425451965</v>
      </c>
      <c r="N3158">
        <v>407567065</v>
      </c>
      <c r="O3158">
        <v>356081982</v>
      </c>
      <c r="P3158">
        <v>281</v>
      </c>
      <c r="Q3158" t="s">
        <v>6657</v>
      </c>
    </row>
    <row r="3159" spans="1:17" x14ac:dyDescent="0.3">
      <c r="A3159" t="s">
        <v>4729</v>
      </c>
      <c r="B3159" t="str">
        <f>"002433"</f>
        <v>002433</v>
      </c>
      <c r="C3159" t="s">
        <v>6658</v>
      </c>
      <c r="D3159" t="s">
        <v>188</v>
      </c>
      <c r="G3159">
        <v>3581948584</v>
      </c>
      <c r="H3159">
        <v>4013155237</v>
      </c>
      <c r="I3159">
        <v>3315297746</v>
      </c>
      <c r="J3159">
        <v>3238940560</v>
      </c>
      <c r="K3159">
        <v>3075445455</v>
      </c>
      <c r="L3159">
        <v>2371647776</v>
      </c>
      <c r="M3159">
        <v>1227636593</v>
      </c>
      <c r="N3159">
        <v>785165830</v>
      </c>
      <c r="O3159">
        <v>517876550</v>
      </c>
      <c r="P3159">
        <v>235</v>
      </c>
      <c r="Q3159" t="s">
        <v>6659</v>
      </c>
    </row>
    <row r="3160" spans="1:17" x14ac:dyDescent="0.3">
      <c r="A3160" t="s">
        <v>4729</v>
      </c>
      <c r="B3160" t="str">
        <f>"002434"</f>
        <v>002434</v>
      </c>
      <c r="C3160" t="s">
        <v>6660</v>
      </c>
      <c r="D3160" t="s">
        <v>348</v>
      </c>
      <c r="F3160">
        <v>5475006451</v>
      </c>
      <c r="G3160">
        <v>6064883536</v>
      </c>
      <c r="H3160">
        <v>5099834596</v>
      </c>
      <c r="I3160">
        <v>4370751412</v>
      </c>
      <c r="J3160">
        <v>5030196551</v>
      </c>
      <c r="K3160">
        <v>3732254257</v>
      </c>
      <c r="L3160">
        <v>1972645587</v>
      </c>
      <c r="M3160">
        <v>1382032096</v>
      </c>
      <c r="N3160">
        <v>1425301416</v>
      </c>
      <c r="O3160">
        <v>1552514357</v>
      </c>
      <c r="P3160">
        <v>238</v>
      </c>
      <c r="Q3160" t="s">
        <v>6661</v>
      </c>
    </row>
    <row r="3161" spans="1:17" x14ac:dyDescent="0.3">
      <c r="A3161" t="s">
        <v>4729</v>
      </c>
      <c r="B3161" t="str">
        <f>"002435"</f>
        <v>002435</v>
      </c>
      <c r="C3161" t="s">
        <v>6662</v>
      </c>
      <c r="D3161" t="s">
        <v>143</v>
      </c>
      <c r="F3161">
        <v>4369815125</v>
      </c>
      <c r="G3161">
        <v>4240584177</v>
      </c>
      <c r="H3161">
        <v>5072901050</v>
      </c>
      <c r="I3161">
        <v>4673757034</v>
      </c>
      <c r="J3161">
        <v>2986947600</v>
      </c>
      <c r="K3161">
        <v>2115003538</v>
      </c>
      <c r="L3161">
        <v>1064708510</v>
      </c>
      <c r="M3161">
        <v>1227882218</v>
      </c>
      <c r="N3161">
        <v>1154844275</v>
      </c>
      <c r="O3161">
        <v>1174507268</v>
      </c>
      <c r="P3161">
        <v>139</v>
      </c>
      <c r="Q3161" t="s">
        <v>6663</v>
      </c>
    </row>
    <row r="3162" spans="1:17" x14ac:dyDescent="0.3">
      <c r="A3162" t="s">
        <v>4729</v>
      </c>
      <c r="B3162" t="str">
        <f>"002436"</f>
        <v>002436</v>
      </c>
      <c r="C3162" t="s">
        <v>6664</v>
      </c>
      <c r="D3162" t="s">
        <v>425</v>
      </c>
      <c r="F3162">
        <v>5039987053</v>
      </c>
      <c r="G3162">
        <v>4034655206</v>
      </c>
      <c r="H3162">
        <v>3803722199</v>
      </c>
      <c r="I3162">
        <v>3473258603</v>
      </c>
      <c r="J3162">
        <v>3282964798</v>
      </c>
      <c r="K3162">
        <v>2939805209</v>
      </c>
      <c r="L3162">
        <v>2119478904</v>
      </c>
      <c r="M3162">
        <v>1673825205</v>
      </c>
      <c r="N3162">
        <v>1300797369</v>
      </c>
      <c r="O3162">
        <v>1006305000</v>
      </c>
      <c r="P3162">
        <v>563</v>
      </c>
      <c r="Q3162" t="s">
        <v>6665</v>
      </c>
    </row>
    <row r="3163" spans="1:17" x14ac:dyDescent="0.3">
      <c r="A3163" t="s">
        <v>4729</v>
      </c>
      <c r="B3163" t="str">
        <f>"002437"</f>
        <v>002437</v>
      </c>
      <c r="C3163" t="s">
        <v>6666</v>
      </c>
      <c r="D3163" t="s">
        <v>143</v>
      </c>
      <c r="F3163">
        <v>3145311704</v>
      </c>
      <c r="G3163">
        <v>3054949267</v>
      </c>
      <c r="H3163">
        <v>5053859895</v>
      </c>
      <c r="I3163">
        <v>5481339828</v>
      </c>
      <c r="J3163">
        <v>3041883454</v>
      </c>
      <c r="K3163">
        <v>2983728136</v>
      </c>
      <c r="L3163">
        <v>2681225308</v>
      </c>
      <c r="M3163">
        <v>1905823992</v>
      </c>
      <c r="N3163">
        <v>1307886246</v>
      </c>
      <c r="O3163">
        <v>711030303</v>
      </c>
      <c r="P3163">
        <v>189</v>
      </c>
      <c r="Q3163" t="s">
        <v>6667</v>
      </c>
    </row>
    <row r="3164" spans="1:17" x14ac:dyDescent="0.3">
      <c r="A3164" t="s">
        <v>4729</v>
      </c>
      <c r="B3164" t="str">
        <f>"002438"</f>
        <v>002438</v>
      </c>
      <c r="C3164" t="s">
        <v>6668</v>
      </c>
      <c r="D3164" t="s">
        <v>274</v>
      </c>
      <c r="F3164">
        <v>1909723753</v>
      </c>
      <c r="G3164">
        <v>1585551655</v>
      </c>
      <c r="H3164">
        <v>1348220650</v>
      </c>
      <c r="I3164">
        <v>1087464010</v>
      </c>
      <c r="J3164">
        <v>755661421</v>
      </c>
      <c r="K3164">
        <v>600482797</v>
      </c>
      <c r="L3164">
        <v>427522274</v>
      </c>
      <c r="M3164">
        <v>465606404</v>
      </c>
      <c r="N3164">
        <v>511119181</v>
      </c>
      <c r="O3164">
        <v>445780050</v>
      </c>
      <c r="P3164">
        <v>185</v>
      </c>
      <c r="Q3164" t="s">
        <v>6669</v>
      </c>
    </row>
    <row r="3165" spans="1:17" x14ac:dyDescent="0.3">
      <c r="A3165" t="s">
        <v>4729</v>
      </c>
      <c r="B3165" t="str">
        <f>"002439"</f>
        <v>002439</v>
      </c>
      <c r="C3165" t="s">
        <v>6670</v>
      </c>
      <c r="D3165" t="s">
        <v>1189</v>
      </c>
      <c r="F3165">
        <v>4386030827</v>
      </c>
      <c r="G3165">
        <v>3646745337</v>
      </c>
      <c r="H3165">
        <v>3089495530</v>
      </c>
      <c r="I3165">
        <v>2521805799</v>
      </c>
      <c r="J3165">
        <v>2278525314</v>
      </c>
      <c r="K3165">
        <v>1927370350</v>
      </c>
      <c r="L3165">
        <v>1533958244</v>
      </c>
      <c r="M3165">
        <v>1195652588</v>
      </c>
      <c r="N3165">
        <v>948430137</v>
      </c>
      <c r="O3165">
        <v>727811481</v>
      </c>
      <c r="P3165">
        <v>1190</v>
      </c>
      <c r="Q3165" t="s">
        <v>6671</v>
      </c>
    </row>
    <row r="3166" spans="1:17" x14ac:dyDescent="0.3">
      <c r="A3166" t="s">
        <v>4729</v>
      </c>
      <c r="B3166" t="str">
        <f>"002440"</f>
        <v>002440</v>
      </c>
      <c r="C3166" t="s">
        <v>6672</v>
      </c>
      <c r="D3166" t="s">
        <v>779</v>
      </c>
      <c r="F3166">
        <v>5572265055</v>
      </c>
      <c r="G3166">
        <v>5228130174</v>
      </c>
      <c r="H3166">
        <v>6513168920</v>
      </c>
      <c r="I3166">
        <v>6464083530</v>
      </c>
      <c r="J3166">
        <v>6056983532</v>
      </c>
      <c r="K3166">
        <v>4352970581</v>
      </c>
      <c r="L3166">
        <v>4521827516</v>
      </c>
      <c r="M3166">
        <v>5345222106</v>
      </c>
      <c r="N3166">
        <v>4801481663</v>
      </c>
      <c r="O3166">
        <v>3547094062</v>
      </c>
      <c r="P3166">
        <v>537</v>
      </c>
      <c r="Q3166" t="s">
        <v>6673</v>
      </c>
    </row>
    <row r="3167" spans="1:17" x14ac:dyDescent="0.3">
      <c r="A3167" t="s">
        <v>4729</v>
      </c>
      <c r="B3167" t="str">
        <f>"002441"</f>
        <v>002441</v>
      </c>
      <c r="C3167" t="s">
        <v>6674</v>
      </c>
      <c r="D3167" t="s">
        <v>657</v>
      </c>
      <c r="F3167">
        <v>12558341233</v>
      </c>
      <c r="G3167">
        <v>10741254224</v>
      </c>
      <c r="H3167">
        <v>9925260476</v>
      </c>
      <c r="I3167">
        <v>8554837972</v>
      </c>
      <c r="J3167">
        <v>7601087323</v>
      </c>
      <c r="K3167">
        <v>6800417154</v>
      </c>
      <c r="L3167">
        <v>6701737223</v>
      </c>
      <c r="M3167">
        <v>7182909898</v>
      </c>
      <c r="N3167">
        <v>6580197022</v>
      </c>
      <c r="O3167">
        <v>5844954274</v>
      </c>
      <c r="P3167">
        <v>134</v>
      </c>
      <c r="Q3167" t="s">
        <v>6675</v>
      </c>
    </row>
    <row r="3168" spans="1:17" x14ac:dyDescent="0.3">
      <c r="A3168" t="s">
        <v>4729</v>
      </c>
      <c r="B3168" t="str">
        <f>"002442"</f>
        <v>002442</v>
      </c>
      <c r="C3168" t="s">
        <v>6676</v>
      </c>
      <c r="D3168" t="s">
        <v>3646</v>
      </c>
      <c r="F3168">
        <v>3438539048</v>
      </c>
      <c r="G3168">
        <v>2295745793</v>
      </c>
      <c r="H3168">
        <v>2805930355</v>
      </c>
      <c r="I3168">
        <v>3085736795</v>
      </c>
      <c r="J3168">
        <v>2702247550</v>
      </c>
      <c r="K3168">
        <v>1843298401</v>
      </c>
      <c r="L3168">
        <v>1737068947</v>
      </c>
      <c r="M3168">
        <v>2438321866</v>
      </c>
      <c r="N3168">
        <v>2344427036</v>
      </c>
      <c r="O3168">
        <v>1940447166</v>
      </c>
      <c r="P3168">
        <v>105</v>
      </c>
      <c r="Q3168" t="s">
        <v>6677</v>
      </c>
    </row>
    <row r="3169" spans="1:17" x14ac:dyDescent="0.3">
      <c r="A3169" t="s">
        <v>4729</v>
      </c>
      <c r="B3169" t="str">
        <f>"002443"</f>
        <v>002443</v>
      </c>
      <c r="C3169" t="s">
        <v>6678</v>
      </c>
      <c r="D3169" t="s">
        <v>281</v>
      </c>
      <c r="F3169">
        <v>7043486975</v>
      </c>
      <c r="G3169">
        <v>5109865968</v>
      </c>
      <c r="H3169">
        <v>5049096911</v>
      </c>
      <c r="I3169">
        <v>4807690077</v>
      </c>
      <c r="J3169">
        <v>3862947737</v>
      </c>
      <c r="K3169">
        <v>2637833939</v>
      </c>
      <c r="L3169">
        <v>2641571974</v>
      </c>
      <c r="M3169">
        <v>3042717439</v>
      </c>
      <c r="N3169">
        <v>3499344567</v>
      </c>
      <c r="O3169">
        <v>3407543321</v>
      </c>
      <c r="P3169">
        <v>257</v>
      </c>
      <c r="Q3169" t="s">
        <v>6679</v>
      </c>
    </row>
    <row r="3170" spans="1:17" x14ac:dyDescent="0.3">
      <c r="A3170" t="s">
        <v>4729</v>
      </c>
      <c r="B3170" t="str">
        <f>"002444"</f>
        <v>002444</v>
      </c>
      <c r="C3170" t="s">
        <v>6680</v>
      </c>
      <c r="D3170" t="s">
        <v>560</v>
      </c>
      <c r="F3170">
        <v>10919683344</v>
      </c>
      <c r="G3170">
        <v>8544440154</v>
      </c>
      <c r="H3170">
        <v>6625464121</v>
      </c>
      <c r="I3170">
        <v>5934673689</v>
      </c>
      <c r="J3170">
        <v>4280610146</v>
      </c>
      <c r="K3170">
        <v>3603322860</v>
      </c>
      <c r="L3170">
        <v>3176484533</v>
      </c>
      <c r="M3170">
        <v>2866067735</v>
      </c>
      <c r="N3170">
        <v>2646479089</v>
      </c>
      <c r="O3170">
        <v>2305875491</v>
      </c>
      <c r="P3170">
        <v>658</v>
      </c>
      <c r="Q3170" t="s">
        <v>6681</v>
      </c>
    </row>
    <row r="3171" spans="1:17" x14ac:dyDescent="0.3">
      <c r="A3171" t="s">
        <v>4729</v>
      </c>
      <c r="B3171" t="str">
        <f>"002445"</f>
        <v>002445</v>
      </c>
      <c r="C3171" t="s">
        <v>6682</v>
      </c>
      <c r="D3171" t="s">
        <v>517</v>
      </c>
      <c r="F3171">
        <v>481553782</v>
      </c>
      <c r="G3171">
        <v>386826543</v>
      </c>
      <c r="H3171">
        <v>597539431</v>
      </c>
      <c r="I3171">
        <v>970161050</v>
      </c>
      <c r="J3171">
        <v>1525302800</v>
      </c>
      <c r="K3171">
        <v>1339590279</v>
      </c>
      <c r="L3171">
        <v>1119348836</v>
      </c>
      <c r="M3171">
        <v>724344246</v>
      </c>
      <c r="N3171">
        <v>1172963028</v>
      </c>
      <c r="O3171">
        <v>702614410</v>
      </c>
      <c r="P3171">
        <v>110</v>
      </c>
      <c r="Q3171" t="s">
        <v>6683</v>
      </c>
    </row>
    <row r="3172" spans="1:17" x14ac:dyDescent="0.3">
      <c r="A3172" t="s">
        <v>4729</v>
      </c>
      <c r="B3172" t="str">
        <f>"002446"</f>
        <v>002446</v>
      </c>
      <c r="C3172" t="s">
        <v>6684</v>
      </c>
      <c r="D3172" t="s">
        <v>1136</v>
      </c>
      <c r="F3172">
        <v>962082915</v>
      </c>
      <c r="G3172">
        <v>1145364149</v>
      </c>
      <c r="H3172">
        <v>1333581260</v>
      </c>
      <c r="I3172">
        <v>1417384346</v>
      </c>
      <c r="J3172">
        <v>958150740</v>
      </c>
      <c r="K3172">
        <v>1156341615</v>
      </c>
      <c r="L3172">
        <v>909799510</v>
      </c>
      <c r="M3172">
        <v>525967801</v>
      </c>
      <c r="N3172">
        <v>318691676</v>
      </c>
      <c r="O3172">
        <v>312556732</v>
      </c>
      <c r="P3172">
        <v>371</v>
      </c>
      <c r="Q3172" t="s">
        <v>6685</v>
      </c>
    </row>
    <row r="3173" spans="1:17" x14ac:dyDescent="0.3">
      <c r="A3173" t="s">
        <v>4729</v>
      </c>
      <c r="B3173" t="str">
        <f>"002447"</f>
        <v>002447</v>
      </c>
      <c r="C3173" t="s">
        <v>6686</v>
      </c>
      <c r="D3173" t="s">
        <v>517</v>
      </c>
      <c r="F3173">
        <v>153314208</v>
      </c>
      <c r="G3173">
        <v>105263440</v>
      </c>
      <c r="H3173">
        <v>66356242</v>
      </c>
      <c r="I3173">
        <v>244496487</v>
      </c>
      <c r="J3173">
        <v>391885818</v>
      </c>
      <c r="K3173">
        <v>781635217</v>
      </c>
      <c r="L3173">
        <v>579263112</v>
      </c>
      <c r="M3173">
        <v>540028124</v>
      </c>
      <c r="N3173">
        <v>532701657</v>
      </c>
      <c r="O3173">
        <v>372156576</v>
      </c>
      <c r="P3173">
        <v>92</v>
      </c>
      <c r="Q3173" t="s">
        <v>6687</v>
      </c>
    </row>
    <row r="3174" spans="1:17" x14ac:dyDescent="0.3">
      <c r="A3174" t="s">
        <v>4729</v>
      </c>
      <c r="B3174" t="str">
        <f>"002448"</f>
        <v>002448</v>
      </c>
      <c r="C3174" t="s">
        <v>6688</v>
      </c>
      <c r="D3174" t="s">
        <v>348</v>
      </c>
      <c r="F3174">
        <v>2448659788</v>
      </c>
      <c r="G3174">
        <v>1820271879</v>
      </c>
      <c r="H3174">
        <v>1490193982</v>
      </c>
      <c r="I3174">
        <v>1596581575</v>
      </c>
      <c r="J3174">
        <v>1504147038</v>
      </c>
      <c r="K3174">
        <v>1175284207</v>
      </c>
      <c r="L3174">
        <v>1104469686</v>
      </c>
      <c r="M3174">
        <v>1083984917</v>
      </c>
      <c r="N3174">
        <v>1109550667</v>
      </c>
      <c r="O3174">
        <v>1022773651</v>
      </c>
      <c r="P3174">
        <v>194</v>
      </c>
      <c r="Q3174" t="s">
        <v>6689</v>
      </c>
    </row>
    <row r="3175" spans="1:17" x14ac:dyDescent="0.3">
      <c r="A3175" t="s">
        <v>4729</v>
      </c>
      <c r="B3175" t="str">
        <f>"002449"</f>
        <v>002449</v>
      </c>
      <c r="C3175" t="s">
        <v>6690</v>
      </c>
      <c r="D3175" t="s">
        <v>803</v>
      </c>
      <c r="F3175">
        <v>3806347366</v>
      </c>
      <c r="G3175">
        <v>3263270352</v>
      </c>
      <c r="H3175">
        <v>4069104731</v>
      </c>
      <c r="I3175">
        <v>3626799938</v>
      </c>
      <c r="J3175">
        <v>3472602397</v>
      </c>
      <c r="K3175">
        <v>2418423850</v>
      </c>
      <c r="L3175">
        <v>1838515560</v>
      </c>
      <c r="M3175">
        <v>1543030308</v>
      </c>
      <c r="N3175">
        <v>1142376274</v>
      </c>
      <c r="O3175">
        <v>947972381</v>
      </c>
      <c r="P3175">
        <v>392</v>
      </c>
      <c r="Q3175" t="s">
        <v>6691</v>
      </c>
    </row>
    <row r="3176" spans="1:17" x14ac:dyDescent="0.3">
      <c r="A3176" t="s">
        <v>4729</v>
      </c>
      <c r="B3176" t="str">
        <f>"002450"</f>
        <v>002450</v>
      </c>
      <c r="C3176" t="s">
        <v>6692</v>
      </c>
      <c r="G3176">
        <v>1107250766</v>
      </c>
      <c r="H3176">
        <v>1479473748</v>
      </c>
      <c r="I3176">
        <v>9150288400</v>
      </c>
      <c r="J3176">
        <v>11789073517</v>
      </c>
      <c r="K3176">
        <v>9232749389</v>
      </c>
      <c r="L3176">
        <v>7459376626</v>
      </c>
      <c r="M3176">
        <v>5208091771</v>
      </c>
      <c r="N3176">
        <v>3192701967</v>
      </c>
      <c r="O3176">
        <v>2234623153</v>
      </c>
      <c r="P3176">
        <v>1520</v>
      </c>
      <c r="Q3176" t="s">
        <v>6693</v>
      </c>
    </row>
    <row r="3177" spans="1:17" x14ac:dyDescent="0.3">
      <c r="A3177" t="s">
        <v>4729</v>
      </c>
      <c r="B3177" t="str">
        <f>"002451"</f>
        <v>002451</v>
      </c>
      <c r="C3177" t="s">
        <v>6694</v>
      </c>
      <c r="D3177" t="s">
        <v>1164</v>
      </c>
      <c r="F3177">
        <v>1142295754</v>
      </c>
      <c r="G3177">
        <v>454271985</v>
      </c>
      <c r="H3177">
        <v>367023234</v>
      </c>
      <c r="I3177">
        <v>585013110</v>
      </c>
      <c r="J3177">
        <v>467468469</v>
      </c>
      <c r="K3177">
        <v>500808564</v>
      </c>
      <c r="L3177">
        <v>576605863</v>
      </c>
      <c r="M3177">
        <v>646651348</v>
      </c>
      <c r="N3177">
        <v>442630277</v>
      </c>
      <c r="O3177">
        <v>392349052</v>
      </c>
      <c r="P3177">
        <v>105</v>
      </c>
      <c r="Q3177" t="s">
        <v>6695</v>
      </c>
    </row>
    <row r="3178" spans="1:17" x14ac:dyDescent="0.3">
      <c r="A3178" t="s">
        <v>4729</v>
      </c>
      <c r="B3178" t="str">
        <f>"002452"</f>
        <v>002452</v>
      </c>
      <c r="C3178" t="s">
        <v>6696</v>
      </c>
      <c r="D3178" t="s">
        <v>210</v>
      </c>
      <c r="F3178">
        <v>1521246550</v>
      </c>
      <c r="G3178">
        <v>1561726498</v>
      </c>
      <c r="H3178">
        <v>1159125392</v>
      </c>
      <c r="I3178">
        <v>1053322279</v>
      </c>
      <c r="J3178">
        <v>1415714603</v>
      </c>
      <c r="K3178">
        <v>1292992766</v>
      </c>
      <c r="L3178">
        <v>663561892</v>
      </c>
      <c r="M3178">
        <v>478365698</v>
      </c>
      <c r="N3178">
        <v>496291189</v>
      </c>
      <c r="O3178">
        <v>410566156</v>
      </c>
      <c r="P3178">
        <v>173</v>
      </c>
      <c r="Q3178" t="s">
        <v>6697</v>
      </c>
    </row>
    <row r="3179" spans="1:17" x14ac:dyDescent="0.3">
      <c r="A3179" t="s">
        <v>4729</v>
      </c>
      <c r="B3179" t="str">
        <f>"002453"</f>
        <v>002453</v>
      </c>
      <c r="C3179" t="s">
        <v>6698</v>
      </c>
      <c r="D3179" t="s">
        <v>386</v>
      </c>
      <c r="F3179">
        <v>3942318264</v>
      </c>
      <c r="G3179">
        <v>2739390050</v>
      </c>
      <c r="H3179">
        <v>2635026001</v>
      </c>
      <c r="I3179">
        <v>2060728085</v>
      </c>
      <c r="J3179">
        <v>1472660671</v>
      </c>
      <c r="K3179">
        <v>1194217730</v>
      </c>
      <c r="L3179">
        <v>1062657470</v>
      </c>
      <c r="M3179">
        <v>1040177840</v>
      </c>
      <c r="N3179">
        <v>1121667680</v>
      </c>
      <c r="O3179">
        <v>1044015398</v>
      </c>
      <c r="P3179">
        <v>125</v>
      </c>
      <c r="Q3179" t="s">
        <v>6699</v>
      </c>
    </row>
    <row r="3180" spans="1:17" x14ac:dyDescent="0.3">
      <c r="A3180" t="s">
        <v>4729</v>
      </c>
      <c r="B3180" t="str">
        <f>"002454"</f>
        <v>002454</v>
      </c>
      <c r="C3180" t="s">
        <v>6700</v>
      </c>
      <c r="D3180" t="s">
        <v>1415</v>
      </c>
      <c r="F3180">
        <v>4123694228</v>
      </c>
      <c r="G3180">
        <v>3383834846</v>
      </c>
      <c r="H3180">
        <v>3405998821</v>
      </c>
      <c r="I3180">
        <v>3687813118</v>
      </c>
      <c r="J3180">
        <v>4172462188</v>
      </c>
      <c r="K3180">
        <v>3235477213</v>
      </c>
      <c r="L3180">
        <v>3000977247</v>
      </c>
      <c r="M3180">
        <v>2527246232</v>
      </c>
      <c r="N3180">
        <v>1968161413</v>
      </c>
      <c r="O3180">
        <v>1514524538</v>
      </c>
      <c r="P3180">
        <v>191</v>
      </c>
      <c r="Q3180" t="s">
        <v>6701</v>
      </c>
    </row>
    <row r="3181" spans="1:17" x14ac:dyDescent="0.3">
      <c r="A3181" t="s">
        <v>4729</v>
      </c>
      <c r="B3181" t="str">
        <f>"002455"</f>
        <v>002455</v>
      </c>
      <c r="C3181" t="s">
        <v>6702</v>
      </c>
      <c r="D3181" t="s">
        <v>386</v>
      </c>
      <c r="F3181">
        <v>4020853063</v>
      </c>
      <c r="G3181">
        <v>2186730175</v>
      </c>
      <c r="H3181">
        <v>2574641105</v>
      </c>
      <c r="I3181">
        <v>3027275935</v>
      </c>
      <c r="J3181">
        <v>2464507845</v>
      </c>
      <c r="K3181">
        <v>2053462085</v>
      </c>
      <c r="L3181">
        <v>2295754899</v>
      </c>
      <c r="M3181">
        <v>2904557165</v>
      </c>
      <c r="N3181">
        <v>2504064726</v>
      </c>
      <c r="O3181">
        <v>1725989465</v>
      </c>
      <c r="P3181">
        <v>209</v>
      </c>
      <c r="Q3181" t="s">
        <v>6703</v>
      </c>
    </row>
    <row r="3182" spans="1:17" x14ac:dyDescent="0.3">
      <c r="A3182" t="s">
        <v>4729</v>
      </c>
      <c r="B3182" t="str">
        <f>"002456"</f>
        <v>002456</v>
      </c>
      <c r="C3182" t="s">
        <v>6704</v>
      </c>
      <c r="D3182" t="s">
        <v>164</v>
      </c>
      <c r="F3182">
        <v>22843942947</v>
      </c>
      <c r="G3182">
        <v>48349701026</v>
      </c>
      <c r="H3182">
        <v>51974129540</v>
      </c>
      <c r="I3182">
        <v>43042809936</v>
      </c>
      <c r="J3182">
        <v>33791031434</v>
      </c>
      <c r="K3182">
        <v>26746418938</v>
      </c>
      <c r="L3182">
        <v>18497766560</v>
      </c>
      <c r="M3182">
        <v>19482290172</v>
      </c>
      <c r="N3182">
        <v>9101764288</v>
      </c>
      <c r="O3182">
        <v>3931721216</v>
      </c>
      <c r="P3182">
        <v>1607</v>
      </c>
      <c r="Q3182" t="s">
        <v>6705</v>
      </c>
    </row>
    <row r="3183" spans="1:17" x14ac:dyDescent="0.3">
      <c r="A3183" t="s">
        <v>4729</v>
      </c>
      <c r="B3183" t="str">
        <f>"002457"</f>
        <v>002457</v>
      </c>
      <c r="C3183" t="s">
        <v>6706</v>
      </c>
      <c r="D3183" t="s">
        <v>3347</v>
      </c>
      <c r="F3183">
        <v>2434708963</v>
      </c>
      <c r="G3183">
        <v>2060858537</v>
      </c>
      <c r="H3183">
        <v>1995928403</v>
      </c>
      <c r="I3183">
        <v>1439705218</v>
      </c>
      <c r="J3183">
        <v>1185564340</v>
      </c>
      <c r="K3183">
        <v>789341823</v>
      </c>
      <c r="L3183">
        <v>816278323</v>
      </c>
      <c r="M3183">
        <v>855793399</v>
      </c>
      <c r="N3183">
        <v>1238925509</v>
      </c>
      <c r="O3183">
        <v>774894945</v>
      </c>
      <c r="P3183">
        <v>132</v>
      </c>
      <c r="Q3183" t="s">
        <v>6707</v>
      </c>
    </row>
    <row r="3184" spans="1:17" x14ac:dyDescent="0.3">
      <c r="A3184" t="s">
        <v>4729</v>
      </c>
      <c r="B3184" t="str">
        <f>"002458"</f>
        <v>002458</v>
      </c>
      <c r="C3184" t="s">
        <v>6708</v>
      </c>
      <c r="D3184" t="s">
        <v>6260</v>
      </c>
      <c r="F3184">
        <v>2089921929</v>
      </c>
      <c r="G3184">
        <v>1751036372</v>
      </c>
      <c r="H3184">
        <v>3583534105</v>
      </c>
      <c r="I3184">
        <v>1473118955</v>
      </c>
      <c r="J3184">
        <v>656404863</v>
      </c>
      <c r="K3184">
        <v>1611132545</v>
      </c>
      <c r="L3184">
        <v>604290342</v>
      </c>
      <c r="M3184">
        <v>841921368</v>
      </c>
      <c r="N3184">
        <v>502875826</v>
      </c>
      <c r="O3184">
        <v>601419274</v>
      </c>
      <c r="P3184">
        <v>815</v>
      </c>
      <c r="Q3184" t="s">
        <v>6709</v>
      </c>
    </row>
    <row r="3185" spans="1:17" x14ac:dyDescent="0.3">
      <c r="A3185" t="s">
        <v>4729</v>
      </c>
      <c r="B3185" t="str">
        <f>"002459"</f>
        <v>002459</v>
      </c>
      <c r="C3185" t="s">
        <v>6710</v>
      </c>
      <c r="D3185" t="s">
        <v>356</v>
      </c>
      <c r="F3185">
        <v>41301753628</v>
      </c>
      <c r="G3185">
        <v>25846520913</v>
      </c>
      <c r="H3185">
        <v>21155479990</v>
      </c>
      <c r="I3185">
        <v>353524442</v>
      </c>
      <c r="J3185">
        <v>356912322</v>
      </c>
      <c r="K3185">
        <v>322762795</v>
      </c>
      <c r="L3185">
        <v>322324823</v>
      </c>
      <c r="M3185">
        <v>630383386</v>
      </c>
      <c r="N3185">
        <v>664192155</v>
      </c>
      <c r="O3185">
        <v>493318049</v>
      </c>
      <c r="P3185">
        <v>1227</v>
      </c>
      <c r="Q3185" t="s">
        <v>6711</v>
      </c>
    </row>
    <row r="3186" spans="1:17" x14ac:dyDescent="0.3">
      <c r="A3186" t="s">
        <v>4729</v>
      </c>
      <c r="B3186" t="str">
        <f>"002460"</f>
        <v>002460</v>
      </c>
      <c r="C3186" t="s">
        <v>6712</v>
      </c>
      <c r="D3186" t="s">
        <v>5371</v>
      </c>
      <c r="F3186">
        <v>11162214421</v>
      </c>
      <c r="G3186">
        <v>5523986077</v>
      </c>
      <c r="H3186">
        <v>5341720204</v>
      </c>
      <c r="I3186">
        <v>5003882888</v>
      </c>
      <c r="J3186">
        <v>4383446140</v>
      </c>
      <c r="K3186">
        <v>2844120348</v>
      </c>
      <c r="L3186">
        <v>1353924755</v>
      </c>
      <c r="M3186">
        <v>869480147</v>
      </c>
      <c r="N3186">
        <v>686267000</v>
      </c>
      <c r="O3186">
        <v>628147630</v>
      </c>
      <c r="P3186">
        <v>2487</v>
      </c>
      <c r="Q3186" t="s">
        <v>6713</v>
      </c>
    </row>
    <row r="3187" spans="1:17" x14ac:dyDescent="0.3">
      <c r="A3187" t="s">
        <v>4729</v>
      </c>
      <c r="B3187" t="str">
        <f>"002461"</f>
        <v>002461</v>
      </c>
      <c r="C3187" t="s">
        <v>6714</v>
      </c>
      <c r="D3187" t="s">
        <v>319</v>
      </c>
      <c r="F3187">
        <v>4537859587</v>
      </c>
      <c r="G3187">
        <v>4249250390</v>
      </c>
      <c r="H3187">
        <v>4243607162</v>
      </c>
      <c r="I3187">
        <v>4039298073</v>
      </c>
      <c r="J3187">
        <v>3763608335</v>
      </c>
      <c r="K3187">
        <v>3542993774</v>
      </c>
      <c r="L3187">
        <v>3516971452</v>
      </c>
      <c r="M3187">
        <v>3523776817</v>
      </c>
      <c r="N3187">
        <v>3349142764</v>
      </c>
      <c r="O3187">
        <v>3474832343</v>
      </c>
      <c r="P3187">
        <v>463</v>
      </c>
      <c r="Q3187" t="s">
        <v>6715</v>
      </c>
    </row>
    <row r="3188" spans="1:17" x14ac:dyDescent="0.3">
      <c r="A3188" t="s">
        <v>4729</v>
      </c>
      <c r="B3188" t="str">
        <f>"002462"</f>
        <v>002462</v>
      </c>
      <c r="C3188" t="s">
        <v>6716</v>
      </c>
      <c r="D3188" t="s">
        <v>125</v>
      </c>
      <c r="F3188">
        <v>25625618770</v>
      </c>
      <c r="G3188">
        <v>23256135891</v>
      </c>
      <c r="H3188">
        <v>22186572875</v>
      </c>
      <c r="I3188">
        <v>17959885467</v>
      </c>
      <c r="J3188">
        <v>14238899717</v>
      </c>
      <c r="K3188">
        <v>10971576558</v>
      </c>
      <c r="L3188">
        <v>8199831909</v>
      </c>
      <c r="M3188">
        <v>5572152340</v>
      </c>
      <c r="N3188">
        <v>3544275168</v>
      </c>
      <c r="O3188">
        <v>2554073304</v>
      </c>
      <c r="P3188">
        <v>258</v>
      </c>
      <c r="Q3188" t="s">
        <v>6717</v>
      </c>
    </row>
    <row r="3189" spans="1:17" x14ac:dyDescent="0.3">
      <c r="A3189" t="s">
        <v>4729</v>
      </c>
      <c r="B3189" t="str">
        <f>"002463"</f>
        <v>002463</v>
      </c>
      <c r="C3189" t="s">
        <v>6718</v>
      </c>
      <c r="D3189" t="s">
        <v>425</v>
      </c>
      <c r="F3189">
        <v>7418710047</v>
      </c>
      <c r="G3189">
        <v>7460024310</v>
      </c>
      <c r="H3189">
        <v>7128544582</v>
      </c>
      <c r="I3189">
        <v>5496885226</v>
      </c>
      <c r="J3189">
        <v>4626744296</v>
      </c>
      <c r="K3189">
        <v>3790284705</v>
      </c>
      <c r="L3189">
        <v>3377136295</v>
      </c>
      <c r="M3189">
        <v>3291794942</v>
      </c>
      <c r="N3189">
        <v>3017358116</v>
      </c>
      <c r="O3189">
        <v>3144260513</v>
      </c>
      <c r="P3189">
        <v>3004</v>
      </c>
      <c r="Q3189" t="s">
        <v>6719</v>
      </c>
    </row>
    <row r="3190" spans="1:17" x14ac:dyDescent="0.3">
      <c r="A3190" t="s">
        <v>4729</v>
      </c>
      <c r="B3190" t="str">
        <f>"002464"</f>
        <v>002464</v>
      </c>
      <c r="C3190" t="s">
        <v>6720</v>
      </c>
      <c r="D3190" t="s">
        <v>517</v>
      </c>
      <c r="F3190">
        <v>233408660</v>
      </c>
      <c r="G3190">
        <v>265305344</v>
      </c>
      <c r="H3190">
        <v>461852034</v>
      </c>
      <c r="I3190">
        <v>791617796</v>
      </c>
      <c r="J3190">
        <v>504927973</v>
      </c>
      <c r="K3190">
        <v>370558004</v>
      </c>
      <c r="L3190">
        <v>560647662</v>
      </c>
      <c r="M3190">
        <v>528208460</v>
      </c>
      <c r="N3190">
        <v>457220358</v>
      </c>
      <c r="O3190">
        <v>386437821</v>
      </c>
      <c r="P3190">
        <v>110</v>
      </c>
      <c r="Q3190" t="s">
        <v>6721</v>
      </c>
    </row>
    <row r="3191" spans="1:17" x14ac:dyDescent="0.3">
      <c r="A3191" t="s">
        <v>4729</v>
      </c>
      <c r="B3191" t="str">
        <f>"002465"</f>
        <v>002465</v>
      </c>
      <c r="C3191" t="s">
        <v>6722</v>
      </c>
      <c r="D3191" t="s">
        <v>1136</v>
      </c>
      <c r="F3191">
        <v>5474145059</v>
      </c>
      <c r="G3191">
        <v>5122064844</v>
      </c>
      <c r="H3191">
        <v>4607107847</v>
      </c>
      <c r="I3191">
        <v>4069795917</v>
      </c>
      <c r="J3191">
        <v>3352070732</v>
      </c>
      <c r="K3191">
        <v>4118734127</v>
      </c>
      <c r="L3191">
        <v>3806579106</v>
      </c>
      <c r="M3191">
        <v>2953828036</v>
      </c>
      <c r="N3191">
        <v>1683759565</v>
      </c>
      <c r="O3191">
        <v>1211144049</v>
      </c>
      <c r="P3191">
        <v>544</v>
      </c>
      <c r="Q3191" t="s">
        <v>6723</v>
      </c>
    </row>
    <row r="3192" spans="1:17" x14ac:dyDescent="0.3">
      <c r="A3192" t="s">
        <v>4729</v>
      </c>
      <c r="B3192" t="str">
        <f>"002466"</f>
        <v>002466</v>
      </c>
      <c r="C3192" t="s">
        <v>6724</v>
      </c>
      <c r="D3192" t="s">
        <v>5371</v>
      </c>
      <c r="F3192">
        <v>7663320942</v>
      </c>
      <c r="G3192">
        <v>3239452206</v>
      </c>
      <c r="H3192">
        <v>4840615284</v>
      </c>
      <c r="I3192">
        <v>6244419975</v>
      </c>
      <c r="J3192">
        <v>5470039874</v>
      </c>
      <c r="K3192">
        <v>3904564233</v>
      </c>
      <c r="L3192">
        <v>1866876669</v>
      </c>
      <c r="M3192">
        <v>1422384009</v>
      </c>
      <c r="N3192">
        <v>414975907</v>
      </c>
      <c r="O3192">
        <v>396829148</v>
      </c>
      <c r="P3192">
        <v>2365</v>
      </c>
      <c r="Q3192" t="s">
        <v>6725</v>
      </c>
    </row>
    <row r="3193" spans="1:17" x14ac:dyDescent="0.3">
      <c r="A3193" t="s">
        <v>4729</v>
      </c>
      <c r="B3193" t="str">
        <f>"002467"</f>
        <v>002467</v>
      </c>
      <c r="C3193" t="s">
        <v>6726</v>
      </c>
      <c r="D3193" t="s">
        <v>5670</v>
      </c>
      <c r="F3193">
        <v>891400014</v>
      </c>
      <c r="G3193">
        <v>969995257</v>
      </c>
      <c r="H3193">
        <v>1013565798</v>
      </c>
      <c r="I3193">
        <v>928733525</v>
      </c>
      <c r="J3193">
        <v>835851736</v>
      </c>
      <c r="K3193">
        <v>835675221</v>
      </c>
      <c r="L3193">
        <v>716361757</v>
      </c>
      <c r="M3193">
        <v>745412766</v>
      </c>
      <c r="N3193">
        <v>775091004</v>
      </c>
      <c r="O3193">
        <v>387046212</v>
      </c>
      <c r="P3193">
        <v>200</v>
      </c>
      <c r="Q3193" t="s">
        <v>6727</v>
      </c>
    </row>
    <row r="3194" spans="1:17" x14ac:dyDescent="0.3">
      <c r="A3194" t="s">
        <v>4729</v>
      </c>
      <c r="B3194" t="str">
        <f>"002468"</f>
        <v>002468</v>
      </c>
      <c r="C3194" t="s">
        <v>6728</v>
      </c>
      <c r="D3194" t="s">
        <v>537</v>
      </c>
      <c r="F3194">
        <v>25254777114</v>
      </c>
      <c r="G3194">
        <v>21566054674</v>
      </c>
      <c r="H3194">
        <v>23088941220</v>
      </c>
      <c r="I3194">
        <v>17013003446</v>
      </c>
      <c r="J3194">
        <v>12657241388</v>
      </c>
      <c r="K3194">
        <v>9880671263</v>
      </c>
      <c r="L3194">
        <v>1446639936</v>
      </c>
      <c r="M3194">
        <v>1715962170</v>
      </c>
      <c r="N3194">
        <v>1455876794</v>
      </c>
      <c r="O3194">
        <v>1197642766</v>
      </c>
      <c r="P3194">
        <v>638</v>
      </c>
      <c r="Q3194" t="s">
        <v>6729</v>
      </c>
    </row>
    <row r="3195" spans="1:17" x14ac:dyDescent="0.3">
      <c r="A3195" t="s">
        <v>4729</v>
      </c>
      <c r="B3195" t="str">
        <f>"002469"</f>
        <v>002469</v>
      </c>
      <c r="C3195" t="s">
        <v>6730</v>
      </c>
      <c r="D3195" t="s">
        <v>2025</v>
      </c>
      <c r="F3195">
        <v>2631465268</v>
      </c>
      <c r="G3195">
        <v>675964200</v>
      </c>
      <c r="H3195">
        <v>631007773</v>
      </c>
      <c r="I3195">
        <v>523382474</v>
      </c>
      <c r="J3195">
        <v>754051746</v>
      </c>
      <c r="K3195">
        <v>350673694</v>
      </c>
      <c r="L3195">
        <v>626495397</v>
      </c>
      <c r="M3195">
        <v>770243436</v>
      </c>
      <c r="N3195">
        <v>586392042</v>
      </c>
      <c r="O3195">
        <v>454766132</v>
      </c>
      <c r="P3195">
        <v>128</v>
      </c>
      <c r="Q3195" t="s">
        <v>6731</v>
      </c>
    </row>
    <row r="3196" spans="1:17" x14ac:dyDescent="0.3">
      <c r="A3196" t="s">
        <v>4729</v>
      </c>
      <c r="B3196" t="str">
        <f>"002470"</f>
        <v>002470</v>
      </c>
      <c r="C3196" t="s">
        <v>6732</v>
      </c>
      <c r="D3196" t="s">
        <v>5562</v>
      </c>
      <c r="F3196">
        <v>9315976600</v>
      </c>
      <c r="G3196">
        <v>9354986044</v>
      </c>
      <c r="H3196">
        <v>11308871930</v>
      </c>
      <c r="I3196">
        <v>15481574105</v>
      </c>
      <c r="J3196">
        <v>19833540079</v>
      </c>
      <c r="K3196">
        <v>18736455231</v>
      </c>
      <c r="L3196">
        <v>17748028364</v>
      </c>
      <c r="M3196">
        <v>13554442175</v>
      </c>
      <c r="N3196">
        <v>11992157369</v>
      </c>
      <c r="O3196">
        <v>10254217115</v>
      </c>
      <c r="P3196">
        <v>4918</v>
      </c>
      <c r="Q3196" t="s">
        <v>6733</v>
      </c>
    </row>
    <row r="3197" spans="1:17" x14ac:dyDescent="0.3">
      <c r="A3197" t="s">
        <v>4729</v>
      </c>
      <c r="B3197" t="str">
        <f>"002471"</f>
        <v>002471</v>
      </c>
      <c r="C3197" t="s">
        <v>6734</v>
      </c>
      <c r="D3197" t="s">
        <v>1164</v>
      </c>
      <c r="F3197">
        <v>5879919629</v>
      </c>
      <c r="G3197">
        <v>5434890905</v>
      </c>
      <c r="H3197">
        <v>7380895486</v>
      </c>
      <c r="I3197">
        <v>7634175411</v>
      </c>
      <c r="J3197">
        <v>7414740672</v>
      </c>
      <c r="K3197">
        <v>6217001129</v>
      </c>
      <c r="L3197">
        <v>5165378490</v>
      </c>
      <c r="M3197">
        <v>4865771353</v>
      </c>
      <c r="N3197">
        <v>4447922698</v>
      </c>
      <c r="O3197">
        <v>1878872519</v>
      </c>
      <c r="P3197">
        <v>92</v>
      </c>
      <c r="Q3197" t="s">
        <v>6735</v>
      </c>
    </row>
    <row r="3198" spans="1:17" x14ac:dyDescent="0.3">
      <c r="A3198" t="s">
        <v>4729</v>
      </c>
      <c r="B3198" t="str">
        <f>"002472"</f>
        <v>002472</v>
      </c>
      <c r="C3198" t="s">
        <v>6736</v>
      </c>
      <c r="D3198" t="s">
        <v>348</v>
      </c>
      <c r="F3198">
        <v>5391010789</v>
      </c>
      <c r="G3198">
        <v>3664195095</v>
      </c>
      <c r="H3198">
        <v>3235824342</v>
      </c>
      <c r="I3198">
        <v>3150702031</v>
      </c>
      <c r="J3198">
        <v>2638946952</v>
      </c>
      <c r="K3198">
        <v>1742674700</v>
      </c>
      <c r="L3198">
        <v>1397289064</v>
      </c>
      <c r="M3198">
        <v>1266385492</v>
      </c>
      <c r="N3198">
        <v>990885691</v>
      </c>
      <c r="O3198">
        <v>795035337</v>
      </c>
      <c r="P3198">
        <v>258</v>
      </c>
      <c r="Q3198" t="s">
        <v>6737</v>
      </c>
    </row>
    <row r="3199" spans="1:17" x14ac:dyDescent="0.3">
      <c r="A3199" t="s">
        <v>4729</v>
      </c>
      <c r="B3199" t="str">
        <f>"002473"</f>
        <v>002473</v>
      </c>
      <c r="C3199" t="s">
        <v>6738</v>
      </c>
      <c r="D3199" t="s">
        <v>5799</v>
      </c>
      <c r="F3199">
        <v>111584734</v>
      </c>
      <c r="G3199">
        <v>1910474</v>
      </c>
      <c r="H3199">
        <v>94816415</v>
      </c>
      <c r="I3199">
        <v>147374428</v>
      </c>
      <c r="J3199">
        <v>117337827</v>
      </c>
      <c r="K3199">
        <v>95212098</v>
      </c>
      <c r="L3199">
        <v>105230233</v>
      </c>
      <c r="M3199">
        <v>150967864</v>
      </c>
      <c r="N3199">
        <v>166127765</v>
      </c>
      <c r="O3199">
        <v>205127501</v>
      </c>
      <c r="P3199">
        <v>61</v>
      </c>
      <c r="Q3199" t="s">
        <v>6739</v>
      </c>
    </row>
    <row r="3200" spans="1:17" x14ac:dyDescent="0.3">
      <c r="A3200" t="s">
        <v>4729</v>
      </c>
      <c r="B3200" t="str">
        <f>"002474"</f>
        <v>002474</v>
      </c>
      <c r="C3200" t="s">
        <v>6740</v>
      </c>
      <c r="D3200" t="s">
        <v>316</v>
      </c>
      <c r="F3200">
        <v>717210056</v>
      </c>
      <c r="G3200">
        <v>730475517</v>
      </c>
      <c r="H3200">
        <v>727322833</v>
      </c>
      <c r="I3200">
        <v>812488366</v>
      </c>
      <c r="J3200">
        <v>742004732</v>
      </c>
      <c r="K3200">
        <v>702592312</v>
      </c>
      <c r="L3200">
        <v>623602055</v>
      </c>
      <c r="M3200">
        <v>598305165</v>
      </c>
      <c r="N3200">
        <v>603142395</v>
      </c>
      <c r="O3200">
        <v>568319811</v>
      </c>
      <c r="P3200">
        <v>180</v>
      </c>
      <c r="Q3200" t="s">
        <v>6741</v>
      </c>
    </row>
    <row r="3201" spans="1:17" x14ac:dyDescent="0.3">
      <c r="A3201" t="s">
        <v>4729</v>
      </c>
      <c r="B3201" t="str">
        <f>"002475"</f>
        <v>002475</v>
      </c>
      <c r="C3201" t="s">
        <v>6742</v>
      </c>
      <c r="D3201" t="s">
        <v>313</v>
      </c>
      <c r="F3201">
        <v>153946097790</v>
      </c>
      <c r="G3201">
        <v>92501259212</v>
      </c>
      <c r="H3201">
        <v>62516314588</v>
      </c>
      <c r="I3201">
        <v>35849964160</v>
      </c>
      <c r="J3201">
        <v>22826099790</v>
      </c>
      <c r="K3201">
        <v>13762595894</v>
      </c>
      <c r="L3201">
        <v>10139492447</v>
      </c>
      <c r="M3201">
        <v>7295948571</v>
      </c>
      <c r="N3201">
        <v>4591656698</v>
      </c>
      <c r="O3201">
        <v>3147201587</v>
      </c>
      <c r="P3201">
        <v>5894</v>
      </c>
      <c r="Q3201" t="s">
        <v>6743</v>
      </c>
    </row>
    <row r="3202" spans="1:17" x14ac:dyDescent="0.3">
      <c r="A3202" t="s">
        <v>4729</v>
      </c>
      <c r="B3202" t="str">
        <f>"002476"</f>
        <v>002476</v>
      </c>
      <c r="C3202" t="s">
        <v>6744</v>
      </c>
      <c r="D3202" t="s">
        <v>1617</v>
      </c>
      <c r="F3202">
        <v>657160021</v>
      </c>
      <c r="G3202">
        <v>447314622</v>
      </c>
      <c r="H3202">
        <v>416892275</v>
      </c>
      <c r="I3202">
        <v>449890702</v>
      </c>
      <c r="J3202">
        <v>409828477</v>
      </c>
      <c r="K3202">
        <v>898010141</v>
      </c>
      <c r="L3202">
        <v>741646822</v>
      </c>
      <c r="M3202">
        <v>667606686</v>
      </c>
      <c r="N3202">
        <v>684982846</v>
      </c>
      <c r="O3202">
        <v>581184379</v>
      </c>
      <c r="P3202">
        <v>85</v>
      </c>
      <c r="Q3202" t="s">
        <v>6745</v>
      </c>
    </row>
    <row r="3203" spans="1:17" x14ac:dyDescent="0.3">
      <c r="A3203" t="s">
        <v>4729</v>
      </c>
      <c r="B3203" t="str">
        <f>"002477"</f>
        <v>002477</v>
      </c>
      <c r="C3203" t="s">
        <v>6746</v>
      </c>
      <c r="I3203">
        <v>3555829010</v>
      </c>
      <c r="J3203">
        <v>5698204439</v>
      </c>
      <c r="K3203">
        <v>6090172094</v>
      </c>
      <c r="L3203">
        <v>3619021187</v>
      </c>
      <c r="M3203">
        <v>1761684747</v>
      </c>
      <c r="N3203">
        <v>1868073444</v>
      </c>
      <c r="O3203">
        <v>1583223882</v>
      </c>
      <c r="P3203">
        <v>126</v>
      </c>
      <c r="Q3203" t="s">
        <v>6747</v>
      </c>
    </row>
    <row r="3204" spans="1:17" x14ac:dyDescent="0.3">
      <c r="A3204" t="s">
        <v>4729</v>
      </c>
      <c r="B3204" t="str">
        <f>"002478"</f>
        <v>002478</v>
      </c>
      <c r="C3204" t="s">
        <v>6748</v>
      </c>
      <c r="D3204" t="s">
        <v>281</v>
      </c>
      <c r="F3204">
        <v>4226439754</v>
      </c>
      <c r="G3204">
        <v>3941856261</v>
      </c>
      <c r="H3204">
        <v>5285111388</v>
      </c>
      <c r="I3204">
        <v>5376126917</v>
      </c>
      <c r="J3204">
        <v>3494406306</v>
      </c>
      <c r="K3204">
        <v>2205317624</v>
      </c>
      <c r="L3204">
        <v>2923080553</v>
      </c>
      <c r="M3204">
        <v>3776571873</v>
      </c>
      <c r="N3204">
        <v>3988017888</v>
      </c>
      <c r="O3204">
        <v>3434911613</v>
      </c>
      <c r="P3204">
        <v>208</v>
      </c>
      <c r="Q3204" t="s">
        <v>6749</v>
      </c>
    </row>
    <row r="3205" spans="1:17" x14ac:dyDescent="0.3">
      <c r="A3205" t="s">
        <v>4729</v>
      </c>
      <c r="B3205" t="str">
        <f>"002479"</f>
        <v>002479</v>
      </c>
      <c r="C3205" t="s">
        <v>6750</v>
      </c>
      <c r="D3205" t="s">
        <v>351</v>
      </c>
      <c r="F3205">
        <v>4569712538</v>
      </c>
      <c r="G3205">
        <v>4656298657</v>
      </c>
      <c r="H3205">
        <v>4115696396</v>
      </c>
      <c r="I3205">
        <v>3010393479</v>
      </c>
      <c r="J3205">
        <v>3323594636</v>
      </c>
      <c r="K3205">
        <v>2699263760</v>
      </c>
      <c r="L3205">
        <v>2876833465</v>
      </c>
      <c r="M3205">
        <v>3730068540</v>
      </c>
      <c r="N3205">
        <v>3167752858</v>
      </c>
      <c r="O3205">
        <v>2706121160</v>
      </c>
      <c r="P3205">
        <v>158</v>
      </c>
      <c r="Q3205" t="s">
        <v>6751</v>
      </c>
    </row>
    <row r="3206" spans="1:17" x14ac:dyDescent="0.3">
      <c r="A3206" t="s">
        <v>4729</v>
      </c>
      <c r="B3206" t="str">
        <f>"002480"</f>
        <v>002480</v>
      </c>
      <c r="C3206" t="s">
        <v>6752</v>
      </c>
      <c r="D3206" t="s">
        <v>274</v>
      </c>
      <c r="F3206">
        <v>1249004686</v>
      </c>
      <c r="G3206">
        <v>2342101928</v>
      </c>
      <c r="H3206">
        <v>1996770592</v>
      </c>
      <c r="I3206">
        <v>1960210582</v>
      </c>
      <c r="J3206">
        <v>1660232422</v>
      </c>
      <c r="K3206">
        <v>1519555508</v>
      </c>
      <c r="L3206">
        <v>1053896201</v>
      </c>
      <c r="M3206">
        <v>1275090766</v>
      </c>
      <c r="N3206">
        <v>1247243402</v>
      </c>
      <c r="O3206">
        <v>761760882</v>
      </c>
      <c r="P3206">
        <v>107</v>
      </c>
      <c r="Q3206" t="s">
        <v>6753</v>
      </c>
    </row>
    <row r="3207" spans="1:17" x14ac:dyDescent="0.3">
      <c r="A3207" t="s">
        <v>4729</v>
      </c>
      <c r="B3207" t="str">
        <f>"002481"</f>
        <v>002481</v>
      </c>
      <c r="C3207" t="s">
        <v>6754</v>
      </c>
      <c r="D3207" t="s">
        <v>445</v>
      </c>
      <c r="F3207">
        <v>2165379817</v>
      </c>
      <c r="G3207">
        <v>2019632594</v>
      </c>
      <c r="H3207">
        <v>2121775327</v>
      </c>
      <c r="I3207">
        <v>2379315733</v>
      </c>
      <c r="J3207">
        <v>2067933710</v>
      </c>
      <c r="K3207">
        <v>1845015933</v>
      </c>
      <c r="L3207">
        <v>1242978174</v>
      </c>
      <c r="M3207">
        <v>1065177742</v>
      </c>
      <c r="N3207">
        <v>744321675</v>
      </c>
      <c r="O3207">
        <v>584336536</v>
      </c>
      <c r="P3207">
        <v>331</v>
      </c>
      <c r="Q3207" t="s">
        <v>6755</v>
      </c>
    </row>
    <row r="3208" spans="1:17" x14ac:dyDescent="0.3">
      <c r="A3208" t="s">
        <v>4729</v>
      </c>
      <c r="B3208" t="str">
        <f>"002482"</f>
        <v>002482</v>
      </c>
      <c r="C3208" t="s">
        <v>6756</v>
      </c>
      <c r="D3208" t="s">
        <v>450</v>
      </c>
      <c r="F3208">
        <v>8036388719</v>
      </c>
      <c r="G3208">
        <v>12246478062</v>
      </c>
      <c r="H3208">
        <v>13046256285</v>
      </c>
      <c r="I3208">
        <v>14397637077</v>
      </c>
      <c r="J3208">
        <v>12535229692</v>
      </c>
      <c r="K3208">
        <v>10112537436</v>
      </c>
      <c r="L3208">
        <v>8010010888</v>
      </c>
      <c r="M3208">
        <v>9787970299</v>
      </c>
      <c r="N3208">
        <v>8691326910</v>
      </c>
      <c r="O3208">
        <v>6777827064</v>
      </c>
      <c r="P3208">
        <v>112</v>
      </c>
      <c r="Q3208" t="s">
        <v>6757</v>
      </c>
    </row>
    <row r="3209" spans="1:17" x14ac:dyDescent="0.3">
      <c r="A3209" t="s">
        <v>4729</v>
      </c>
      <c r="B3209" t="str">
        <f>"002483"</f>
        <v>002483</v>
      </c>
      <c r="C3209" t="s">
        <v>6758</v>
      </c>
      <c r="D3209" t="s">
        <v>395</v>
      </c>
      <c r="F3209">
        <v>3846814513</v>
      </c>
      <c r="G3209">
        <v>3614726293</v>
      </c>
      <c r="H3209">
        <v>2313688877</v>
      </c>
      <c r="I3209">
        <v>1960503137</v>
      </c>
      <c r="J3209">
        <v>1842939896</v>
      </c>
      <c r="K3209">
        <v>2824431346</v>
      </c>
      <c r="L3209">
        <v>1908009915</v>
      </c>
      <c r="M3209">
        <v>2211585798</v>
      </c>
      <c r="N3209">
        <v>2298856671</v>
      </c>
      <c r="O3209">
        <v>1837895405</v>
      </c>
      <c r="P3209">
        <v>93</v>
      </c>
      <c r="Q3209" t="s">
        <v>6759</v>
      </c>
    </row>
    <row r="3210" spans="1:17" x14ac:dyDescent="0.3">
      <c r="A3210" t="s">
        <v>4729</v>
      </c>
      <c r="B3210" t="str">
        <f>"002484"</f>
        <v>002484</v>
      </c>
      <c r="C3210" t="s">
        <v>6760</v>
      </c>
      <c r="D3210" t="s">
        <v>546</v>
      </c>
      <c r="F3210">
        <v>3549683269</v>
      </c>
      <c r="G3210">
        <v>2635045312</v>
      </c>
      <c r="H3210">
        <v>2123032689</v>
      </c>
      <c r="I3210">
        <v>1960699029</v>
      </c>
      <c r="J3210">
        <v>1666811783</v>
      </c>
      <c r="K3210">
        <v>1223618895</v>
      </c>
      <c r="L3210">
        <v>1091288285</v>
      </c>
      <c r="M3210">
        <v>1155208826</v>
      </c>
      <c r="N3210">
        <v>1108876478</v>
      </c>
      <c r="O3210">
        <v>965516574</v>
      </c>
      <c r="P3210">
        <v>311</v>
      </c>
      <c r="Q3210" t="s">
        <v>6761</v>
      </c>
    </row>
    <row r="3211" spans="1:17" x14ac:dyDescent="0.3">
      <c r="A3211" t="s">
        <v>4729</v>
      </c>
      <c r="B3211" t="str">
        <f>"002485"</f>
        <v>002485</v>
      </c>
      <c r="C3211" t="s">
        <v>6762</v>
      </c>
      <c r="D3211" t="s">
        <v>255</v>
      </c>
      <c r="F3211">
        <v>2016017200</v>
      </c>
      <c r="G3211">
        <v>1525581290</v>
      </c>
      <c r="H3211">
        <v>3584739009</v>
      </c>
      <c r="I3211">
        <v>1720085166</v>
      </c>
      <c r="J3211">
        <v>774843219</v>
      </c>
      <c r="K3211">
        <v>696075861</v>
      </c>
      <c r="L3211">
        <v>1012762943</v>
      </c>
      <c r="M3211">
        <v>1029457160</v>
      </c>
      <c r="N3211">
        <v>1259200222</v>
      </c>
      <c r="O3211">
        <v>1179422336</v>
      </c>
      <c r="P3211">
        <v>80</v>
      </c>
      <c r="Q3211" t="s">
        <v>6763</v>
      </c>
    </row>
    <row r="3212" spans="1:17" x14ac:dyDescent="0.3">
      <c r="A3212" t="s">
        <v>4729</v>
      </c>
      <c r="B3212" t="str">
        <f>"002486"</f>
        <v>002486</v>
      </c>
      <c r="C3212" t="s">
        <v>6764</v>
      </c>
      <c r="D3212" t="s">
        <v>366</v>
      </c>
      <c r="F3212">
        <v>1155244090</v>
      </c>
      <c r="G3212">
        <v>1171293263</v>
      </c>
      <c r="H3212">
        <v>1005356349</v>
      </c>
      <c r="I3212">
        <v>879139975</v>
      </c>
      <c r="J3212">
        <v>883285616</v>
      </c>
      <c r="K3212">
        <v>727895014</v>
      </c>
      <c r="L3212">
        <v>700825175</v>
      </c>
      <c r="M3212">
        <v>872609420</v>
      </c>
      <c r="N3212">
        <v>896410316</v>
      </c>
      <c r="O3212">
        <v>810725853</v>
      </c>
      <c r="P3212">
        <v>88</v>
      </c>
      <c r="Q3212" t="s">
        <v>6765</v>
      </c>
    </row>
    <row r="3213" spans="1:17" x14ac:dyDescent="0.3">
      <c r="A3213" t="s">
        <v>4729</v>
      </c>
      <c r="B3213" t="str">
        <f>"002487"</f>
        <v>002487</v>
      </c>
      <c r="C3213" t="s">
        <v>6766</v>
      </c>
      <c r="D3213" t="s">
        <v>950</v>
      </c>
      <c r="F3213">
        <v>4431981035</v>
      </c>
      <c r="G3213">
        <v>3325417316</v>
      </c>
      <c r="H3213">
        <v>1687338341</v>
      </c>
      <c r="I3213">
        <v>969781614</v>
      </c>
      <c r="J3213">
        <v>1021062331</v>
      </c>
      <c r="K3213">
        <v>960349936</v>
      </c>
      <c r="L3213">
        <v>796455487</v>
      </c>
      <c r="M3213">
        <v>307508778</v>
      </c>
      <c r="N3213">
        <v>352841076</v>
      </c>
      <c r="O3213">
        <v>385920067</v>
      </c>
      <c r="P3213">
        <v>248</v>
      </c>
      <c r="Q3213" t="s">
        <v>6767</v>
      </c>
    </row>
    <row r="3214" spans="1:17" x14ac:dyDescent="0.3">
      <c r="A3214" t="s">
        <v>4729</v>
      </c>
      <c r="B3214" t="str">
        <f>"002488"</f>
        <v>002488</v>
      </c>
      <c r="C3214" t="s">
        <v>6768</v>
      </c>
      <c r="D3214" t="s">
        <v>422</v>
      </c>
      <c r="F3214">
        <v>2728026798</v>
      </c>
      <c r="G3214">
        <v>2620073620</v>
      </c>
      <c r="H3214">
        <v>2113712552</v>
      </c>
      <c r="I3214">
        <v>2708713301</v>
      </c>
      <c r="J3214">
        <v>3001200084</v>
      </c>
      <c r="K3214">
        <v>2271911669</v>
      </c>
      <c r="L3214">
        <v>1523773695</v>
      </c>
      <c r="M3214">
        <v>1313154025</v>
      </c>
      <c r="N3214">
        <v>1166230899</v>
      </c>
      <c r="O3214">
        <v>896786308</v>
      </c>
      <c r="P3214">
        <v>152</v>
      </c>
      <c r="Q3214" t="s">
        <v>6769</v>
      </c>
    </row>
    <row r="3215" spans="1:17" x14ac:dyDescent="0.3">
      <c r="A3215" t="s">
        <v>4729</v>
      </c>
      <c r="B3215" t="str">
        <f>"002489"</f>
        <v>002489</v>
      </c>
      <c r="C3215" t="s">
        <v>6770</v>
      </c>
      <c r="D3215" t="s">
        <v>757</v>
      </c>
      <c r="F3215">
        <v>8150809679</v>
      </c>
      <c r="G3215">
        <v>4954634739</v>
      </c>
      <c r="H3215">
        <v>4685206318</v>
      </c>
      <c r="I3215">
        <v>4386103508</v>
      </c>
      <c r="J3215">
        <v>4536324566</v>
      </c>
      <c r="K3215">
        <v>3792336293</v>
      </c>
      <c r="L3215">
        <v>3540614978</v>
      </c>
      <c r="M3215">
        <v>3299739677</v>
      </c>
      <c r="N3215">
        <v>3022358903</v>
      </c>
      <c r="O3215">
        <v>2759109822</v>
      </c>
      <c r="P3215">
        <v>206</v>
      </c>
      <c r="Q3215" t="s">
        <v>6771</v>
      </c>
    </row>
    <row r="3216" spans="1:17" x14ac:dyDescent="0.3">
      <c r="A3216" t="s">
        <v>4729</v>
      </c>
      <c r="B3216" t="str">
        <f>"002490"</f>
        <v>002490</v>
      </c>
      <c r="C3216" t="s">
        <v>6772</v>
      </c>
      <c r="D3216" t="s">
        <v>395</v>
      </c>
      <c r="F3216">
        <v>3734462841</v>
      </c>
      <c r="G3216">
        <v>3009719030</v>
      </c>
      <c r="H3216">
        <v>4388904216</v>
      </c>
      <c r="I3216">
        <v>4452014810</v>
      </c>
      <c r="J3216">
        <v>2965216722</v>
      </c>
      <c r="K3216">
        <v>1531118375</v>
      </c>
      <c r="L3216">
        <v>1613917735</v>
      </c>
      <c r="M3216">
        <v>2522102479</v>
      </c>
      <c r="N3216">
        <v>2272034335</v>
      </c>
      <c r="O3216">
        <v>2952063832</v>
      </c>
      <c r="P3216">
        <v>82</v>
      </c>
      <c r="Q3216" t="s">
        <v>6773</v>
      </c>
    </row>
    <row r="3217" spans="1:17" x14ac:dyDescent="0.3">
      <c r="A3217" t="s">
        <v>4729</v>
      </c>
      <c r="B3217" t="str">
        <f>"002491"</f>
        <v>002491</v>
      </c>
      <c r="C3217" t="s">
        <v>6774</v>
      </c>
      <c r="D3217" t="s">
        <v>250</v>
      </c>
      <c r="F3217">
        <v>2977263184</v>
      </c>
      <c r="G3217">
        <v>3586471069</v>
      </c>
      <c r="H3217">
        <v>3538707093</v>
      </c>
      <c r="I3217">
        <v>4445383179</v>
      </c>
      <c r="J3217">
        <v>4232184455</v>
      </c>
      <c r="K3217">
        <v>4143452588</v>
      </c>
      <c r="L3217">
        <v>3122327349</v>
      </c>
      <c r="M3217">
        <v>3031151887</v>
      </c>
      <c r="N3217">
        <v>2821597562</v>
      </c>
      <c r="O3217">
        <v>2803745256</v>
      </c>
      <c r="P3217">
        <v>214</v>
      </c>
      <c r="Q3217" t="s">
        <v>6775</v>
      </c>
    </row>
    <row r="3218" spans="1:17" x14ac:dyDescent="0.3">
      <c r="A3218" t="s">
        <v>4729</v>
      </c>
      <c r="B3218" t="str">
        <f>"002492"</f>
        <v>002492</v>
      </c>
      <c r="C3218" t="s">
        <v>6776</v>
      </c>
      <c r="D3218" t="s">
        <v>1592</v>
      </c>
      <c r="F3218">
        <v>412219113</v>
      </c>
      <c r="G3218">
        <v>369318539</v>
      </c>
      <c r="H3218">
        <v>274846038</v>
      </c>
      <c r="I3218">
        <v>254570947</v>
      </c>
      <c r="J3218">
        <v>226499972</v>
      </c>
      <c r="K3218">
        <v>209173152</v>
      </c>
      <c r="L3218">
        <v>152964373</v>
      </c>
      <c r="M3218">
        <v>174443227</v>
      </c>
      <c r="N3218">
        <v>166919574</v>
      </c>
      <c r="O3218">
        <v>178481373</v>
      </c>
      <c r="P3218">
        <v>94</v>
      </c>
      <c r="Q3218" t="s">
        <v>6777</v>
      </c>
    </row>
    <row r="3219" spans="1:17" x14ac:dyDescent="0.3">
      <c r="A3219" t="s">
        <v>4729</v>
      </c>
      <c r="B3219" t="str">
        <f>"002493"</f>
        <v>002493</v>
      </c>
      <c r="C3219" t="s">
        <v>6778</v>
      </c>
      <c r="D3219" t="s">
        <v>74</v>
      </c>
      <c r="F3219">
        <v>177024277493</v>
      </c>
      <c r="G3219">
        <v>107264993119</v>
      </c>
      <c r="H3219">
        <v>82499880682</v>
      </c>
      <c r="I3219">
        <v>91424664355</v>
      </c>
      <c r="J3219">
        <v>70531353416</v>
      </c>
      <c r="K3219">
        <v>45501073913</v>
      </c>
      <c r="L3219">
        <v>28673732758</v>
      </c>
      <c r="M3219">
        <v>31810846150</v>
      </c>
      <c r="N3219">
        <v>29356060213</v>
      </c>
      <c r="O3219">
        <v>23857114484</v>
      </c>
      <c r="P3219">
        <v>852</v>
      </c>
      <c r="Q3219" t="s">
        <v>6779</v>
      </c>
    </row>
    <row r="3220" spans="1:17" x14ac:dyDescent="0.3">
      <c r="A3220" t="s">
        <v>4729</v>
      </c>
      <c r="B3220" t="str">
        <f>"002494"</f>
        <v>002494</v>
      </c>
      <c r="C3220" t="s">
        <v>6780</v>
      </c>
      <c r="D3220" t="s">
        <v>255</v>
      </c>
      <c r="F3220">
        <v>415003405</v>
      </c>
      <c r="G3220">
        <v>338116650</v>
      </c>
      <c r="H3220">
        <v>477180890</v>
      </c>
      <c r="I3220">
        <v>501372546</v>
      </c>
      <c r="J3220">
        <v>633958377</v>
      </c>
      <c r="K3220">
        <v>501699306</v>
      </c>
      <c r="L3220">
        <v>566909775</v>
      </c>
      <c r="M3220">
        <v>833882864</v>
      </c>
      <c r="N3220">
        <v>638715512</v>
      </c>
      <c r="O3220">
        <v>518752331</v>
      </c>
      <c r="P3220">
        <v>81</v>
      </c>
      <c r="Q3220" t="s">
        <v>6781</v>
      </c>
    </row>
    <row r="3221" spans="1:17" x14ac:dyDescent="0.3">
      <c r="A3221" t="s">
        <v>4729</v>
      </c>
      <c r="B3221" t="str">
        <f>"002495"</f>
        <v>002495</v>
      </c>
      <c r="C3221" t="s">
        <v>6782</v>
      </c>
      <c r="D3221" t="s">
        <v>433</v>
      </c>
      <c r="F3221">
        <v>279795197</v>
      </c>
      <c r="G3221">
        <v>243328652</v>
      </c>
      <c r="H3221">
        <v>296593418</v>
      </c>
      <c r="I3221">
        <v>318960127</v>
      </c>
      <c r="J3221">
        <v>287030495</v>
      </c>
      <c r="K3221">
        <v>298240476</v>
      </c>
      <c r="L3221">
        <v>333945076</v>
      </c>
      <c r="M3221">
        <v>306694210</v>
      </c>
      <c r="N3221">
        <v>276019335</v>
      </c>
      <c r="O3221">
        <v>274564571</v>
      </c>
      <c r="P3221">
        <v>113</v>
      </c>
      <c r="Q3221" t="s">
        <v>6783</v>
      </c>
    </row>
    <row r="3222" spans="1:17" x14ac:dyDescent="0.3">
      <c r="A3222" t="s">
        <v>4729</v>
      </c>
      <c r="B3222" t="str">
        <f>"002496"</f>
        <v>002496</v>
      </c>
      <c r="C3222" t="s">
        <v>6784</v>
      </c>
      <c r="D3222" t="s">
        <v>853</v>
      </c>
      <c r="F3222">
        <v>1095481170</v>
      </c>
      <c r="G3222">
        <v>1641807710</v>
      </c>
      <c r="H3222">
        <v>1226380349</v>
      </c>
      <c r="I3222">
        <v>2519112574</v>
      </c>
      <c r="J3222">
        <v>3951553728</v>
      </c>
      <c r="K3222">
        <v>5840361088</v>
      </c>
      <c r="L3222">
        <v>3333067618</v>
      </c>
      <c r="M3222">
        <v>2429069127</v>
      </c>
      <c r="N3222">
        <v>2085845415</v>
      </c>
      <c r="O3222">
        <v>1667157534</v>
      </c>
      <c r="P3222">
        <v>158</v>
      </c>
      <c r="Q3222" t="s">
        <v>6785</v>
      </c>
    </row>
    <row r="3223" spans="1:17" x14ac:dyDescent="0.3">
      <c r="A3223" t="s">
        <v>4729</v>
      </c>
      <c r="B3223" t="str">
        <f>"002497"</f>
        <v>002497</v>
      </c>
      <c r="C3223" t="s">
        <v>6786</v>
      </c>
      <c r="D3223" t="s">
        <v>2736</v>
      </c>
      <c r="F3223">
        <v>5241340715</v>
      </c>
      <c r="G3223">
        <v>3250158490</v>
      </c>
      <c r="H3223">
        <v>3196739286</v>
      </c>
      <c r="I3223">
        <v>3066650043</v>
      </c>
      <c r="J3223">
        <v>2358496629</v>
      </c>
      <c r="K3223">
        <v>1579432857</v>
      </c>
      <c r="L3223">
        <v>1343349637</v>
      </c>
      <c r="M3223">
        <v>1454867567</v>
      </c>
      <c r="N3223">
        <v>1284318719</v>
      </c>
      <c r="O3223">
        <v>1099412693</v>
      </c>
      <c r="P3223">
        <v>481</v>
      </c>
      <c r="Q3223" t="s">
        <v>6787</v>
      </c>
    </row>
    <row r="3224" spans="1:17" x14ac:dyDescent="0.3">
      <c r="A3224" t="s">
        <v>4729</v>
      </c>
      <c r="B3224" t="str">
        <f>"002498"</f>
        <v>002498</v>
      </c>
      <c r="C3224" t="s">
        <v>6788</v>
      </c>
      <c r="D3224" t="s">
        <v>1164</v>
      </c>
      <c r="F3224">
        <v>8981293011</v>
      </c>
      <c r="G3224">
        <v>6951768705</v>
      </c>
      <c r="H3224">
        <v>6179608831</v>
      </c>
      <c r="I3224">
        <v>5568183760</v>
      </c>
      <c r="J3224">
        <v>4744989891</v>
      </c>
      <c r="K3224">
        <v>4138144544</v>
      </c>
      <c r="L3224">
        <v>4171100332</v>
      </c>
      <c r="M3224">
        <v>4637610399</v>
      </c>
      <c r="N3224">
        <v>4807436460</v>
      </c>
      <c r="O3224">
        <v>3674633717</v>
      </c>
      <c r="P3224">
        <v>282</v>
      </c>
      <c r="Q3224" t="s">
        <v>6789</v>
      </c>
    </row>
    <row r="3225" spans="1:17" x14ac:dyDescent="0.3">
      <c r="A3225" t="s">
        <v>4729</v>
      </c>
      <c r="B3225" t="str">
        <f>"002499"</f>
        <v>002499</v>
      </c>
      <c r="C3225" t="s">
        <v>6790</v>
      </c>
      <c r="D3225" t="s">
        <v>86</v>
      </c>
      <c r="F3225">
        <v>170012344</v>
      </c>
      <c r="G3225">
        <v>39382840</v>
      </c>
      <c r="H3225">
        <v>48671819</v>
      </c>
      <c r="I3225">
        <v>82563937</v>
      </c>
      <c r="J3225">
        <v>885516751</v>
      </c>
      <c r="K3225">
        <v>326101428</v>
      </c>
      <c r="L3225">
        <v>361803802</v>
      </c>
      <c r="M3225">
        <v>404625770</v>
      </c>
      <c r="N3225">
        <v>467372748</v>
      </c>
      <c r="O3225">
        <v>468203297</v>
      </c>
      <c r="P3225">
        <v>51</v>
      </c>
      <c r="Q3225" t="s">
        <v>6791</v>
      </c>
    </row>
    <row r="3226" spans="1:17" x14ac:dyDescent="0.3">
      <c r="A3226" t="s">
        <v>4729</v>
      </c>
      <c r="B3226" t="str">
        <f>"002500"</f>
        <v>002500</v>
      </c>
      <c r="C3226" t="s">
        <v>6792</v>
      </c>
      <c r="D3226" t="s">
        <v>80</v>
      </c>
      <c r="F3226">
        <v>3993936447</v>
      </c>
      <c r="G3226">
        <v>3341972041</v>
      </c>
      <c r="H3226">
        <v>5102180737</v>
      </c>
      <c r="I3226">
        <v>6851136626</v>
      </c>
      <c r="J3226">
        <v>4392996390</v>
      </c>
      <c r="K3226">
        <v>2345625119</v>
      </c>
      <c r="L3226">
        <v>3838500324</v>
      </c>
      <c r="M3226">
        <v>1959188535</v>
      </c>
      <c r="N3226">
        <v>1316025102</v>
      </c>
      <c r="O3226">
        <v>1048016031</v>
      </c>
      <c r="P3226">
        <v>1129</v>
      </c>
      <c r="Q3226" t="s">
        <v>6793</v>
      </c>
    </row>
    <row r="3227" spans="1:17" x14ac:dyDescent="0.3">
      <c r="A3227" t="s">
        <v>4729</v>
      </c>
      <c r="B3227" t="str">
        <f>"002501"</f>
        <v>002501</v>
      </c>
      <c r="C3227" t="s">
        <v>6794</v>
      </c>
      <c r="D3227" t="s">
        <v>504</v>
      </c>
      <c r="F3227">
        <v>366957851</v>
      </c>
      <c r="G3227">
        <v>104169809</v>
      </c>
      <c r="H3227">
        <v>181776969</v>
      </c>
      <c r="I3227">
        <v>477864461</v>
      </c>
      <c r="J3227">
        <v>3031363016</v>
      </c>
      <c r="K3227">
        <v>2558031519</v>
      </c>
      <c r="L3227">
        <v>2296793055</v>
      </c>
      <c r="M3227">
        <v>1932426921</v>
      </c>
      <c r="N3227">
        <v>1878001123</v>
      </c>
      <c r="O3227">
        <v>1522911451</v>
      </c>
      <c r="P3227">
        <v>107</v>
      </c>
      <c r="Q3227" t="s">
        <v>6795</v>
      </c>
    </row>
    <row r="3228" spans="1:17" x14ac:dyDescent="0.3">
      <c r="A3228" t="s">
        <v>4729</v>
      </c>
      <c r="B3228" t="str">
        <f>"002502"</f>
        <v>002502</v>
      </c>
      <c r="C3228" t="s">
        <v>6796</v>
      </c>
      <c r="D3228" t="s">
        <v>113</v>
      </c>
      <c r="F3228">
        <v>653868930</v>
      </c>
      <c r="G3228">
        <v>444625128</v>
      </c>
      <c r="H3228">
        <v>1063520540</v>
      </c>
      <c r="I3228">
        <v>751752154</v>
      </c>
      <c r="J3228">
        <v>726957206</v>
      </c>
      <c r="K3228">
        <v>812274604</v>
      </c>
      <c r="L3228">
        <v>590573137</v>
      </c>
      <c r="M3228">
        <v>476778164</v>
      </c>
      <c r="N3228">
        <v>449213505</v>
      </c>
      <c r="O3228">
        <v>448077322</v>
      </c>
      <c r="P3228">
        <v>117</v>
      </c>
      <c r="Q3228" t="s">
        <v>6797</v>
      </c>
    </row>
    <row r="3229" spans="1:17" x14ac:dyDescent="0.3">
      <c r="A3229" t="s">
        <v>4729</v>
      </c>
      <c r="B3229" t="str">
        <f>"002503"</f>
        <v>002503</v>
      </c>
      <c r="C3229" t="s">
        <v>6798</v>
      </c>
      <c r="D3229" t="s">
        <v>255</v>
      </c>
      <c r="F3229">
        <v>5176112859</v>
      </c>
      <c r="G3229">
        <v>8612667315</v>
      </c>
      <c r="H3229">
        <v>12923991535</v>
      </c>
      <c r="I3229">
        <v>18494141104</v>
      </c>
      <c r="J3229">
        <v>18330385020</v>
      </c>
      <c r="K3229">
        <v>6319983268</v>
      </c>
      <c r="L3229">
        <v>1982773363</v>
      </c>
      <c r="M3229">
        <v>1305817719</v>
      </c>
      <c r="N3229">
        <v>1737745422</v>
      </c>
      <c r="O3229">
        <v>1612449194</v>
      </c>
      <c r="P3229">
        <v>244</v>
      </c>
      <c r="Q3229" t="s">
        <v>6799</v>
      </c>
    </row>
    <row r="3230" spans="1:17" x14ac:dyDescent="0.3">
      <c r="A3230" t="s">
        <v>4729</v>
      </c>
      <c r="B3230" t="str">
        <f>"002504"</f>
        <v>002504</v>
      </c>
      <c r="C3230" t="s">
        <v>6800</v>
      </c>
      <c r="D3230" t="s">
        <v>450</v>
      </c>
      <c r="F3230">
        <v>172673835</v>
      </c>
      <c r="G3230">
        <v>450096118</v>
      </c>
      <c r="H3230">
        <v>829221911</v>
      </c>
      <c r="I3230">
        <v>1443721905</v>
      </c>
      <c r="J3230">
        <v>1771243681</v>
      </c>
      <c r="K3230">
        <v>3637541338</v>
      </c>
      <c r="L3230">
        <v>3288887164</v>
      </c>
      <c r="M3230">
        <v>3110442801</v>
      </c>
      <c r="N3230">
        <v>224276803</v>
      </c>
      <c r="O3230">
        <v>156391808</v>
      </c>
      <c r="P3230">
        <v>66</v>
      </c>
      <c r="Q3230" t="s">
        <v>6801</v>
      </c>
    </row>
    <row r="3231" spans="1:17" x14ac:dyDescent="0.3">
      <c r="A3231" t="s">
        <v>4729</v>
      </c>
      <c r="B3231" t="str">
        <f>"002505"</f>
        <v>002505</v>
      </c>
      <c r="C3231" t="s">
        <v>6802</v>
      </c>
      <c r="D3231" t="s">
        <v>1882</v>
      </c>
      <c r="F3231">
        <v>14303703855</v>
      </c>
      <c r="G3231">
        <v>13446358320</v>
      </c>
      <c r="H3231">
        <v>13488180955</v>
      </c>
      <c r="I3231">
        <v>13394820454</v>
      </c>
      <c r="J3231">
        <v>12377989798</v>
      </c>
      <c r="K3231">
        <v>6223163636</v>
      </c>
      <c r="L3231">
        <v>3867380858</v>
      </c>
      <c r="M3231">
        <v>584600053</v>
      </c>
      <c r="N3231">
        <v>996496782</v>
      </c>
      <c r="O3231">
        <v>705333943</v>
      </c>
      <c r="P3231">
        <v>209</v>
      </c>
      <c r="Q3231" t="s">
        <v>6803</v>
      </c>
    </row>
    <row r="3232" spans="1:17" x14ac:dyDescent="0.3">
      <c r="A3232" t="s">
        <v>4729</v>
      </c>
      <c r="B3232" t="str">
        <f>"002506"</f>
        <v>002506</v>
      </c>
      <c r="C3232" t="s">
        <v>6804</v>
      </c>
      <c r="D3232" t="s">
        <v>356</v>
      </c>
      <c r="F3232">
        <v>4701460513</v>
      </c>
      <c r="G3232">
        <v>5956766052</v>
      </c>
      <c r="H3232">
        <v>8683590788</v>
      </c>
      <c r="I3232">
        <v>11191136527</v>
      </c>
      <c r="J3232">
        <v>14447077350</v>
      </c>
      <c r="K3232">
        <v>12026723057</v>
      </c>
      <c r="L3232">
        <v>6283840748</v>
      </c>
      <c r="M3232">
        <v>2699278484</v>
      </c>
      <c r="N3232">
        <v>584477526</v>
      </c>
      <c r="O3232">
        <v>1637967029</v>
      </c>
      <c r="P3232">
        <v>315</v>
      </c>
      <c r="Q3232" t="s">
        <v>6805</v>
      </c>
    </row>
    <row r="3233" spans="1:17" x14ac:dyDescent="0.3">
      <c r="A3233" t="s">
        <v>4729</v>
      </c>
      <c r="B3233" t="str">
        <f>"002507"</f>
        <v>002507</v>
      </c>
      <c r="C3233" t="s">
        <v>6806</v>
      </c>
      <c r="D3233" t="s">
        <v>433</v>
      </c>
      <c r="F3233">
        <v>2518647389</v>
      </c>
      <c r="G3233">
        <v>2272746599</v>
      </c>
      <c r="H3233">
        <v>1989593123</v>
      </c>
      <c r="I3233">
        <v>1914353929</v>
      </c>
      <c r="J3233">
        <v>1520238659</v>
      </c>
      <c r="K3233">
        <v>1120805953</v>
      </c>
      <c r="L3233">
        <v>930658889</v>
      </c>
      <c r="M3233">
        <v>906428724</v>
      </c>
      <c r="N3233">
        <v>846216442</v>
      </c>
      <c r="O3233">
        <v>712658503</v>
      </c>
      <c r="P3233">
        <v>4502</v>
      </c>
      <c r="Q3233" t="s">
        <v>6807</v>
      </c>
    </row>
    <row r="3234" spans="1:17" x14ac:dyDescent="0.3">
      <c r="A3234" t="s">
        <v>4729</v>
      </c>
      <c r="B3234" t="str">
        <f>"002508"</f>
        <v>002508</v>
      </c>
      <c r="C3234" t="s">
        <v>6808</v>
      </c>
      <c r="D3234" t="s">
        <v>3707</v>
      </c>
      <c r="F3234">
        <v>10147706035</v>
      </c>
      <c r="G3234">
        <v>8128620799</v>
      </c>
      <c r="H3234">
        <v>7760581856</v>
      </c>
      <c r="I3234">
        <v>7424885274</v>
      </c>
      <c r="J3234">
        <v>7017397058</v>
      </c>
      <c r="K3234">
        <v>5794897867</v>
      </c>
      <c r="L3234">
        <v>4542718028</v>
      </c>
      <c r="M3234">
        <v>3588940098</v>
      </c>
      <c r="N3234">
        <v>2653809973</v>
      </c>
      <c r="O3234">
        <v>1962741354</v>
      </c>
      <c r="P3234">
        <v>40625</v>
      </c>
      <c r="Q3234" t="s">
        <v>6809</v>
      </c>
    </row>
    <row r="3235" spans="1:17" x14ac:dyDescent="0.3">
      <c r="A3235" t="s">
        <v>4729</v>
      </c>
      <c r="B3235" t="str">
        <f>"002509"</f>
        <v>002509</v>
      </c>
      <c r="C3235" t="s">
        <v>6810</v>
      </c>
      <c r="H3235">
        <v>1036924642</v>
      </c>
      <c r="I3235">
        <v>2112993522</v>
      </c>
      <c r="J3235">
        <v>3390894008</v>
      </c>
      <c r="K3235">
        <v>2381989496</v>
      </c>
      <c r="L3235">
        <v>691816114</v>
      </c>
      <c r="M3235">
        <v>693730010</v>
      </c>
      <c r="N3235">
        <v>572387754</v>
      </c>
      <c r="O3235">
        <v>419759004</v>
      </c>
      <c r="P3235">
        <v>60</v>
      </c>
      <c r="Q3235" t="s">
        <v>6811</v>
      </c>
    </row>
    <row r="3236" spans="1:17" x14ac:dyDescent="0.3">
      <c r="A3236" t="s">
        <v>4729</v>
      </c>
      <c r="B3236" t="str">
        <f>"002510"</f>
        <v>002510</v>
      </c>
      <c r="C3236" t="s">
        <v>6812</v>
      </c>
      <c r="D3236" t="s">
        <v>985</v>
      </c>
      <c r="F3236">
        <v>1879042867</v>
      </c>
      <c r="G3236">
        <v>1345852021</v>
      </c>
      <c r="H3236">
        <v>2168713304</v>
      </c>
      <c r="I3236">
        <v>2226508845</v>
      </c>
      <c r="J3236">
        <v>1931197573</v>
      </c>
      <c r="K3236">
        <v>1972098910</v>
      </c>
      <c r="L3236">
        <v>1804705045</v>
      </c>
      <c r="M3236">
        <v>1489125918</v>
      </c>
      <c r="N3236">
        <v>1166543877</v>
      </c>
      <c r="O3236">
        <v>894032082</v>
      </c>
      <c r="P3236">
        <v>208</v>
      </c>
      <c r="Q3236" t="s">
        <v>6813</v>
      </c>
    </row>
    <row r="3237" spans="1:17" x14ac:dyDescent="0.3">
      <c r="A3237" t="s">
        <v>4729</v>
      </c>
      <c r="B3237" t="str">
        <f>"002511"</f>
        <v>002511</v>
      </c>
      <c r="C3237" t="s">
        <v>6814</v>
      </c>
      <c r="D3237" t="s">
        <v>2751</v>
      </c>
      <c r="F3237">
        <v>9149870465</v>
      </c>
      <c r="G3237">
        <v>7823528416</v>
      </c>
      <c r="H3237">
        <v>6634914353</v>
      </c>
      <c r="I3237">
        <v>5678517623</v>
      </c>
      <c r="J3237">
        <v>4638349590</v>
      </c>
      <c r="K3237">
        <v>3809349072</v>
      </c>
      <c r="L3237">
        <v>2958976614</v>
      </c>
      <c r="M3237">
        <v>2521780171</v>
      </c>
      <c r="N3237">
        <v>2501718710</v>
      </c>
      <c r="O3237">
        <v>2339454973</v>
      </c>
      <c r="P3237">
        <v>2513</v>
      </c>
      <c r="Q3237" t="s">
        <v>6815</v>
      </c>
    </row>
    <row r="3238" spans="1:17" x14ac:dyDescent="0.3">
      <c r="A3238" t="s">
        <v>4729</v>
      </c>
      <c r="B3238" t="str">
        <f>"002512"</f>
        <v>002512</v>
      </c>
      <c r="C3238" t="s">
        <v>6816</v>
      </c>
      <c r="D3238" t="s">
        <v>236</v>
      </c>
      <c r="F3238">
        <v>2241099312</v>
      </c>
      <c r="G3238">
        <v>2114908524</v>
      </c>
      <c r="H3238">
        <v>2282668017</v>
      </c>
      <c r="I3238">
        <v>2868654251</v>
      </c>
      <c r="J3238">
        <v>3429440856</v>
      </c>
      <c r="K3238">
        <v>3464881973</v>
      </c>
      <c r="L3238">
        <v>1344300828</v>
      </c>
      <c r="M3238">
        <v>760680060</v>
      </c>
      <c r="N3238">
        <v>549472308</v>
      </c>
      <c r="O3238">
        <v>410077735</v>
      </c>
      <c r="P3238">
        <v>162</v>
      </c>
      <c r="Q3238" t="s">
        <v>6817</v>
      </c>
    </row>
    <row r="3239" spans="1:17" x14ac:dyDescent="0.3">
      <c r="A3239" t="s">
        <v>4729</v>
      </c>
      <c r="B3239" t="str">
        <f>"002513"</f>
        <v>002513</v>
      </c>
      <c r="C3239" t="s">
        <v>6818</v>
      </c>
      <c r="D3239" t="s">
        <v>853</v>
      </c>
      <c r="F3239">
        <v>1443932145</v>
      </c>
      <c r="G3239">
        <v>1341970892</v>
      </c>
      <c r="H3239">
        <v>1504434663</v>
      </c>
      <c r="I3239">
        <v>1481392134</v>
      </c>
      <c r="J3239">
        <v>1850640890</v>
      </c>
      <c r="K3239">
        <v>1456688707</v>
      </c>
      <c r="L3239">
        <v>1010416213</v>
      </c>
      <c r="M3239">
        <v>1252062168</v>
      </c>
      <c r="N3239">
        <v>1372077334</v>
      </c>
      <c r="O3239">
        <v>1268549951</v>
      </c>
      <c r="P3239">
        <v>46</v>
      </c>
      <c r="Q3239" t="s">
        <v>6819</v>
      </c>
    </row>
    <row r="3240" spans="1:17" x14ac:dyDescent="0.3">
      <c r="A3240" t="s">
        <v>4729</v>
      </c>
      <c r="B3240" t="str">
        <f>"002514"</f>
        <v>002514</v>
      </c>
      <c r="C3240" t="s">
        <v>6820</v>
      </c>
      <c r="D3240" t="s">
        <v>274</v>
      </c>
      <c r="F3240">
        <v>634475202</v>
      </c>
      <c r="G3240">
        <v>495610883</v>
      </c>
      <c r="H3240">
        <v>827113771</v>
      </c>
      <c r="I3240">
        <v>807119529</v>
      </c>
      <c r="J3240">
        <v>548333314</v>
      </c>
      <c r="K3240">
        <v>547908295</v>
      </c>
      <c r="L3240">
        <v>523071860</v>
      </c>
      <c r="M3240">
        <v>419865028</v>
      </c>
      <c r="N3240">
        <v>328148817</v>
      </c>
      <c r="O3240">
        <v>288578562</v>
      </c>
      <c r="P3240">
        <v>61</v>
      </c>
      <c r="Q3240" t="s">
        <v>6821</v>
      </c>
    </row>
    <row r="3241" spans="1:17" x14ac:dyDescent="0.3">
      <c r="A3241" t="s">
        <v>4729</v>
      </c>
      <c r="B3241" t="str">
        <f>"002515"</f>
        <v>002515</v>
      </c>
      <c r="C3241" t="s">
        <v>6822</v>
      </c>
      <c r="D3241" t="s">
        <v>170</v>
      </c>
      <c r="F3241">
        <v>505874275</v>
      </c>
      <c r="G3241">
        <v>710376720</v>
      </c>
      <c r="H3241">
        <v>281538590</v>
      </c>
      <c r="I3241">
        <v>426424364</v>
      </c>
      <c r="J3241">
        <v>372169933</v>
      </c>
      <c r="K3241">
        <v>160564909</v>
      </c>
      <c r="L3241">
        <v>186882803</v>
      </c>
      <c r="M3241">
        <v>212924673</v>
      </c>
      <c r="N3241">
        <v>202886745</v>
      </c>
      <c r="O3241">
        <v>184719394</v>
      </c>
      <c r="P3241">
        <v>296</v>
      </c>
      <c r="Q3241" t="s">
        <v>6823</v>
      </c>
    </row>
    <row r="3242" spans="1:17" x14ac:dyDescent="0.3">
      <c r="A3242" t="s">
        <v>4729</v>
      </c>
      <c r="B3242" t="str">
        <f>"002516"</f>
        <v>002516</v>
      </c>
      <c r="C3242" t="s">
        <v>6824</v>
      </c>
      <c r="D3242" t="s">
        <v>191</v>
      </c>
      <c r="F3242">
        <v>1723569024</v>
      </c>
      <c r="G3242">
        <v>1489962592</v>
      </c>
      <c r="H3242">
        <v>1573993119</v>
      </c>
      <c r="I3242">
        <v>1766626502</v>
      </c>
      <c r="J3242">
        <v>2317169347</v>
      </c>
      <c r="K3242">
        <v>2301658627</v>
      </c>
      <c r="L3242">
        <v>1860455051</v>
      </c>
      <c r="M3242">
        <v>1743761722</v>
      </c>
      <c r="N3242">
        <v>1425081312</v>
      </c>
      <c r="O3242">
        <v>1178317049</v>
      </c>
      <c r="P3242">
        <v>160</v>
      </c>
      <c r="Q3242" t="s">
        <v>6825</v>
      </c>
    </row>
    <row r="3243" spans="1:17" x14ac:dyDescent="0.3">
      <c r="A3243" t="s">
        <v>4729</v>
      </c>
      <c r="B3243" t="str">
        <f>"002517"</f>
        <v>002517</v>
      </c>
      <c r="C3243" t="s">
        <v>6826</v>
      </c>
      <c r="D3243" t="s">
        <v>517</v>
      </c>
      <c r="F3243">
        <v>2375303585</v>
      </c>
      <c r="G3243">
        <v>1543189304</v>
      </c>
      <c r="H3243">
        <v>2036876355</v>
      </c>
      <c r="I3243">
        <v>2283757177</v>
      </c>
      <c r="J3243">
        <v>3134019144</v>
      </c>
      <c r="K3243">
        <v>2720481802</v>
      </c>
      <c r="L3243">
        <v>2339304541</v>
      </c>
      <c r="M3243">
        <v>334904276</v>
      </c>
      <c r="N3243">
        <v>348390291</v>
      </c>
      <c r="O3243">
        <v>339284156</v>
      </c>
      <c r="P3243">
        <v>289</v>
      </c>
      <c r="Q3243" t="s">
        <v>6827</v>
      </c>
    </row>
    <row r="3244" spans="1:17" x14ac:dyDescent="0.3">
      <c r="A3244" t="s">
        <v>4729</v>
      </c>
      <c r="B3244" t="str">
        <f>"002518"</f>
        <v>002518</v>
      </c>
      <c r="C3244" t="s">
        <v>6828</v>
      </c>
      <c r="D3244" t="s">
        <v>880</v>
      </c>
      <c r="F3244">
        <v>2805919772</v>
      </c>
      <c r="G3244">
        <v>2422548802</v>
      </c>
      <c r="H3244">
        <v>2610172522</v>
      </c>
      <c r="I3244">
        <v>2714619508</v>
      </c>
      <c r="J3244">
        <v>2729616153</v>
      </c>
      <c r="K3244">
        <v>1750444766</v>
      </c>
      <c r="L3244">
        <v>1526483093</v>
      </c>
      <c r="M3244">
        <v>1387878070</v>
      </c>
      <c r="N3244">
        <v>1171658270</v>
      </c>
      <c r="O3244">
        <v>934435378</v>
      </c>
      <c r="P3244">
        <v>401</v>
      </c>
      <c r="Q3244" t="s">
        <v>6829</v>
      </c>
    </row>
    <row r="3245" spans="1:17" x14ac:dyDescent="0.3">
      <c r="A3245" t="s">
        <v>4729</v>
      </c>
      <c r="B3245" t="str">
        <f>"002519"</f>
        <v>002519</v>
      </c>
      <c r="C3245" t="s">
        <v>6830</v>
      </c>
      <c r="D3245" t="s">
        <v>4467</v>
      </c>
      <c r="F3245">
        <v>1424782415</v>
      </c>
      <c r="G3245">
        <v>1497083223</v>
      </c>
      <c r="H3245">
        <v>1200337378</v>
      </c>
      <c r="I3245">
        <v>1519303288</v>
      </c>
      <c r="J3245">
        <v>1624485264</v>
      </c>
      <c r="K3245">
        <v>1980929383</v>
      </c>
      <c r="L3245">
        <v>1526340456</v>
      </c>
      <c r="M3245">
        <v>1175596760</v>
      </c>
      <c r="N3245">
        <v>1210342476</v>
      </c>
      <c r="O3245">
        <v>1022908143</v>
      </c>
      <c r="P3245">
        <v>160</v>
      </c>
      <c r="Q3245" t="s">
        <v>6831</v>
      </c>
    </row>
    <row r="3246" spans="1:17" x14ac:dyDescent="0.3">
      <c r="A3246" t="s">
        <v>4729</v>
      </c>
      <c r="B3246" t="str">
        <f>"002520"</f>
        <v>002520</v>
      </c>
      <c r="C3246" t="s">
        <v>6832</v>
      </c>
      <c r="D3246" t="s">
        <v>2321</v>
      </c>
      <c r="F3246">
        <v>2184768798</v>
      </c>
      <c r="G3246">
        <v>1914575371</v>
      </c>
      <c r="H3246">
        <v>2160047661</v>
      </c>
      <c r="I3246">
        <v>1968875616</v>
      </c>
      <c r="J3246">
        <v>1005372598</v>
      </c>
      <c r="K3246">
        <v>783791015</v>
      </c>
      <c r="L3246">
        <v>767798417</v>
      </c>
      <c r="M3246">
        <v>551638737</v>
      </c>
      <c r="N3246">
        <v>247424702</v>
      </c>
      <c r="O3246">
        <v>323621451</v>
      </c>
      <c r="P3246">
        <v>99</v>
      </c>
      <c r="Q3246" t="s">
        <v>6833</v>
      </c>
    </row>
    <row r="3247" spans="1:17" x14ac:dyDescent="0.3">
      <c r="A3247" t="s">
        <v>4729</v>
      </c>
      <c r="B3247" t="str">
        <f>"002521"</f>
        <v>002521</v>
      </c>
      <c r="C3247" t="s">
        <v>6834</v>
      </c>
      <c r="D3247" t="s">
        <v>244</v>
      </c>
      <c r="F3247">
        <v>3701956500</v>
      </c>
      <c r="G3247">
        <v>2810909123</v>
      </c>
      <c r="H3247">
        <v>3249821175</v>
      </c>
      <c r="I3247">
        <v>3679092256</v>
      </c>
      <c r="J3247">
        <v>3573310693</v>
      </c>
      <c r="K3247">
        <v>2708222182</v>
      </c>
      <c r="L3247">
        <v>2355612294</v>
      </c>
      <c r="M3247">
        <v>2537977084</v>
      </c>
      <c r="N3247">
        <v>2108138188</v>
      </c>
      <c r="O3247">
        <v>1769999328</v>
      </c>
      <c r="P3247">
        <v>132</v>
      </c>
      <c r="Q3247" t="s">
        <v>6835</v>
      </c>
    </row>
    <row r="3248" spans="1:17" x14ac:dyDescent="0.3">
      <c r="A3248" t="s">
        <v>4729</v>
      </c>
      <c r="B3248" t="str">
        <f>"002522"</f>
        <v>002522</v>
      </c>
      <c r="C3248" t="s">
        <v>6836</v>
      </c>
      <c r="D3248" t="s">
        <v>324</v>
      </c>
      <c r="F3248">
        <v>1795970214</v>
      </c>
      <c r="G3248">
        <v>1449498109</v>
      </c>
      <c r="H3248">
        <v>1245810743</v>
      </c>
      <c r="I3248">
        <v>1048780337</v>
      </c>
      <c r="J3248">
        <v>635085676</v>
      </c>
      <c r="K3248">
        <v>538793260</v>
      </c>
      <c r="L3248">
        <v>483762770</v>
      </c>
      <c r="M3248">
        <v>541628107</v>
      </c>
      <c r="N3248">
        <v>506347982</v>
      </c>
      <c r="O3248">
        <v>453803109</v>
      </c>
      <c r="P3248">
        <v>367</v>
      </c>
      <c r="Q3248" t="s">
        <v>6837</v>
      </c>
    </row>
    <row r="3249" spans="1:17" x14ac:dyDescent="0.3">
      <c r="A3249" t="s">
        <v>4729</v>
      </c>
      <c r="B3249" t="str">
        <f>"002523"</f>
        <v>002523</v>
      </c>
      <c r="C3249" t="s">
        <v>6838</v>
      </c>
      <c r="D3249" t="s">
        <v>395</v>
      </c>
      <c r="F3249">
        <v>1774176850</v>
      </c>
      <c r="G3249">
        <v>1501530264</v>
      </c>
      <c r="H3249">
        <v>1333867143</v>
      </c>
      <c r="I3249">
        <v>1406078148</v>
      </c>
      <c r="J3249">
        <v>1245952877</v>
      </c>
      <c r="K3249">
        <v>1238894201</v>
      </c>
      <c r="L3249">
        <v>916752947</v>
      </c>
      <c r="M3249">
        <v>501995208</v>
      </c>
      <c r="N3249">
        <v>460616369</v>
      </c>
      <c r="O3249">
        <v>613483786</v>
      </c>
      <c r="P3249">
        <v>53</v>
      </c>
      <c r="Q3249" t="s">
        <v>6839</v>
      </c>
    </row>
    <row r="3250" spans="1:17" x14ac:dyDescent="0.3">
      <c r="A3250" t="s">
        <v>4729</v>
      </c>
      <c r="B3250" t="str">
        <f>"002524"</f>
        <v>002524</v>
      </c>
      <c r="C3250" t="s">
        <v>6840</v>
      </c>
      <c r="D3250" t="s">
        <v>1147</v>
      </c>
      <c r="F3250">
        <v>1044476897</v>
      </c>
      <c r="G3250">
        <v>921048604</v>
      </c>
      <c r="H3250">
        <v>1284867051</v>
      </c>
      <c r="I3250">
        <v>1175291833</v>
      </c>
      <c r="J3250">
        <v>553994879</v>
      </c>
      <c r="K3250">
        <v>499295991</v>
      </c>
      <c r="L3250">
        <v>555185320</v>
      </c>
      <c r="M3250">
        <v>626305186</v>
      </c>
      <c r="N3250">
        <v>505428671</v>
      </c>
      <c r="O3250">
        <v>465811149</v>
      </c>
      <c r="P3250">
        <v>180</v>
      </c>
      <c r="Q3250" t="s">
        <v>6841</v>
      </c>
    </row>
    <row r="3251" spans="1:17" x14ac:dyDescent="0.3">
      <c r="A3251" t="s">
        <v>4729</v>
      </c>
      <c r="B3251" t="str">
        <f>"002526"</f>
        <v>002526</v>
      </c>
      <c r="C3251" t="s">
        <v>6842</v>
      </c>
      <c r="D3251" t="s">
        <v>395</v>
      </c>
      <c r="F3251">
        <v>2285638862</v>
      </c>
      <c r="G3251">
        <v>2090184135</v>
      </c>
      <c r="H3251">
        <v>2177723268</v>
      </c>
      <c r="I3251">
        <v>1874122634</v>
      </c>
      <c r="J3251">
        <v>1382049961</v>
      </c>
      <c r="K3251">
        <v>856527704</v>
      </c>
      <c r="L3251">
        <v>1075908394</v>
      </c>
      <c r="M3251">
        <v>1453717962</v>
      </c>
      <c r="N3251">
        <v>1454760459</v>
      </c>
      <c r="O3251">
        <v>1613515134</v>
      </c>
      <c r="P3251">
        <v>103</v>
      </c>
      <c r="Q3251" t="s">
        <v>6843</v>
      </c>
    </row>
    <row r="3252" spans="1:17" x14ac:dyDescent="0.3">
      <c r="A3252" t="s">
        <v>4729</v>
      </c>
      <c r="B3252" t="str">
        <f>"002527"</f>
        <v>002527</v>
      </c>
      <c r="C3252" t="s">
        <v>6844</v>
      </c>
      <c r="D3252" t="s">
        <v>2938</v>
      </c>
      <c r="F3252">
        <v>4264212601</v>
      </c>
      <c r="G3252">
        <v>3957063458</v>
      </c>
      <c r="H3252">
        <v>3533969303</v>
      </c>
      <c r="I3252">
        <v>3514994626</v>
      </c>
      <c r="J3252">
        <v>3403612158</v>
      </c>
      <c r="K3252">
        <v>2726567846</v>
      </c>
      <c r="L3252">
        <v>1507033047</v>
      </c>
      <c r="M3252">
        <v>1305075557</v>
      </c>
      <c r="N3252">
        <v>1000567232</v>
      </c>
      <c r="O3252">
        <v>840478182</v>
      </c>
      <c r="P3252">
        <v>161</v>
      </c>
      <c r="Q3252" t="s">
        <v>6845</v>
      </c>
    </row>
    <row r="3253" spans="1:17" x14ac:dyDescent="0.3">
      <c r="A3253" t="s">
        <v>4729</v>
      </c>
      <c r="B3253" t="str">
        <f>"002528"</f>
        <v>002528</v>
      </c>
      <c r="C3253" t="s">
        <v>6846</v>
      </c>
      <c r="D3253" t="s">
        <v>2980</v>
      </c>
      <c r="F3253">
        <v>2935662013</v>
      </c>
      <c r="G3253">
        <v>5237232134</v>
      </c>
      <c r="H3253">
        <v>4751146473</v>
      </c>
      <c r="I3253">
        <v>4270828838</v>
      </c>
      <c r="J3253">
        <v>2905602991</v>
      </c>
      <c r="K3253">
        <v>1978711114</v>
      </c>
      <c r="L3253">
        <v>1813112570</v>
      </c>
      <c r="M3253">
        <v>979431432</v>
      </c>
      <c r="N3253">
        <v>960548420</v>
      </c>
      <c r="O3253">
        <v>757485726</v>
      </c>
      <c r="P3253">
        <v>169</v>
      </c>
      <c r="Q3253" t="s">
        <v>6847</v>
      </c>
    </row>
    <row r="3254" spans="1:17" x14ac:dyDescent="0.3">
      <c r="A3254" t="s">
        <v>4729</v>
      </c>
      <c r="B3254" t="str">
        <f>"002529"</f>
        <v>002529</v>
      </c>
      <c r="C3254" t="s">
        <v>6848</v>
      </c>
      <c r="D3254" t="s">
        <v>741</v>
      </c>
      <c r="F3254">
        <v>253937977</v>
      </c>
      <c r="G3254">
        <v>300313664</v>
      </c>
      <c r="H3254">
        <v>217657513</v>
      </c>
      <c r="I3254">
        <v>240572061</v>
      </c>
      <c r="J3254">
        <v>272244174</v>
      </c>
      <c r="K3254">
        <v>205213107</v>
      </c>
      <c r="L3254">
        <v>230143219</v>
      </c>
      <c r="M3254">
        <v>206702565</v>
      </c>
      <c r="N3254">
        <v>252546726</v>
      </c>
      <c r="O3254">
        <v>250112627</v>
      </c>
      <c r="P3254">
        <v>68</v>
      </c>
      <c r="Q3254" t="s">
        <v>6849</v>
      </c>
    </row>
    <row r="3255" spans="1:17" x14ac:dyDescent="0.3">
      <c r="A3255" t="s">
        <v>4729</v>
      </c>
      <c r="B3255" t="str">
        <f>"002530"</f>
        <v>002530</v>
      </c>
      <c r="C3255" t="s">
        <v>6850</v>
      </c>
      <c r="D3255" t="s">
        <v>316</v>
      </c>
      <c r="F3255">
        <v>1201900038</v>
      </c>
      <c r="G3255">
        <v>1011479670</v>
      </c>
      <c r="H3255">
        <v>1262451044</v>
      </c>
      <c r="I3255">
        <v>1264089833</v>
      </c>
      <c r="J3255">
        <v>997742267</v>
      </c>
      <c r="K3255">
        <v>483838718</v>
      </c>
      <c r="L3255">
        <v>434809122</v>
      </c>
      <c r="M3255">
        <v>367175382</v>
      </c>
      <c r="N3255">
        <v>383443040</v>
      </c>
      <c r="O3255">
        <v>343135830</v>
      </c>
      <c r="P3255">
        <v>135</v>
      </c>
      <c r="Q3255" t="s">
        <v>6851</v>
      </c>
    </row>
    <row r="3256" spans="1:17" x14ac:dyDescent="0.3">
      <c r="A3256" t="s">
        <v>4729</v>
      </c>
      <c r="B3256" t="str">
        <f>"002531"</f>
        <v>002531</v>
      </c>
      <c r="C3256" t="s">
        <v>6852</v>
      </c>
      <c r="D3256" t="s">
        <v>950</v>
      </c>
      <c r="F3256">
        <v>8166053667</v>
      </c>
      <c r="G3256">
        <v>8051400183</v>
      </c>
      <c r="H3256">
        <v>5966849418</v>
      </c>
      <c r="I3256">
        <v>3701904595</v>
      </c>
      <c r="J3256">
        <v>3169619034</v>
      </c>
      <c r="K3256">
        <v>2263495754</v>
      </c>
      <c r="L3256">
        <v>2148612456</v>
      </c>
      <c r="M3256">
        <v>1402318943</v>
      </c>
      <c r="N3256">
        <v>1290729370</v>
      </c>
      <c r="O3256">
        <v>1231559152</v>
      </c>
      <c r="P3256">
        <v>599</v>
      </c>
      <c r="Q3256" t="s">
        <v>6853</v>
      </c>
    </row>
    <row r="3257" spans="1:17" x14ac:dyDescent="0.3">
      <c r="A3257" t="s">
        <v>4729</v>
      </c>
      <c r="B3257" t="str">
        <f>"002532"</f>
        <v>002532</v>
      </c>
      <c r="C3257" t="s">
        <v>6854</v>
      </c>
      <c r="D3257" t="s">
        <v>504</v>
      </c>
      <c r="F3257">
        <v>28744767072</v>
      </c>
      <c r="G3257">
        <v>27459531945</v>
      </c>
      <c r="H3257">
        <v>1653194203</v>
      </c>
      <c r="I3257">
        <v>1498712356</v>
      </c>
      <c r="J3257">
        <v>1507066075</v>
      </c>
      <c r="K3257">
        <v>1317893130</v>
      </c>
      <c r="L3257">
        <v>1146416824</v>
      </c>
      <c r="M3257">
        <v>1145311662</v>
      </c>
      <c r="N3257">
        <v>1126285520</v>
      </c>
      <c r="O3257">
        <v>942450475</v>
      </c>
      <c r="P3257">
        <v>424</v>
      </c>
      <c r="Q3257" t="s">
        <v>6855</v>
      </c>
    </row>
    <row r="3258" spans="1:17" x14ac:dyDescent="0.3">
      <c r="A3258" t="s">
        <v>4729</v>
      </c>
      <c r="B3258" t="str">
        <f>"002533"</f>
        <v>002533</v>
      </c>
      <c r="C3258" t="s">
        <v>6856</v>
      </c>
      <c r="D3258" t="s">
        <v>1164</v>
      </c>
      <c r="F3258">
        <v>12832314210</v>
      </c>
      <c r="G3258">
        <v>7796149656</v>
      </c>
      <c r="H3258">
        <v>5844317396</v>
      </c>
      <c r="I3258">
        <v>4738939261</v>
      </c>
      <c r="J3258">
        <v>3961364315</v>
      </c>
      <c r="K3258">
        <v>3125297732</v>
      </c>
      <c r="L3258">
        <v>3236131417</v>
      </c>
      <c r="M3258">
        <v>3177128199</v>
      </c>
      <c r="N3258">
        <v>3001560684</v>
      </c>
      <c r="O3258">
        <v>2577559758</v>
      </c>
      <c r="P3258">
        <v>192</v>
      </c>
      <c r="Q3258" t="s">
        <v>6857</v>
      </c>
    </row>
    <row r="3259" spans="1:17" x14ac:dyDescent="0.3">
      <c r="A3259" t="s">
        <v>4729</v>
      </c>
      <c r="B3259" t="str">
        <f>"002534"</f>
        <v>002534</v>
      </c>
      <c r="C3259" t="s">
        <v>6858</v>
      </c>
      <c r="D3259" t="s">
        <v>470</v>
      </c>
      <c r="F3259">
        <v>6578131091</v>
      </c>
      <c r="G3259">
        <v>5355666321</v>
      </c>
      <c r="H3259">
        <v>3927432985</v>
      </c>
      <c r="I3259">
        <v>3571856750</v>
      </c>
      <c r="J3259">
        <v>3501237946</v>
      </c>
      <c r="K3259">
        <v>2705586250</v>
      </c>
      <c r="L3259">
        <v>2619717818</v>
      </c>
      <c r="M3259">
        <v>3132780680</v>
      </c>
      <c r="N3259">
        <v>5942192485</v>
      </c>
      <c r="O3259">
        <v>11721692787</v>
      </c>
      <c r="P3259">
        <v>191</v>
      </c>
      <c r="Q3259" t="s">
        <v>6859</v>
      </c>
    </row>
    <row r="3260" spans="1:17" x14ac:dyDescent="0.3">
      <c r="A3260" t="s">
        <v>4729</v>
      </c>
      <c r="B3260" t="str">
        <f>"002535"</f>
        <v>002535</v>
      </c>
      <c r="C3260" t="s">
        <v>6860</v>
      </c>
      <c r="D3260" t="s">
        <v>395</v>
      </c>
      <c r="F3260">
        <v>454346864</v>
      </c>
      <c r="G3260">
        <v>904974628</v>
      </c>
      <c r="H3260">
        <v>1046576212</v>
      </c>
      <c r="I3260">
        <v>2062576180</v>
      </c>
      <c r="J3260">
        <v>1651884332</v>
      </c>
      <c r="K3260">
        <v>1283889092</v>
      </c>
      <c r="L3260">
        <v>1232810249</v>
      </c>
      <c r="M3260">
        <v>1874349394</v>
      </c>
      <c r="N3260">
        <v>2023667404</v>
      </c>
      <c r="O3260">
        <v>1281941033</v>
      </c>
      <c r="P3260">
        <v>89</v>
      </c>
      <c r="Q3260" t="s">
        <v>6861</v>
      </c>
    </row>
    <row r="3261" spans="1:17" x14ac:dyDescent="0.3">
      <c r="A3261" t="s">
        <v>4729</v>
      </c>
      <c r="B3261" t="str">
        <f>"002536"</f>
        <v>002536</v>
      </c>
      <c r="C3261" t="s">
        <v>6862</v>
      </c>
      <c r="D3261" t="s">
        <v>348</v>
      </c>
      <c r="F3261">
        <v>3115547587</v>
      </c>
      <c r="G3261">
        <v>2665466607</v>
      </c>
      <c r="H3261">
        <v>2638262330</v>
      </c>
      <c r="I3261">
        <v>2820569125</v>
      </c>
      <c r="J3261">
        <v>2665999707</v>
      </c>
      <c r="K3261">
        <v>2084826649</v>
      </c>
      <c r="L3261">
        <v>1914844362</v>
      </c>
      <c r="M3261">
        <v>1614686230</v>
      </c>
      <c r="N3261">
        <v>1244005188</v>
      </c>
      <c r="O3261">
        <v>869328938</v>
      </c>
      <c r="P3261">
        <v>254</v>
      </c>
      <c r="Q3261" t="s">
        <v>6863</v>
      </c>
    </row>
    <row r="3262" spans="1:17" x14ac:dyDescent="0.3">
      <c r="A3262" t="s">
        <v>4729</v>
      </c>
      <c r="B3262" t="str">
        <f>"002537"</f>
        <v>002537</v>
      </c>
      <c r="C3262" t="s">
        <v>6864</v>
      </c>
      <c r="D3262" t="s">
        <v>191</v>
      </c>
      <c r="F3262">
        <v>7249905852</v>
      </c>
      <c r="G3262">
        <v>6323989699</v>
      </c>
      <c r="H3262">
        <v>5302838702</v>
      </c>
      <c r="I3262">
        <v>5011239085</v>
      </c>
      <c r="J3262">
        <v>3996047150</v>
      </c>
      <c r="K3262">
        <v>2634295195</v>
      </c>
      <c r="L3262">
        <v>2065079330</v>
      </c>
      <c r="M3262">
        <v>2506081573</v>
      </c>
      <c r="N3262">
        <v>3120949302</v>
      </c>
      <c r="O3262">
        <v>2418538637</v>
      </c>
      <c r="P3262">
        <v>182</v>
      </c>
      <c r="Q3262" t="s">
        <v>6865</v>
      </c>
    </row>
    <row r="3263" spans="1:17" x14ac:dyDescent="0.3">
      <c r="A3263" t="s">
        <v>4729</v>
      </c>
      <c r="B3263" t="str">
        <f>"002538"</f>
        <v>002538</v>
      </c>
      <c r="C3263" t="s">
        <v>6866</v>
      </c>
      <c r="D3263" t="s">
        <v>5562</v>
      </c>
      <c r="F3263">
        <v>3989985272</v>
      </c>
      <c r="G3263">
        <v>3791657227</v>
      </c>
      <c r="H3263">
        <v>3015931696</v>
      </c>
      <c r="I3263">
        <v>3126808597</v>
      </c>
      <c r="J3263">
        <v>2602721178</v>
      </c>
      <c r="K3263">
        <v>2818100700</v>
      </c>
      <c r="L3263">
        <v>2973856782</v>
      </c>
      <c r="M3263">
        <v>2378362105</v>
      </c>
      <c r="N3263">
        <v>2223864605</v>
      </c>
      <c r="O3263">
        <v>1854983137</v>
      </c>
      <c r="P3263">
        <v>174</v>
      </c>
      <c r="Q3263" t="s">
        <v>6867</v>
      </c>
    </row>
    <row r="3264" spans="1:17" x14ac:dyDescent="0.3">
      <c r="A3264" t="s">
        <v>4729</v>
      </c>
      <c r="B3264" t="str">
        <f>"002539"</f>
        <v>002539</v>
      </c>
      <c r="C3264" t="s">
        <v>6868</v>
      </c>
      <c r="D3264" t="s">
        <v>5562</v>
      </c>
      <c r="F3264">
        <v>14897827625</v>
      </c>
      <c r="G3264">
        <v>9154316093</v>
      </c>
      <c r="H3264">
        <v>8626473364</v>
      </c>
      <c r="I3264">
        <v>7868298403</v>
      </c>
      <c r="J3264">
        <v>7741552002</v>
      </c>
      <c r="K3264">
        <v>6072077078</v>
      </c>
      <c r="L3264">
        <v>5837729605</v>
      </c>
      <c r="M3264">
        <v>4667043189</v>
      </c>
      <c r="N3264">
        <v>3848717246</v>
      </c>
      <c r="O3264">
        <v>3424752974</v>
      </c>
      <c r="P3264">
        <v>242</v>
      </c>
      <c r="Q3264" t="s">
        <v>6869</v>
      </c>
    </row>
    <row r="3265" spans="1:17" x14ac:dyDescent="0.3">
      <c r="A3265" t="s">
        <v>4729</v>
      </c>
      <c r="B3265" t="str">
        <f>"002540"</f>
        <v>002540</v>
      </c>
      <c r="C3265" t="s">
        <v>6870</v>
      </c>
      <c r="D3265" t="s">
        <v>504</v>
      </c>
      <c r="F3265">
        <v>6016769028</v>
      </c>
      <c r="G3265">
        <v>3989600120</v>
      </c>
      <c r="H3265">
        <v>3531012329</v>
      </c>
      <c r="I3265">
        <v>3590027511</v>
      </c>
      <c r="J3265">
        <v>3407489577</v>
      </c>
      <c r="K3265">
        <v>2712840195</v>
      </c>
      <c r="L3265">
        <v>2289380365</v>
      </c>
      <c r="M3265">
        <v>2242067936</v>
      </c>
      <c r="N3265">
        <v>2049620682</v>
      </c>
      <c r="O3265">
        <v>1733106153</v>
      </c>
      <c r="P3265">
        <v>161</v>
      </c>
      <c r="Q3265" t="s">
        <v>6871</v>
      </c>
    </row>
    <row r="3266" spans="1:17" x14ac:dyDescent="0.3">
      <c r="A3266" t="s">
        <v>4729</v>
      </c>
      <c r="B3266" t="str">
        <f>"002541"</f>
        <v>002541</v>
      </c>
      <c r="C3266" t="s">
        <v>6872</v>
      </c>
      <c r="D3266" t="s">
        <v>978</v>
      </c>
      <c r="F3266">
        <v>19514809939</v>
      </c>
      <c r="G3266">
        <v>13450925915</v>
      </c>
      <c r="H3266">
        <v>10754918386</v>
      </c>
      <c r="I3266">
        <v>7874493865</v>
      </c>
      <c r="J3266">
        <v>5032855203</v>
      </c>
      <c r="K3266">
        <v>3621402981</v>
      </c>
      <c r="L3266">
        <v>3192632391</v>
      </c>
      <c r="M3266">
        <v>4225150946</v>
      </c>
      <c r="N3266">
        <v>4930106813</v>
      </c>
      <c r="O3266">
        <v>3741820700</v>
      </c>
      <c r="P3266">
        <v>443</v>
      </c>
      <c r="Q3266" t="s">
        <v>6873</v>
      </c>
    </row>
    <row r="3267" spans="1:17" x14ac:dyDescent="0.3">
      <c r="A3267" t="s">
        <v>4729</v>
      </c>
      <c r="B3267" t="str">
        <f>"002542"</f>
        <v>002542</v>
      </c>
      <c r="C3267" t="s">
        <v>6874</v>
      </c>
      <c r="D3267" t="s">
        <v>1992</v>
      </c>
      <c r="F3267">
        <v>5173885456</v>
      </c>
      <c r="G3267">
        <v>5662781315</v>
      </c>
      <c r="H3267">
        <v>4100278616</v>
      </c>
      <c r="I3267">
        <v>3563817147</v>
      </c>
      <c r="J3267">
        <v>2792637116</v>
      </c>
      <c r="K3267">
        <v>2306980928</v>
      </c>
      <c r="L3267">
        <v>1930795026</v>
      </c>
      <c r="M3267">
        <v>1203886115</v>
      </c>
      <c r="N3267">
        <v>504716533</v>
      </c>
      <c r="O3267">
        <v>450988981</v>
      </c>
      <c r="P3267">
        <v>161</v>
      </c>
      <c r="Q3267" t="s">
        <v>6875</v>
      </c>
    </row>
    <row r="3268" spans="1:17" x14ac:dyDescent="0.3">
      <c r="A3268" t="s">
        <v>4729</v>
      </c>
      <c r="B3268" t="str">
        <f>"002543"</f>
        <v>002543</v>
      </c>
      <c r="C3268" t="s">
        <v>6876</v>
      </c>
      <c r="D3268" t="s">
        <v>2892</v>
      </c>
      <c r="F3268">
        <v>7527138469</v>
      </c>
      <c r="G3268">
        <v>6269742206</v>
      </c>
      <c r="H3268">
        <v>6219710301</v>
      </c>
      <c r="I3268">
        <v>6913881265</v>
      </c>
      <c r="J3268">
        <v>6531948412</v>
      </c>
      <c r="K3268">
        <v>4959512141</v>
      </c>
      <c r="L3268">
        <v>4192219708</v>
      </c>
      <c r="M3268">
        <v>3977717488</v>
      </c>
      <c r="N3268">
        <v>3692480329</v>
      </c>
      <c r="O3268">
        <v>3044946209</v>
      </c>
      <c r="P3268">
        <v>434</v>
      </c>
      <c r="Q3268" t="s">
        <v>6877</v>
      </c>
    </row>
    <row r="3269" spans="1:17" x14ac:dyDescent="0.3">
      <c r="A3269" t="s">
        <v>4729</v>
      </c>
      <c r="B3269" t="str">
        <f>"002544"</f>
        <v>002544</v>
      </c>
      <c r="C3269" t="s">
        <v>6878</v>
      </c>
      <c r="D3269" t="s">
        <v>654</v>
      </c>
      <c r="F3269">
        <v>6552632561</v>
      </c>
      <c r="G3269">
        <v>6295416206</v>
      </c>
      <c r="H3269">
        <v>6226206734</v>
      </c>
      <c r="I3269">
        <v>6268287259</v>
      </c>
      <c r="J3269">
        <v>5977970721</v>
      </c>
      <c r="K3269">
        <v>2696114940</v>
      </c>
      <c r="L3269">
        <v>2293777543</v>
      </c>
      <c r="M3269">
        <v>1946837462</v>
      </c>
      <c r="N3269">
        <v>1684841815</v>
      </c>
      <c r="O3269">
        <v>1406783199</v>
      </c>
      <c r="P3269">
        <v>324</v>
      </c>
      <c r="Q3269" t="s">
        <v>6879</v>
      </c>
    </row>
    <row r="3270" spans="1:17" x14ac:dyDescent="0.3">
      <c r="A3270" t="s">
        <v>4729</v>
      </c>
      <c r="B3270" t="str">
        <f>"002545"</f>
        <v>002545</v>
      </c>
      <c r="C3270" t="s">
        <v>6880</v>
      </c>
      <c r="D3270" t="s">
        <v>978</v>
      </c>
      <c r="F3270">
        <v>2781752582</v>
      </c>
      <c r="G3270">
        <v>2651387451</v>
      </c>
      <c r="H3270">
        <v>2605923049</v>
      </c>
      <c r="I3270">
        <v>2197458674</v>
      </c>
      <c r="J3270">
        <v>2047200582</v>
      </c>
      <c r="K3270">
        <v>1657773573</v>
      </c>
      <c r="L3270">
        <v>1186532851</v>
      </c>
      <c r="M3270">
        <v>993936801</v>
      </c>
      <c r="N3270">
        <v>1696352704</v>
      </c>
      <c r="O3270">
        <v>1689278913</v>
      </c>
      <c r="P3270">
        <v>138</v>
      </c>
      <c r="Q3270" t="s">
        <v>6881</v>
      </c>
    </row>
    <row r="3271" spans="1:17" x14ac:dyDescent="0.3">
      <c r="A3271" t="s">
        <v>4729</v>
      </c>
      <c r="B3271" t="str">
        <f>"002546"</f>
        <v>002546</v>
      </c>
      <c r="C3271" t="s">
        <v>6882</v>
      </c>
      <c r="D3271" t="s">
        <v>2180</v>
      </c>
      <c r="F3271">
        <v>464823529</v>
      </c>
      <c r="G3271">
        <v>574921920</v>
      </c>
      <c r="H3271">
        <v>719887135</v>
      </c>
      <c r="I3271">
        <v>706714962</v>
      </c>
      <c r="J3271">
        <v>621054007</v>
      </c>
      <c r="K3271">
        <v>583965508</v>
      </c>
      <c r="L3271">
        <v>777010224</v>
      </c>
      <c r="M3271">
        <v>580361069</v>
      </c>
      <c r="N3271">
        <v>543104751</v>
      </c>
      <c r="O3271">
        <v>597770886</v>
      </c>
      <c r="P3271">
        <v>76</v>
      </c>
      <c r="Q3271" t="s">
        <v>6883</v>
      </c>
    </row>
    <row r="3272" spans="1:17" x14ac:dyDescent="0.3">
      <c r="A3272" t="s">
        <v>4729</v>
      </c>
      <c r="B3272" t="str">
        <f>"002547"</f>
        <v>002547</v>
      </c>
      <c r="C3272" t="s">
        <v>6884</v>
      </c>
      <c r="D3272" t="s">
        <v>313</v>
      </c>
      <c r="F3272">
        <v>2673295251</v>
      </c>
      <c r="G3272">
        <v>5153252762</v>
      </c>
      <c r="H3272">
        <v>7261653398</v>
      </c>
      <c r="I3272">
        <v>4932831023</v>
      </c>
      <c r="J3272">
        <v>3804480131</v>
      </c>
      <c r="K3272">
        <v>2535856457</v>
      </c>
      <c r="L3272">
        <v>2117749227</v>
      </c>
      <c r="M3272">
        <v>2220164889</v>
      </c>
      <c r="N3272">
        <v>1244747695</v>
      </c>
      <c r="O3272">
        <v>896141638</v>
      </c>
      <c r="P3272">
        <v>306</v>
      </c>
      <c r="Q3272" t="s">
        <v>6885</v>
      </c>
    </row>
    <row r="3273" spans="1:17" x14ac:dyDescent="0.3">
      <c r="A3273" t="s">
        <v>4729</v>
      </c>
      <c r="B3273" t="str">
        <f>"002548"</f>
        <v>002548</v>
      </c>
      <c r="C3273" t="s">
        <v>6886</v>
      </c>
      <c r="D3273" t="s">
        <v>2886</v>
      </c>
      <c r="F3273">
        <v>4867040474</v>
      </c>
      <c r="G3273">
        <v>4069241397</v>
      </c>
      <c r="H3273">
        <v>2400007144</v>
      </c>
      <c r="I3273">
        <v>2800624075</v>
      </c>
      <c r="J3273">
        <v>3061354022</v>
      </c>
      <c r="K3273">
        <v>2762858233</v>
      </c>
      <c r="L3273">
        <v>2504853177</v>
      </c>
      <c r="M3273">
        <v>1987826459</v>
      </c>
      <c r="N3273">
        <v>1989917481</v>
      </c>
      <c r="O3273">
        <v>1768750161</v>
      </c>
      <c r="P3273">
        <v>260</v>
      </c>
      <c r="Q3273" t="s">
        <v>6887</v>
      </c>
    </row>
    <row r="3274" spans="1:17" x14ac:dyDescent="0.3">
      <c r="A3274" t="s">
        <v>4729</v>
      </c>
      <c r="B3274" t="str">
        <f>"002549"</f>
        <v>002549</v>
      </c>
      <c r="C3274" t="s">
        <v>6888</v>
      </c>
      <c r="D3274" t="s">
        <v>386</v>
      </c>
      <c r="F3274">
        <v>667505861</v>
      </c>
      <c r="G3274">
        <v>518753231</v>
      </c>
      <c r="H3274">
        <v>514527438</v>
      </c>
      <c r="I3274">
        <v>504559727</v>
      </c>
      <c r="J3274">
        <v>428285775</v>
      </c>
      <c r="K3274">
        <v>270047933</v>
      </c>
      <c r="L3274">
        <v>151839662</v>
      </c>
      <c r="M3274">
        <v>261993276</v>
      </c>
      <c r="N3274">
        <v>232414794</v>
      </c>
      <c r="O3274">
        <v>128768136</v>
      </c>
      <c r="P3274">
        <v>172</v>
      </c>
      <c r="Q3274" t="s">
        <v>6889</v>
      </c>
    </row>
    <row r="3275" spans="1:17" x14ac:dyDescent="0.3">
      <c r="A3275" t="s">
        <v>4729</v>
      </c>
      <c r="B3275" t="str">
        <f>"002550"</f>
        <v>002550</v>
      </c>
      <c r="C3275" t="s">
        <v>6890</v>
      </c>
      <c r="D3275" t="s">
        <v>143</v>
      </c>
      <c r="F3275">
        <v>1874936527</v>
      </c>
      <c r="G3275">
        <v>1667606597</v>
      </c>
      <c r="H3275">
        <v>1675153096</v>
      </c>
      <c r="I3275">
        <v>1321678624</v>
      </c>
      <c r="J3275">
        <v>1065466102</v>
      </c>
      <c r="K3275">
        <v>776388973</v>
      </c>
      <c r="L3275">
        <v>757051129</v>
      </c>
      <c r="M3275">
        <v>814608253</v>
      </c>
      <c r="N3275">
        <v>860780977</v>
      </c>
      <c r="O3275">
        <v>728592036</v>
      </c>
      <c r="P3275">
        <v>171</v>
      </c>
      <c r="Q3275" t="s">
        <v>6891</v>
      </c>
    </row>
    <row r="3276" spans="1:17" x14ac:dyDescent="0.3">
      <c r="A3276" t="s">
        <v>4729</v>
      </c>
      <c r="B3276" t="str">
        <f>"002551"</f>
        <v>002551</v>
      </c>
      <c r="C3276" t="s">
        <v>6892</v>
      </c>
      <c r="D3276" t="s">
        <v>1077</v>
      </c>
      <c r="F3276">
        <v>1790296235</v>
      </c>
      <c r="G3276">
        <v>2267293875</v>
      </c>
      <c r="H3276">
        <v>1530819967</v>
      </c>
      <c r="I3276">
        <v>1630432068</v>
      </c>
      <c r="J3276">
        <v>2006477112</v>
      </c>
      <c r="K3276">
        <v>1946049938</v>
      </c>
      <c r="L3276">
        <v>1666319455</v>
      </c>
      <c r="M3276">
        <v>1166777462</v>
      </c>
      <c r="N3276">
        <v>730900908</v>
      </c>
      <c r="O3276">
        <v>421318875</v>
      </c>
      <c r="P3276">
        <v>242</v>
      </c>
      <c r="Q3276" t="s">
        <v>6893</v>
      </c>
    </row>
    <row r="3277" spans="1:17" x14ac:dyDescent="0.3">
      <c r="A3277" t="s">
        <v>4729</v>
      </c>
      <c r="B3277" t="str">
        <f>"002552"</f>
        <v>002552</v>
      </c>
      <c r="C3277" t="s">
        <v>6894</v>
      </c>
      <c r="D3277" t="s">
        <v>274</v>
      </c>
      <c r="F3277">
        <v>353163712</v>
      </c>
      <c r="G3277">
        <v>366673037</v>
      </c>
      <c r="H3277">
        <v>340370964</v>
      </c>
      <c r="I3277">
        <v>310847147</v>
      </c>
      <c r="J3277">
        <v>238535904</v>
      </c>
      <c r="K3277">
        <v>180200400</v>
      </c>
      <c r="L3277">
        <v>323990637</v>
      </c>
      <c r="M3277">
        <v>324431926</v>
      </c>
      <c r="N3277">
        <v>216341369</v>
      </c>
      <c r="O3277">
        <v>325947649</v>
      </c>
      <c r="P3277">
        <v>83</v>
      </c>
      <c r="Q3277" t="s">
        <v>6895</v>
      </c>
    </row>
    <row r="3278" spans="1:17" x14ac:dyDescent="0.3">
      <c r="A3278" t="s">
        <v>4729</v>
      </c>
      <c r="B3278" t="str">
        <f>"002553"</f>
        <v>002553</v>
      </c>
      <c r="C3278" t="s">
        <v>6896</v>
      </c>
      <c r="D3278" t="s">
        <v>348</v>
      </c>
      <c r="F3278">
        <v>596201400</v>
      </c>
      <c r="G3278">
        <v>465977400</v>
      </c>
      <c r="H3278">
        <v>407439350</v>
      </c>
      <c r="I3278">
        <v>393062822</v>
      </c>
      <c r="J3278">
        <v>389347225</v>
      </c>
      <c r="K3278">
        <v>320036398</v>
      </c>
      <c r="L3278">
        <v>302156784</v>
      </c>
      <c r="M3278">
        <v>301353545</v>
      </c>
      <c r="N3278">
        <v>267801866</v>
      </c>
      <c r="O3278">
        <v>235815260</v>
      </c>
      <c r="P3278">
        <v>140</v>
      </c>
      <c r="Q3278" t="s">
        <v>6897</v>
      </c>
    </row>
    <row r="3279" spans="1:17" x14ac:dyDescent="0.3">
      <c r="A3279" t="s">
        <v>4729</v>
      </c>
      <c r="B3279" t="str">
        <f>"002554"</f>
        <v>002554</v>
      </c>
      <c r="C3279" t="s">
        <v>6898</v>
      </c>
      <c r="D3279" t="s">
        <v>762</v>
      </c>
      <c r="F3279">
        <v>1594291741</v>
      </c>
      <c r="G3279">
        <v>1135524875</v>
      </c>
      <c r="H3279">
        <v>2293448712</v>
      </c>
      <c r="I3279">
        <v>1661781300</v>
      </c>
      <c r="J3279">
        <v>1485246074</v>
      </c>
      <c r="K3279">
        <v>1050036731</v>
      </c>
      <c r="L3279">
        <v>1359050370</v>
      </c>
      <c r="M3279">
        <v>1381417146</v>
      </c>
      <c r="N3279">
        <v>948577222</v>
      </c>
      <c r="O3279">
        <v>510015828</v>
      </c>
      <c r="P3279">
        <v>112</v>
      </c>
      <c r="Q3279" t="s">
        <v>6899</v>
      </c>
    </row>
    <row r="3280" spans="1:17" x14ac:dyDescent="0.3">
      <c r="A3280" t="s">
        <v>4729</v>
      </c>
      <c r="B3280" t="str">
        <f>"002555"</f>
        <v>002555</v>
      </c>
      <c r="C3280" t="s">
        <v>6900</v>
      </c>
      <c r="D3280" t="s">
        <v>517</v>
      </c>
      <c r="F3280">
        <v>16216498239</v>
      </c>
      <c r="G3280">
        <v>14399703085</v>
      </c>
      <c r="H3280">
        <v>13227135967</v>
      </c>
      <c r="I3280">
        <v>7632679668</v>
      </c>
      <c r="J3280">
        <v>6188828117</v>
      </c>
      <c r="K3280">
        <v>5247893729</v>
      </c>
      <c r="L3280">
        <v>4656787281</v>
      </c>
      <c r="M3280">
        <v>598225373</v>
      </c>
      <c r="N3280">
        <v>257115893</v>
      </c>
      <c r="O3280">
        <v>309023579</v>
      </c>
      <c r="P3280">
        <v>2912</v>
      </c>
      <c r="Q3280" t="s">
        <v>6901</v>
      </c>
    </row>
    <row r="3281" spans="1:17" x14ac:dyDescent="0.3">
      <c r="A3281" t="s">
        <v>4729</v>
      </c>
      <c r="B3281" t="str">
        <f>"002556"</f>
        <v>002556</v>
      </c>
      <c r="C3281" t="s">
        <v>6902</v>
      </c>
      <c r="D3281" t="s">
        <v>6903</v>
      </c>
      <c r="F3281">
        <v>19081305601</v>
      </c>
      <c r="G3281">
        <v>16102472008</v>
      </c>
      <c r="H3281">
        <v>18626083307</v>
      </c>
      <c r="I3281">
        <v>16827140783</v>
      </c>
      <c r="J3281">
        <v>14329251541</v>
      </c>
      <c r="K3281">
        <v>8847668768</v>
      </c>
      <c r="L3281">
        <v>9817791034</v>
      </c>
      <c r="M3281">
        <v>9435723929</v>
      </c>
      <c r="N3281">
        <v>10109309832</v>
      </c>
      <c r="O3281">
        <v>11208858672</v>
      </c>
      <c r="P3281">
        <v>110</v>
      </c>
      <c r="Q3281" t="s">
        <v>6904</v>
      </c>
    </row>
    <row r="3282" spans="1:17" x14ac:dyDescent="0.3">
      <c r="A3282" t="s">
        <v>4729</v>
      </c>
      <c r="B3282" t="str">
        <f>"002557"</f>
        <v>002557</v>
      </c>
      <c r="C3282" t="s">
        <v>6905</v>
      </c>
      <c r="D3282" t="s">
        <v>3194</v>
      </c>
      <c r="F3282">
        <v>5985026032</v>
      </c>
      <c r="G3282">
        <v>5289304050</v>
      </c>
      <c r="H3282">
        <v>4837252294</v>
      </c>
      <c r="I3282">
        <v>4197045559</v>
      </c>
      <c r="J3282">
        <v>3602738165</v>
      </c>
      <c r="K3282">
        <v>3513011838</v>
      </c>
      <c r="L3282">
        <v>3311372570</v>
      </c>
      <c r="M3282">
        <v>3113231429</v>
      </c>
      <c r="N3282">
        <v>2988447898</v>
      </c>
      <c r="O3282">
        <v>2749847176</v>
      </c>
      <c r="P3282">
        <v>1823</v>
      </c>
      <c r="Q3282" t="s">
        <v>6906</v>
      </c>
    </row>
    <row r="3283" spans="1:17" x14ac:dyDescent="0.3">
      <c r="A3283" t="s">
        <v>4729</v>
      </c>
      <c r="B3283" t="str">
        <f>"002558"</f>
        <v>002558</v>
      </c>
      <c r="C3283" t="s">
        <v>6907</v>
      </c>
      <c r="D3283" t="s">
        <v>517</v>
      </c>
      <c r="F3283">
        <v>2124268637</v>
      </c>
      <c r="G3283">
        <v>2217294341</v>
      </c>
      <c r="H3283">
        <v>2571433260</v>
      </c>
      <c r="I3283">
        <v>3779546775</v>
      </c>
      <c r="J3283">
        <v>2906694477</v>
      </c>
      <c r="K3283">
        <v>2323564260</v>
      </c>
      <c r="L3283">
        <v>458299699</v>
      </c>
      <c r="M3283">
        <v>516076558</v>
      </c>
      <c r="N3283">
        <v>408092604</v>
      </c>
      <c r="O3283">
        <v>351337284</v>
      </c>
      <c r="P3283">
        <v>458</v>
      </c>
      <c r="Q3283" t="s">
        <v>6908</v>
      </c>
    </row>
    <row r="3284" spans="1:17" x14ac:dyDescent="0.3">
      <c r="A3284" t="s">
        <v>4729</v>
      </c>
      <c r="B3284" t="str">
        <f>"002559"</f>
        <v>002559</v>
      </c>
      <c r="C3284" t="s">
        <v>6909</v>
      </c>
      <c r="D3284" t="s">
        <v>2321</v>
      </c>
      <c r="F3284">
        <v>1999142632</v>
      </c>
      <c r="G3284">
        <v>1638642386</v>
      </c>
      <c r="H3284">
        <v>1468129705</v>
      </c>
      <c r="I3284">
        <v>1532884430</v>
      </c>
      <c r="J3284">
        <v>1439039317</v>
      </c>
      <c r="K3284">
        <v>1169245178</v>
      </c>
      <c r="L3284">
        <v>893304908</v>
      </c>
      <c r="M3284">
        <v>893567415</v>
      </c>
      <c r="N3284">
        <v>851303405</v>
      </c>
      <c r="O3284">
        <v>762885286</v>
      </c>
      <c r="P3284">
        <v>149</v>
      </c>
      <c r="Q3284" t="s">
        <v>6910</v>
      </c>
    </row>
    <row r="3285" spans="1:17" x14ac:dyDescent="0.3">
      <c r="A3285" t="s">
        <v>4729</v>
      </c>
      <c r="B3285" t="str">
        <f>"002560"</f>
        <v>002560</v>
      </c>
      <c r="C3285" t="s">
        <v>6911</v>
      </c>
      <c r="D3285" t="s">
        <v>1164</v>
      </c>
      <c r="F3285">
        <v>2354539510</v>
      </c>
      <c r="G3285">
        <v>1927858004</v>
      </c>
      <c r="H3285">
        <v>1783577444</v>
      </c>
      <c r="I3285">
        <v>2398420311</v>
      </c>
      <c r="J3285">
        <v>1640547057</v>
      </c>
      <c r="K3285">
        <v>1592740996</v>
      </c>
      <c r="L3285">
        <v>1239539153</v>
      </c>
      <c r="M3285">
        <v>723881355</v>
      </c>
      <c r="N3285">
        <v>916711612</v>
      </c>
      <c r="O3285">
        <v>972557581</v>
      </c>
      <c r="P3285">
        <v>138</v>
      </c>
      <c r="Q3285" t="s">
        <v>6912</v>
      </c>
    </row>
    <row r="3286" spans="1:17" x14ac:dyDescent="0.3">
      <c r="A3286" t="s">
        <v>4729</v>
      </c>
      <c r="B3286" t="str">
        <f>"002561"</f>
        <v>002561</v>
      </c>
      <c r="C3286" t="s">
        <v>6913</v>
      </c>
      <c r="D3286" t="s">
        <v>633</v>
      </c>
      <c r="F3286">
        <v>619136509</v>
      </c>
      <c r="G3286">
        <v>588971622</v>
      </c>
      <c r="H3286">
        <v>1928654087</v>
      </c>
      <c r="I3286">
        <v>2069352621</v>
      </c>
      <c r="J3286">
        <v>2102284018</v>
      </c>
      <c r="K3286">
        <v>2100591228</v>
      </c>
      <c r="L3286">
        <v>1995680919</v>
      </c>
      <c r="M3286">
        <v>2062075199</v>
      </c>
      <c r="N3286">
        <v>2098578298</v>
      </c>
      <c r="O3286">
        <v>2094584299</v>
      </c>
      <c r="P3286">
        <v>183</v>
      </c>
      <c r="Q3286" t="s">
        <v>6914</v>
      </c>
    </row>
    <row r="3287" spans="1:17" x14ac:dyDescent="0.3">
      <c r="A3287" t="s">
        <v>4729</v>
      </c>
      <c r="B3287" t="str">
        <f>"002562"</f>
        <v>002562</v>
      </c>
      <c r="C3287" t="s">
        <v>6915</v>
      </c>
      <c r="D3287" t="s">
        <v>677</v>
      </c>
      <c r="F3287">
        <v>2732994050</v>
      </c>
      <c r="G3287">
        <v>1918791969</v>
      </c>
      <c r="H3287">
        <v>1257717108</v>
      </c>
      <c r="I3287">
        <v>1415016689</v>
      </c>
      <c r="J3287">
        <v>1564526800</v>
      </c>
      <c r="K3287">
        <v>1063397448</v>
      </c>
      <c r="L3287">
        <v>905290723</v>
      </c>
      <c r="M3287">
        <v>800923039</v>
      </c>
      <c r="N3287">
        <v>784216381</v>
      </c>
      <c r="O3287">
        <v>775006213</v>
      </c>
      <c r="P3287">
        <v>259</v>
      </c>
      <c r="Q3287" t="s">
        <v>6916</v>
      </c>
    </row>
    <row r="3288" spans="1:17" x14ac:dyDescent="0.3">
      <c r="A3288" t="s">
        <v>4729</v>
      </c>
      <c r="B3288" t="str">
        <f>"002563"</f>
        <v>002563</v>
      </c>
      <c r="C3288" t="s">
        <v>6917</v>
      </c>
      <c r="D3288" t="s">
        <v>255</v>
      </c>
      <c r="F3288">
        <v>15419791663</v>
      </c>
      <c r="G3288">
        <v>15204910811</v>
      </c>
      <c r="H3288">
        <v>19336765181</v>
      </c>
      <c r="I3288">
        <v>15719131524</v>
      </c>
      <c r="J3288">
        <v>12026300031</v>
      </c>
      <c r="K3288">
        <v>10667165672</v>
      </c>
      <c r="L3288">
        <v>9454449249</v>
      </c>
      <c r="M3288">
        <v>8147133752</v>
      </c>
      <c r="N3288">
        <v>7293717627</v>
      </c>
      <c r="O3288">
        <v>7063467665</v>
      </c>
      <c r="P3288">
        <v>904</v>
      </c>
      <c r="Q3288" t="s">
        <v>6918</v>
      </c>
    </row>
    <row r="3289" spans="1:17" x14ac:dyDescent="0.3">
      <c r="A3289" t="s">
        <v>4729</v>
      </c>
      <c r="B3289" t="str">
        <f>"002564"</f>
        <v>002564</v>
      </c>
      <c r="C3289" t="s">
        <v>6919</v>
      </c>
      <c r="D3289" t="s">
        <v>395</v>
      </c>
      <c r="F3289">
        <v>6806791172</v>
      </c>
      <c r="G3289">
        <v>7712473560</v>
      </c>
      <c r="H3289">
        <v>10779197063</v>
      </c>
      <c r="I3289">
        <v>7700163469</v>
      </c>
      <c r="J3289">
        <v>10403683552</v>
      </c>
      <c r="K3289">
        <v>1195145239</v>
      </c>
      <c r="L3289">
        <v>1967360902</v>
      </c>
      <c r="M3289">
        <v>2329813987</v>
      </c>
      <c r="N3289">
        <v>2072199104</v>
      </c>
      <c r="O3289">
        <v>1791665499</v>
      </c>
      <c r="P3289">
        <v>130</v>
      </c>
      <c r="Q3289" t="s">
        <v>6920</v>
      </c>
    </row>
    <row r="3290" spans="1:17" x14ac:dyDescent="0.3">
      <c r="A3290" t="s">
        <v>4729</v>
      </c>
      <c r="B3290" t="str">
        <f>"002565"</f>
        <v>002565</v>
      </c>
      <c r="C3290" t="s">
        <v>6921</v>
      </c>
      <c r="D3290" t="s">
        <v>2165</v>
      </c>
      <c r="F3290">
        <v>1550233440</v>
      </c>
      <c r="G3290">
        <v>1598674369</v>
      </c>
      <c r="H3290">
        <v>1734366846</v>
      </c>
      <c r="I3290">
        <v>2054860823</v>
      </c>
      <c r="J3290">
        <v>1948609493</v>
      </c>
      <c r="K3290">
        <v>1872486064</v>
      </c>
      <c r="L3290">
        <v>1855764090</v>
      </c>
      <c r="M3290">
        <v>1945252087</v>
      </c>
      <c r="N3290">
        <v>1861958240</v>
      </c>
      <c r="O3290">
        <v>1371375310</v>
      </c>
      <c r="P3290">
        <v>107</v>
      </c>
      <c r="Q3290" t="s">
        <v>6922</v>
      </c>
    </row>
    <row r="3291" spans="1:17" x14ac:dyDescent="0.3">
      <c r="A3291" t="s">
        <v>4729</v>
      </c>
      <c r="B3291" t="str">
        <f>"002566"</f>
        <v>002566</v>
      </c>
      <c r="C3291" t="s">
        <v>6923</v>
      </c>
      <c r="D3291" t="s">
        <v>188</v>
      </c>
      <c r="F3291">
        <v>877929542</v>
      </c>
      <c r="G3291">
        <v>842589907</v>
      </c>
      <c r="H3291">
        <v>1012748484</v>
      </c>
      <c r="I3291">
        <v>975088201</v>
      </c>
      <c r="J3291">
        <v>1034442377</v>
      </c>
      <c r="K3291">
        <v>939012628</v>
      </c>
      <c r="L3291">
        <v>819598117</v>
      </c>
      <c r="M3291">
        <v>787894295</v>
      </c>
      <c r="N3291">
        <v>643896713</v>
      </c>
      <c r="O3291">
        <v>600503235</v>
      </c>
      <c r="P3291">
        <v>134</v>
      </c>
      <c r="Q3291" t="s">
        <v>6924</v>
      </c>
    </row>
    <row r="3292" spans="1:17" x14ac:dyDescent="0.3">
      <c r="A3292" t="s">
        <v>4729</v>
      </c>
      <c r="B3292" t="str">
        <f>"002567"</f>
        <v>002567</v>
      </c>
      <c r="C3292" t="s">
        <v>6925</v>
      </c>
      <c r="D3292" t="s">
        <v>2886</v>
      </c>
      <c r="F3292">
        <v>21742194243</v>
      </c>
      <c r="G3292">
        <v>18513676057</v>
      </c>
      <c r="H3292">
        <v>15342862855</v>
      </c>
      <c r="I3292">
        <v>15405517069</v>
      </c>
      <c r="J3292">
        <v>13722510863</v>
      </c>
      <c r="K3292">
        <v>10880923536</v>
      </c>
      <c r="L3292">
        <v>9412661489</v>
      </c>
      <c r="M3292">
        <v>10069486005</v>
      </c>
      <c r="N3292">
        <v>7120816917</v>
      </c>
      <c r="O3292">
        <v>6719246371</v>
      </c>
      <c r="P3292">
        <v>451</v>
      </c>
      <c r="Q3292" t="s">
        <v>6926</v>
      </c>
    </row>
    <row r="3293" spans="1:17" x14ac:dyDescent="0.3">
      <c r="A3293" t="s">
        <v>4729</v>
      </c>
      <c r="B3293" t="str">
        <f>"002568"</f>
        <v>002568</v>
      </c>
      <c r="C3293" t="s">
        <v>6927</v>
      </c>
      <c r="D3293" t="s">
        <v>134</v>
      </c>
      <c r="F3293">
        <v>2594357488</v>
      </c>
      <c r="G3293">
        <v>1926643196</v>
      </c>
      <c r="H3293">
        <v>1468439608</v>
      </c>
      <c r="I3293">
        <v>1229991313</v>
      </c>
      <c r="J3293">
        <v>1171925681</v>
      </c>
      <c r="K3293">
        <v>925422510</v>
      </c>
      <c r="L3293">
        <v>2351197710</v>
      </c>
      <c r="M3293">
        <v>157183976</v>
      </c>
      <c r="N3293">
        <v>128451197</v>
      </c>
      <c r="O3293">
        <v>164213159</v>
      </c>
      <c r="P3293">
        <v>1076</v>
      </c>
      <c r="Q3293" t="s">
        <v>6928</v>
      </c>
    </row>
    <row r="3294" spans="1:17" x14ac:dyDescent="0.3">
      <c r="A3294" t="s">
        <v>4729</v>
      </c>
      <c r="B3294" t="str">
        <f>"002569"</f>
        <v>002569</v>
      </c>
      <c r="C3294" t="s">
        <v>6929</v>
      </c>
      <c r="D3294" t="s">
        <v>255</v>
      </c>
      <c r="F3294">
        <v>279012085</v>
      </c>
      <c r="G3294">
        <v>254711115</v>
      </c>
      <c r="H3294">
        <v>359122422</v>
      </c>
      <c r="I3294">
        <v>319858237</v>
      </c>
      <c r="J3294">
        <v>343881349</v>
      </c>
      <c r="K3294">
        <v>369585882</v>
      </c>
      <c r="L3294">
        <v>402392454</v>
      </c>
      <c r="M3294">
        <v>482028911</v>
      </c>
      <c r="N3294">
        <v>651186455</v>
      </c>
      <c r="O3294">
        <v>653429686</v>
      </c>
      <c r="P3294">
        <v>59</v>
      </c>
      <c r="Q3294" t="s">
        <v>6930</v>
      </c>
    </row>
    <row r="3295" spans="1:17" x14ac:dyDescent="0.3">
      <c r="A3295" t="s">
        <v>4729</v>
      </c>
      <c r="B3295" t="str">
        <f>"002570"</f>
        <v>002570</v>
      </c>
      <c r="C3295" t="s">
        <v>6931</v>
      </c>
      <c r="D3295" t="s">
        <v>900</v>
      </c>
      <c r="F3295">
        <v>2539560090</v>
      </c>
      <c r="G3295">
        <v>2665134436</v>
      </c>
      <c r="H3295">
        <v>2785476110</v>
      </c>
      <c r="I3295">
        <v>2490824756</v>
      </c>
      <c r="J3295">
        <v>2660451648</v>
      </c>
      <c r="K3295">
        <v>2764497138</v>
      </c>
      <c r="L3295">
        <v>4533816067</v>
      </c>
      <c r="M3295">
        <v>5048784415</v>
      </c>
      <c r="N3295">
        <v>6117117758</v>
      </c>
      <c r="O3295">
        <v>5354442914</v>
      </c>
      <c r="P3295">
        <v>261</v>
      </c>
      <c r="Q3295" t="s">
        <v>6932</v>
      </c>
    </row>
    <row r="3296" spans="1:17" x14ac:dyDescent="0.3">
      <c r="A3296" t="s">
        <v>4729</v>
      </c>
      <c r="B3296" t="str">
        <f>"002571"</f>
        <v>002571</v>
      </c>
      <c r="C3296" t="s">
        <v>6933</v>
      </c>
      <c r="D3296" t="s">
        <v>2445</v>
      </c>
      <c r="F3296">
        <v>957191856</v>
      </c>
      <c r="G3296">
        <v>783326502</v>
      </c>
      <c r="H3296">
        <v>867311207</v>
      </c>
      <c r="I3296">
        <v>794655650</v>
      </c>
      <c r="J3296">
        <v>795984173</v>
      </c>
      <c r="K3296">
        <v>871904291</v>
      </c>
      <c r="L3296">
        <v>857577325</v>
      </c>
      <c r="M3296">
        <v>947847038</v>
      </c>
      <c r="N3296">
        <v>953087681</v>
      </c>
      <c r="O3296">
        <v>710681710</v>
      </c>
      <c r="P3296">
        <v>92</v>
      </c>
      <c r="Q3296" t="s">
        <v>6934</v>
      </c>
    </row>
    <row r="3297" spans="1:17" x14ac:dyDescent="0.3">
      <c r="A3297" t="s">
        <v>4729</v>
      </c>
      <c r="B3297" t="str">
        <f>"002572"</f>
        <v>002572</v>
      </c>
      <c r="C3297" t="s">
        <v>6935</v>
      </c>
      <c r="D3297" t="s">
        <v>2664</v>
      </c>
      <c r="F3297">
        <v>10407094904</v>
      </c>
      <c r="G3297">
        <v>8352832348</v>
      </c>
      <c r="H3297">
        <v>7686076829</v>
      </c>
      <c r="I3297">
        <v>7310892203</v>
      </c>
      <c r="J3297">
        <v>6161444143</v>
      </c>
      <c r="K3297">
        <v>4529964328</v>
      </c>
      <c r="L3297">
        <v>3195738721</v>
      </c>
      <c r="M3297">
        <v>2361084402</v>
      </c>
      <c r="N3297">
        <v>1783477561</v>
      </c>
      <c r="O3297">
        <v>1221703661</v>
      </c>
      <c r="P3297">
        <v>9141</v>
      </c>
      <c r="Q3297" t="s">
        <v>6936</v>
      </c>
    </row>
    <row r="3298" spans="1:17" x14ac:dyDescent="0.3">
      <c r="A3298" t="s">
        <v>4729</v>
      </c>
      <c r="B3298" t="str">
        <f>"002573"</f>
        <v>002573</v>
      </c>
      <c r="C3298" t="s">
        <v>6937</v>
      </c>
      <c r="D3298" t="s">
        <v>663</v>
      </c>
      <c r="F3298">
        <v>6879750886</v>
      </c>
      <c r="G3298">
        <v>4122884881</v>
      </c>
      <c r="H3298">
        <v>3375298869</v>
      </c>
      <c r="I3298">
        <v>4087726429</v>
      </c>
      <c r="J3298">
        <v>4094220133</v>
      </c>
      <c r="K3298">
        <v>3393990300</v>
      </c>
      <c r="L3298">
        <v>2267800223</v>
      </c>
      <c r="M3298">
        <v>1276794616</v>
      </c>
      <c r="N3298">
        <v>765021645</v>
      </c>
      <c r="O3298">
        <v>383268759</v>
      </c>
      <c r="P3298">
        <v>613</v>
      </c>
      <c r="Q3298" t="s">
        <v>6938</v>
      </c>
    </row>
    <row r="3299" spans="1:17" x14ac:dyDescent="0.3">
      <c r="A3299" t="s">
        <v>4729</v>
      </c>
      <c r="B3299" t="str">
        <f>"002574"</f>
        <v>002574</v>
      </c>
      <c r="C3299" t="s">
        <v>6939</v>
      </c>
      <c r="D3299" t="s">
        <v>1238</v>
      </c>
      <c r="F3299">
        <v>3582111748</v>
      </c>
      <c r="G3299">
        <v>2509721659</v>
      </c>
      <c r="H3299">
        <v>3429497765</v>
      </c>
      <c r="I3299">
        <v>4093542918</v>
      </c>
      <c r="J3299">
        <v>3686483999</v>
      </c>
      <c r="K3299">
        <v>3350374172</v>
      </c>
      <c r="L3299">
        <v>5239656336</v>
      </c>
      <c r="M3299">
        <v>6842111616</v>
      </c>
      <c r="N3299">
        <v>8557803841</v>
      </c>
      <c r="O3299">
        <v>6656002315</v>
      </c>
      <c r="P3299">
        <v>105</v>
      </c>
      <c r="Q3299" t="s">
        <v>6940</v>
      </c>
    </row>
    <row r="3300" spans="1:17" x14ac:dyDescent="0.3">
      <c r="A3300" t="s">
        <v>4729</v>
      </c>
      <c r="B3300" t="str">
        <f>"002575"</f>
        <v>002575</v>
      </c>
      <c r="C3300" t="s">
        <v>6941</v>
      </c>
      <c r="D3300" t="s">
        <v>2931</v>
      </c>
      <c r="F3300">
        <v>51224112</v>
      </c>
      <c r="G3300">
        <v>91080411</v>
      </c>
      <c r="H3300">
        <v>35042747</v>
      </c>
      <c r="I3300">
        <v>19045648</v>
      </c>
      <c r="J3300">
        <v>53935819</v>
      </c>
      <c r="K3300">
        <v>250703064</v>
      </c>
      <c r="L3300">
        <v>319383875</v>
      </c>
      <c r="M3300">
        <v>404163125</v>
      </c>
      <c r="N3300">
        <v>500877243</v>
      </c>
      <c r="O3300">
        <v>504756864</v>
      </c>
      <c r="P3300">
        <v>57</v>
      </c>
      <c r="Q3300" t="s">
        <v>6942</v>
      </c>
    </row>
    <row r="3301" spans="1:17" x14ac:dyDescent="0.3">
      <c r="A3301" t="s">
        <v>4729</v>
      </c>
      <c r="B3301" t="str">
        <f>"002576"</f>
        <v>002576</v>
      </c>
      <c r="C3301" t="s">
        <v>6943</v>
      </c>
      <c r="D3301" t="s">
        <v>1171</v>
      </c>
      <c r="F3301">
        <v>2008778334</v>
      </c>
      <c r="G3301">
        <v>1515931646</v>
      </c>
      <c r="H3301">
        <v>1293557316</v>
      </c>
      <c r="I3301">
        <v>1155277695</v>
      </c>
      <c r="J3301">
        <v>1084725284</v>
      </c>
      <c r="K3301">
        <v>818892110</v>
      </c>
      <c r="L3301">
        <v>858213627</v>
      </c>
      <c r="M3301">
        <v>1052358687</v>
      </c>
      <c r="N3301">
        <v>918130796</v>
      </c>
      <c r="O3301">
        <v>750821907</v>
      </c>
      <c r="P3301">
        <v>123</v>
      </c>
      <c r="Q3301" t="s">
        <v>6944</v>
      </c>
    </row>
    <row r="3302" spans="1:17" x14ac:dyDescent="0.3">
      <c r="A3302" t="s">
        <v>4729</v>
      </c>
      <c r="B3302" t="str">
        <f>"002577"</f>
        <v>002577</v>
      </c>
      <c r="C3302" t="s">
        <v>6945</v>
      </c>
      <c r="D3302" t="s">
        <v>236</v>
      </c>
      <c r="F3302">
        <v>486804032</v>
      </c>
      <c r="G3302">
        <v>450098659</v>
      </c>
      <c r="H3302">
        <v>449680144</v>
      </c>
      <c r="I3302">
        <v>474604062</v>
      </c>
      <c r="J3302">
        <v>499797146</v>
      </c>
      <c r="K3302">
        <v>574380779</v>
      </c>
      <c r="L3302">
        <v>500281099</v>
      </c>
      <c r="M3302">
        <v>521330089</v>
      </c>
      <c r="N3302">
        <v>395953455</v>
      </c>
      <c r="O3302">
        <v>459730262</v>
      </c>
      <c r="P3302">
        <v>83</v>
      </c>
      <c r="Q3302" t="s">
        <v>6946</v>
      </c>
    </row>
    <row r="3303" spans="1:17" x14ac:dyDescent="0.3">
      <c r="A3303" t="s">
        <v>4729</v>
      </c>
      <c r="B3303" t="str">
        <f>"002578"</f>
        <v>002578</v>
      </c>
      <c r="C3303" t="s">
        <v>6947</v>
      </c>
      <c r="D3303" t="s">
        <v>504</v>
      </c>
      <c r="F3303">
        <v>2243581817</v>
      </c>
      <c r="G3303">
        <v>1593188731</v>
      </c>
      <c r="H3303">
        <v>1463303288</v>
      </c>
      <c r="I3303">
        <v>1426114894</v>
      </c>
      <c r="J3303">
        <v>1228647100</v>
      </c>
      <c r="K3303">
        <v>1042196843</v>
      </c>
      <c r="L3303">
        <v>1143636581</v>
      </c>
      <c r="M3303">
        <v>1316865630</v>
      </c>
      <c r="N3303">
        <v>1156219909</v>
      </c>
      <c r="O3303">
        <v>1032050835</v>
      </c>
      <c r="P3303">
        <v>91</v>
      </c>
      <c r="Q3303" t="s">
        <v>6948</v>
      </c>
    </row>
    <row r="3304" spans="1:17" x14ac:dyDescent="0.3">
      <c r="A3304" t="s">
        <v>4729</v>
      </c>
      <c r="B3304" t="str">
        <f>"002579"</f>
        <v>002579</v>
      </c>
      <c r="C3304" t="s">
        <v>6949</v>
      </c>
      <c r="D3304" t="s">
        <v>425</v>
      </c>
      <c r="F3304">
        <v>2944827496</v>
      </c>
      <c r="G3304">
        <v>2339657838</v>
      </c>
      <c r="H3304">
        <v>2098774793</v>
      </c>
      <c r="I3304">
        <v>1761337241</v>
      </c>
      <c r="J3304">
        <v>1076553203</v>
      </c>
      <c r="K3304">
        <v>794188459</v>
      </c>
      <c r="L3304">
        <v>578592369</v>
      </c>
      <c r="M3304">
        <v>482698640</v>
      </c>
      <c r="N3304">
        <v>446405040</v>
      </c>
      <c r="O3304">
        <v>428910590</v>
      </c>
      <c r="P3304">
        <v>279</v>
      </c>
      <c r="Q3304" t="s">
        <v>6950</v>
      </c>
    </row>
    <row r="3305" spans="1:17" x14ac:dyDescent="0.3">
      <c r="A3305" t="s">
        <v>4729</v>
      </c>
      <c r="B3305" t="str">
        <f>"002580"</f>
        <v>002580</v>
      </c>
      <c r="C3305" t="s">
        <v>6951</v>
      </c>
      <c r="D3305" t="s">
        <v>555</v>
      </c>
      <c r="F3305">
        <v>2090524719</v>
      </c>
      <c r="G3305">
        <v>1761288769</v>
      </c>
      <c r="H3305">
        <v>1856545389</v>
      </c>
      <c r="I3305">
        <v>1835559638</v>
      </c>
      <c r="J3305">
        <v>1706468317</v>
      </c>
      <c r="K3305">
        <v>1551654658</v>
      </c>
      <c r="L3305">
        <v>1379761643</v>
      </c>
      <c r="M3305">
        <v>1246124972</v>
      </c>
      <c r="N3305">
        <v>1017737987</v>
      </c>
      <c r="O3305">
        <v>1191787314</v>
      </c>
      <c r="P3305">
        <v>114</v>
      </c>
      <c r="Q3305" t="s">
        <v>6952</v>
      </c>
    </row>
    <row r="3306" spans="1:17" x14ac:dyDescent="0.3">
      <c r="A3306" t="s">
        <v>4729</v>
      </c>
      <c r="B3306" t="str">
        <f>"002581"</f>
        <v>002581</v>
      </c>
      <c r="C3306" t="s">
        <v>6953</v>
      </c>
      <c r="D3306" t="s">
        <v>1379</v>
      </c>
      <c r="F3306">
        <v>402713046</v>
      </c>
      <c r="G3306">
        <v>276830418</v>
      </c>
      <c r="H3306">
        <v>567637226</v>
      </c>
      <c r="I3306">
        <v>664593783</v>
      </c>
      <c r="J3306">
        <v>1162416643</v>
      </c>
      <c r="K3306">
        <v>1264879436</v>
      </c>
      <c r="L3306">
        <v>858285723</v>
      </c>
      <c r="M3306">
        <v>319139852</v>
      </c>
      <c r="N3306">
        <v>317253573</v>
      </c>
      <c r="O3306">
        <v>285343999</v>
      </c>
      <c r="P3306">
        <v>228</v>
      </c>
      <c r="Q3306" t="s">
        <v>6954</v>
      </c>
    </row>
    <row r="3307" spans="1:17" x14ac:dyDescent="0.3">
      <c r="A3307" t="s">
        <v>4729</v>
      </c>
      <c r="B3307" t="str">
        <f>"002582"</f>
        <v>002582</v>
      </c>
      <c r="C3307" t="s">
        <v>6955</v>
      </c>
      <c r="D3307" t="s">
        <v>3194</v>
      </c>
      <c r="F3307">
        <v>1281122736</v>
      </c>
      <c r="G3307">
        <v>3001375669</v>
      </c>
      <c r="H3307">
        <v>5961168476</v>
      </c>
      <c r="I3307">
        <v>4949436724</v>
      </c>
      <c r="J3307">
        <v>4070449727</v>
      </c>
      <c r="K3307">
        <v>2071832005</v>
      </c>
      <c r="L3307">
        <v>1113050304</v>
      </c>
      <c r="M3307">
        <v>972923970</v>
      </c>
      <c r="N3307">
        <v>908037723</v>
      </c>
      <c r="O3307">
        <v>896547161</v>
      </c>
      <c r="P3307">
        <v>439</v>
      </c>
      <c r="Q3307" t="s">
        <v>6956</v>
      </c>
    </row>
    <row r="3308" spans="1:17" x14ac:dyDescent="0.3">
      <c r="A3308" t="s">
        <v>4729</v>
      </c>
      <c r="B3308" t="str">
        <f>"002583"</f>
        <v>002583</v>
      </c>
      <c r="C3308" t="s">
        <v>6957</v>
      </c>
      <c r="D3308" t="s">
        <v>1019</v>
      </c>
      <c r="F3308">
        <v>5719034566</v>
      </c>
      <c r="G3308">
        <v>6109220864</v>
      </c>
      <c r="H3308">
        <v>7843538994</v>
      </c>
      <c r="I3308">
        <v>6934533727</v>
      </c>
      <c r="J3308">
        <v>5351532254</v>
      </c>
      <c r="K3308">
        <v>3435503330</v>
      </c>
      <c r="L3308">
        <v>2477556948</v>
      </c>
      <c r="M3308">
        <v>1949382593</v>
      </c>
      <c r="N3308">
        <v>1683395410</v>
      </c>
      <c r="O3308">
        <v>1135373278</v>
      </c>
      <c r="P3308">
        <v>397</v>
      </c>
      <c r="Q3308" t="s">
        <v>6958</v>
      </c>
    </row>
    <row r="3309" spans="1:17" x14ac:dyDescent="0.3">
      <c r="A3309" t="s">
        <v>4729</v>
      </c>
      <c r="B3309" t="str">
        <f>"002584"</f>
        <v>002584</v>
      </c>
      <c r="C3309" t="s">
        <v>6959</v>
      </c>
      <c r="D3309" t="s">
        <v>2408</v>
      </c>
      <c r="F3309">
        <v>6837667634</v>
      </c>
      <c r="G3309">
        <v>6243170933</v>
      </c>
      <c r="H3309">
        <v>3337661962</v>
      </c>
      <c r="I3309">
        <v>3355078357</v>
      </c>
      <c r="J3309">
        <v>3394989819</v>
      </c>
      <c r="K3309">
        <v>2928383508</v>
      </c>
      <c r="L3309">
        <v>2513529316</v>
      </c>
      <c r="M3309">
        <v>2197935787</v>
      </c>
      <c r="N3309">
        <v>2239893354</v>
      </c>
      <c r="O3309">
        <v>1544721154</v>
      </c>
      <c r="P3309">
        <v>119</v>
      </c>
      <c r="Q3309" t="s">
        <v>6960</v>
      </c>
    </row>
    <row r="3310" spans="1:17" x14ac:dyDescent="0.3">
      <c r="A3310" t="s">
        <v>4729</v>
      </c>
      <c r="B3310" t="str">
        <f>"002585"</f>
        <v>002585</v>
      </c>
      <c r="C3310" t="s">
        <v>6961</v>
      </c>
      <c r="D3310" t="s">
        <v>324</v>
      </c>
      <c r="F3310">
        <v>5931205322</v>
      </c>
      <c r="G3310">
        <v>5061313757</v>
      </c>
      <c r="H3310">
        <v>4472306660</v>
      </c>
      <c r="I3310">
        <v>3857565344</v>
      </c>
      <c r="J3310">
        <v>3022955177</v>
      </c>
      <c r="K3310">
        <v>2552739887</v>
      </c>
      <c r="L3310">
        <v>2380537380</v>
      </c>
      <c r="M3310">
        <v>2265477342</v>
      </c>
      <c r="N3310">
        <v>2454679889</v>
      </c>
      <c r="O3310">
        <v>2104770875</v>
      </c>
      <c r="P3310">
        <v>382</v>
      </c>
      <c r="Q3310" t="s">
        <v>6962</v>
      </c>
    </row>
    <row r="3311" spans="1:17" x14ac:dyDescent="0.3">
      <c r="A3311" t="s">
        <v>4729</v>
      </c>
      <c r="B3311" t="str">
        <f>"002586"</f>
        <v>002586</v>
      </c>
      <c r="C3311" t="s">
        <v>6963</v>
      </c>
      <c r="D3311" t="s">
        <v>101</v>
      </c>
      <c r="F3311">
        <v>2580729389</v>
      </c>
      <c r="G3311">
        <v>1975083077</v>
      </c>
      <c r="H3311">
        <v>3437604134</v>
      </c>
      <c r="I3311">
        <v>3539780153</v>
      </c>
      <c r="J3311">
        <v>2870588232</v>
      </c>
      <c r="K3311">
        <v>2192615218</v>
      </c>
      <c r="L3311">
        <v>1896866297</v>
      </c>
      <c r="M3311">
        <v>1832724516</v>
      </c>
      <c r="N3311">
        <v>1620536079</v>
      </c>
      <c r="O3311">
        <v>1399251367</v>
      </c>
      <c r="P3311">
        <v>62</v>
      </c>
      <c r="Q3311" t="s">
        <v>6964</v>
      </c>
    </row>
    <row r="3312" spans="1:17" x14ac:dyDescent="0.3">
      <c r="A3312" t="s">
        <v>4729</v>
      </c>
      <c r="B3312" t="str">
        <f>"002587"</f>
        <v>002587</v>
      </c>
      <c r="C3312" t="s">
        <v>6965</v>
      </c>
      <c r="D3312" t="s">
        <v>803</v>
      </c>
      <c r="F3312">
        <v>965785955</v>
      </c>
      <c r="G3312">
        <v>819531945</v>
      </c>
      <c r="H3312">
        <v>1245130420</v>
      </c>
      <c r="I3312">
        <v>1573372444</v>
      </c>
      <c r="J3312">
        <v>1041124027</v>
      </c>
      <c r="K3312">
        <v>457079739</v>
      </c>
      <c r="L3312">
        <v>293167343</v>
      </c>
      <c r="M3312">
        <v>367053728</v>
      </c>
      <c r="N3312">
        <v>280200417</v>
      </c>
      <c r="O3312">
        <v>304514571</v>
      </c>
      <c r="P3312">
        <v>142</v>
      </c>
      <c r="Q3312" t="s">
        <v>6966</v>
      </c>
    </row>
    <row r="3313" spans="1:17" x14ac:dyDescent="0.3">
      <c r="A3313" t="s">
        <v>4729</v>
      </c>
      <c r="B3313" t="str">
        <f>"002588"</f>
        <v>002588</v>
      </c>
      <c r="C3313" t="s">
        <v>6967</v>
      </c>
      <c r="D3313" t="s">
        <v>5562</v>
      </c>
      <c r="F3313">
        <v>6435968499</v>
      </c>
      <c r="G3313">
        <v>6183204256</v>
      </c>
      <c r="H3313">
        <v>5776017076</v>
      </c>
      <c r="I3313">
        <v>5686233955</v>
      </c>
      <c r="J3313">
        <v>5261742972</v>
      </c>
      <c r="K3313">
        <v>6228880647</v>
      </c>
      <c r="L3313">
        <v>7040684614</v>
      </c>
      <c r="M3313">
        <v>5653998820</v>
      </c>
      <c r="N3313">
        <v>5345499934</v>
      </c>
      <c r="O3313">
        <v>5056710799</v>
      </c>
      <c r="P3313">
        <v>164</v>
      </c>
      <c r="Q3313" t="s">
        <v>6968</v>
      </c>
    </row>
    <row r="3314" spans="1:17" x14ac:dyDescent="0.3">
      <c r="A3314" t="s">
        <v>4729</v>
      </c>
      <c r="B3314" t="str">
        <f>"002589"</f>
        <v>002589</v>
      </c>
      <c r="C3314" t="s">
        <v>6969</v>
      </c>
      <c r="D3314" t="s">
        <v>125</v>
      </c>
      <c r="F3314">
        <v>21059718896</v>
      </c>
      <c r="G3314">
        <v>27203883915</v>
      </c>
      <c r="H3314">
        <v>35258509454</v>
      </c>
      <c r="I3314">
        <v>33918534256</v>
      </c>
      <c r="J3314">
        <v>23293620460</v>
      </c>
      <c r="K3314">
        <v>15618666237</v>
      </c>
      <c r="L3314">
        <v>9749957915</v>
      </c>
      <c r="M3314">
        <v>7785907077</v>
      </c>
      <c r="N3314">
        <v>5925841691</v>
      </c>
      <c r="O3314">
        <v>4622237618</v>
      </c>
      <c r="P3314">
        <v>460</v>
      </c>
      <c r="Q3314" t="s">
        <v>6970</v>
      </c>
    </row>
    <row r="3315" spans="1:17" x14ac:dyDescent="0.3">
      <c r="A3315" t="s">
        <v>4729</v>
      </c>
      <c r="B3315" t="str">
        <f>"002590"</f>
        <v>002590</v>
      </c>
      <c r="C3315" t="s">
        <v>6971</v>
      </c>
      <c r="D3315" t="s">
        <v>348</v>
      </c>
      <c r="F3315">
        <v>2713116625</v>
      </c>
      <c r="G3315">
        <v>2522046952</v>
      </c>
      <c r="H3315">
        <v>2249115161</v>
      </c>
      <c r="I3315">
        <v>2255223361</v>
      </c>
      <c r="J3315">
        <v>2274927576</v>
      </c>
      <c r="K3315">
        <v>2231814605</v>
      </c>
      <c r="L3315">
        <v>1690402790</v>
      </c>
      <c r="M3315">
        <v>1322290056</v>
      </c>
      <c r="N3315">
        <v>1283188645</v>
      </c>
      <c r="O3315">
        <v>1020684450</v>
      </c>
      <c r="P3315">
        <v>119</v>
      </c>
      <c r="Q3315" t="s">
        <v>6972</v>
      </c>
    </row>
    <row r="3316" spans="1:17" x14ac:dyDescent="0.3">
      <c r="A3316" t="s">
        <v>4729</v>
      </c>
      <c r="B3316" t="str">
        <f>"002591"</f>
        <v>002591</v>
      </c>
      <c r="C3316" t="s">
        <v>6973</v>
      </c>
      <c r="D3316" t="s">
        <v>207</v>
      </c>
      <c r="F3316">
        <v>528159338</v>
      </c>
      <c r="G3316">
        <v>317861532</v>
      </c>
      <c r="H3316">
        <v>378175054</v>
      </c>
      <c r="I3316">
        <v>335113423</v>
      </c>
      <c r="J3316">
        <v>259128982</v>
      </c>
      <c r="K3316">
        <v>147575260</v>
      </c>
      <c r="L3316">
        <v>185142770</v>
      </c>
      <c r="M3316">
        <v>248793123</v>
      </c>
      <c r="N3316">
        <v>332813547</v>
      </c>
      <c r="O3316">
        <v>211248459</v>
      </c>
      <c r="P3316">
        <v>113</v>
      </c>
      <c r="Q3316" t="s">
        <v>6974</v>
      </c>
    </row>
    <row r="3317" spans="1:17" x14ac:dyDescent="0.3">
      <c r="A3317" t="s">
        <v>4729</v>
      </c>
      <c r="B3317" t="str">
        <f>"002592"</f>
        <v>002592</v>
      </c>
      <c r="C3317" t="s">
        <v>6975</v>
      </c>
      <c r="D3317" t="s">
        <v>348</v>
      </c>
      <c r="F3317">
        <v>609289899</v>
      </c>
      <c r="G3317">
        <v>604859909</v>
      </c>
      <c r="H3317">
        <v>750904447</v>
      </c>
      <c r="I3317">
        <v>710083533</v>
      </c>
      <c r="J3317">
        <v>774613674</v>
      </c>
      <c r="K3317">
        <v>878396524</v>
      </c>
      <c r="L3317">
        <v>648938569</v>
      </c>
      <c r="M3317">
        <v>638830164</v>
      </c>
      <c r="N3317">
        <v>603497590</v>
      </c>
      <c r="O3317">
        <v>547644657</v>
      </c>
      <c r="P3317">
        <v>76</v>
      </c>
      <c r="Q3317" t="s">
        <v>6976</v>
      </c>
    </row>
    <row r="3318" spans="1:17" x14ac:dyDescent="0.3">
      <c r="A3318" t="s">
        <v>4729</v>
      </c>
      <c r="B3318" t="str">
        <f>"002593"</f>
        <v>002593</v>
      </c>
      <c r="C3318" t="s">
        <v>6977</v>
      </c>
      <c r="D3318" t="s">
        <v>978</v>
      </c>
      <c r="F3318">
        <v>3778485769</v>
      </c>
      <c r="G3318">
        <v>2934948848</v>
      </c>
      <c r="H3318">
        <v>2636332364</v>
      </c>
      <c r="I3318">
        <v>2902153340</v>
      </c>
      <c r="J3318">
        <v>1991149041</v>
      </c>
      <c r="K3318">
        <v>1414950843</v>
      </c>
      <c r="L3318">
        <v>1283207425</v>
      </c>
      <c r="M3318">
        <v>1341928221</v>
      </c>
      <c r="N3318">
        <v>1229585129</v>
      </c>
      <c r="O3318">
        <v>1091393831</v>
      </c>
      <c r="P3318">
        <v>88</v>
      </c>
      <c r="Q3318" t="s">
        <v>6978</v>
      </c>
    </row>
    <row r="3319" spans="1:17" x14ac:dyDescent="0.3">
      <c r="A3319" t="s">
        <v>4729</v>
      </c>
      <c r="B3319" t="str">
        <f>"002594"</f>
        <v>002594</v>
      </c>
      <c r="C3319" t="s">
        <v>6979</v>
      </c>
      <c r="D3319" t="s">
        <v>6980</v>
      </c>
      <c r="F3319">
        <v>216142395000</v>
      </c>
      <c r="G3319">
        <v>156597691000</v>
      </c>
      <c r="H3319">
        <v>127738523000</v>
      </c>
      <c r="I3319">
        <v>130054707000</v>
      </c>
      <c r="J3319">
        <v>105914702000</v>
      </c>
      <c r="K3319">
        <v>103469997000</v>
      </c>
      <c r="L3319">
        <v>80008968000</v>
      </c>
      <c r="M3319">
        <v>58195878000</v>
      </c>
      <c r="N3319">
        <v>52863284000</v>
      </c>
      <c r="O3319">
        <v>46853774000</v>
      </c>
      <c r="P3319">
        <v>5218</v>
      </c>
      <c r="Q3319" t="s">
        <v>6981</v>
      </c>
    </row>
    <row r="3320" spans="1:17" x14ac:dyDescent="0.3">
      <c r="A3320" t="s">
        <v>4729</v>
      </c>
      <c r="B3320" t="str">
        <f>"002595"</f>
        <v>002595</v>
      </c>
      <c r="C3320" t="s">
        <v>6982</v>
      </c>
      <c r="D3320" t="s">
        <v>741</v>
      </c>
      <c r="F3320">
        <v>6008330565</v>
      </c>
      <c r="G3320">
        <v>5294480426</v>
      </c>
      <c r="H3320">
        <v>4387056102</v>
      </c>
      <c r="I3320">
        <v>3724405663</v>
      </c>
      <c r="J3320">
        <v>2994925507</v>
      </c>
      <c r="K3320">
        <v>2606483094</v>
      </c>
      <c r="L3320">
        <v>2308912931</v>
      </c>
      <c r="M3320">
        <v>1814646182</v>
      </c>
      <c r="N3320">
        <v>1134705420</v>
      </c>
      <c r="O3320">
        <v>710955123</v>
      </c>
      <c r="P3320">
        <v>4171</v>
      </c>
      <c r="Q3320" t="s">
        <v>6983</v>
      </c>
    </row>
    <row r="3321" spans="1:17" x14ac:dyDescent="0.3">
      <c r="A3321" t="s">
        <v>4729</v>
      </c>
      <c r="B3321" t="str">
        <f>"002596"</f>
        <v>002596</v>
      </c>
      <c r="C3321" t="s">
        <v>6984</v>
      </c>
      <c r="D3321" t="s">
        <v>3098</v>
      </c>
      <c r="F3321">
        <v>2778490945</v>
      </c>
      <c r="G3321">
        <v>2904059209</v>
      </c>
      <c r="H3321">
        <v>2576779524</v>
      </c>
      <c r="I3321">
        <v>3120970093</v>
      </c>
      <c r="J3321">
        <v>2877542322</v>
      </c>
      <c r="K3321">
        <v>1842589084</v>
      </c>
      <c r="L3321">
        <v>1775285690</v>
      </c>
      <c r="M3321">
        <v>1121308508</v>
      </c>
      <c r="N3321">
        <v>1102020635</v>
      </c>
      <c r="O3321">
        <v>1049684649</v>
      </c>
      <c r="P3321">
        <v>100</v>
      </c>
      <c r="Q3321" t="s">
        <v>6985</v>
      </c>
    </row>
    <row r="3322" spans="1:17" x14ac:dyDescent="0.3">
      <c r="A3322" t="s">
        <v>4729</v>
      </c>
      <c r="B3322" t="str">
        <f>"002597"</f>
        <v>002597</v>
      </c>
      <c r="C3322" t="s">
        <v>6986</v>
      </c>
      <c r="D3322" t="s">
        <v>677</v>
      </c>
      <c r="F3322">
        <v>5845322601</v>
      </c>
      <c r="G3322">
        <v>3666246520</v>
      </c>
      <c r="H3322">
        <v>3971856106</v>
      </c>
      <c r="I3322">
        <v>4132796434</v>
      </c>
      <c r="J3322">
        <v>4479876386</v>
      </c>
      <c r="K3322">
        <v>3755078888</v>
      </c>
      <c r="L3322">
        <v>3327750749</v>
      </c>
      <c r="M3322">
        <v>3214710564</v>
      </c>
      <c r="N3322">
        <v>2977234503</v>
      </c>
      <c r="O3322">
        <v>2782672328</v>
      </c>
      <c r="P3322">
        <v>1877</v>
      </c>
      <c r="Q3322" t="s">
        <v>6987</v>
      </c>
    </row>
    <row r="3323" spans="1:17" x14ac:dyDescent="0.3">
      <c r="A3323" t="s">
        <v>4729</v>
      </c>
      <c r="B3323" t="str">
        <f>"002598"</f>
        <v>002598</v>
      </c>
      <c r="C3323" t="s">
        <v>6988</v>
      </c>
      <c r="D3323" t="s">
        <v>560</v>
      </c>
      <c r="F3323">
        <v>1695908274</v>
      </c>
      <c r="G3323">
        <v>1128990094</v>
      </c>
      <c r="H3323">
        <v>1078648174</v>
      </c>
      <c r="I3323">
        <v>942975714</v>
      </c>
      <c r="J3323">
        <v>701008139</v>
      </c>
      <c r="K3323">
        <v>481282073</v>
      </c>
      <c r="L3323">
        <v>446135108</v>
      </c>
      <c r="M3323">
        <v>554627830</v>
      </c>
      <c r="N3323">
        <v>567421890</v>
      </c>
      <c r="O3323">
        <v>631737766</v>
      </c>
      <c r="P3323">
        <v>88</v>
      </c>
      <c r="Q3323" t="s">
        <v>6989</v>
      </c>
    </row>
    <row r="3324" spans="1:17" x14ac:dyDescent="0.3">
      <c r="A3324" t="s">
        <v>4729</v>
      </c>
      <c r="B3324" t="str">
        <f>"002599"</f>
        <v>002599</v>
      </c>
      <c r="C3324" t="s">
        <v>6990</v>
      </c>
      <c r="D3324" t="s">
        <v>1694</v>
      </c>
      <c r="F3324">
        <v>2405018037</v>
      </c>
      <c r="G3324">
        <v>2040221645</v>
      </c>
      <c r="H3324">
        <v>1952689690</v>
      </c>
      <c r="I3324">
        <v>1844400597</v>
      </c>
      <c r="J3324">
        <v>1403484005</v>
      </c>
      <c r="K3324">
        <v>843448633</v>
      </c>
      <c r="L3324">
        <v>701257494</v>
      </c>
      <c r="M3324">
        <v>622210433</v>
      </c>
      <c r="N3324">
        <v>533344710</v>
      </c>
      <c r="O3324">
        <v>515647253</v>
      </c>
      <c r="P3324">
        <v>87</v>
      </c>
      <c r="Q3324" t="s">
        <v>6991</v>
      </c>
    </row>
    <row r="3325" spans="1:17" x14ac:dyDescent="0.3">
      <c r="A3325" t="s">
        <v>4729</v>
      </c>
      <c r="B3325" t="str">
        <f>"002600"</f>
        <v>002600</v>
      </c>
      <c r="C3325" t="s">
        <v>6992</v>
      </c>
      <c r="D3325" t="s">
        <v>313</v>
      </c>
      <c r="F3325">
        <v>30384494153</v>
      </c>
      <c r="G3325">
        <v>28142547990</v>
      </c>
      <c r="H3325">
        <v>23915823147</v>
      </c>
      <c r="I3325">
        <v>22499664453</v>
      </c>
      <c r="J3325">
        <v>15925169842</v>
      </c>
      <c r="K3325">
        <v>12051500775</v>
      </c>
      <c r="L3325">
        <v>4869278347</v>
      </c>
      <c r="M3325">
        <v>2060288682</v>
      </c>
      <c r="N3325">
        <v>1405167938</v>
      </c>
      <c r="O3325">
        <v>1083643725</v>
      </c>
      <c r="P3325">
        <v>877</v>
      </c>
      <c r="Q3325" t="s">
        <v>6993</v>
      </c>
    </row>
    <row r="3326" spans="1:17" x14ac:dyDescent="0.3">
      <c r="A3326" t="s">
        <v>4729</v>
      </c>
      <c r="B3326" t="str">
        <f>"002601"</f>
        <v>002601</v>
      </c>
      <c r="C3326" t="s">
        <v>6994</v>
      </c>
      <c r="D3326" t="s">
        <v>1474</v>
      </c>
      <c r="F3326">
        <v>20565780950</v>
      </c>
      <c r="G3326">
        <v>14108161180</v>
      </c>
      <c r="H3326">
        <v>11358539703</v>
      </c>
      <c r="I3326">
        <v>10440588458</v>
      </c>
      <c r="J3326">
        <v>10257509525</v>
      </c>
      <c r="K3326">
        <v>4135559615</v>
      </c>
      <c r="L3326">
        <v>2634532200</v>
      </c>
      <c r="M3326">
        <v>2051295882</v>
      </c>
      <c r="N3326">
        <v>1722500619</v>
      </c>
      <c r="O3326">
        <v>1803809202</v>
      </c>
      <c r="P3326">
        <v>1261</v>
      </c>
      <c r="Q3326" t="s">
        <v>6995</v>
      </c>
    </row>
    <row r="3327" spans="1:17" x14ac:dyDescent="0.3">
      <c r="A3327" t="s">
        <v>4729</v>
      </c>
      <c r="B3327" t="str">
        <f>"002602"</f>
        <v>002602</v>
      </c>
      <c r="C3327" t="s">
        <v>6996</v>
      </c>
      <c r="D3327" t="s">
        <v>517</v>
      </c>
      <c r="F3327">
        <v>13929006710</v>
      </c>
      <c r="G3327">
        <v>14982965024</v>
      </c>
      <c r="H3327">
        <v>14689715624</v>
      </c>
      <c r="I3327">
        <v>8123997085</v>
      </c>
      <c r="J3327">
        <v>3490821644</v>
      </c>
      <c r="K3327">
        <v>3455902430</v>
      </c>
      <c r="L3327">
        <v>3025827440</v>
      </c>
      <c r="M3327">
        <v>1712230061</v>
      </c>
      <c r="N3327">
        <v>1227431183</v>
      </c>
      <c r="O3327">
        <v>928899704</v>
      </c>
      <c r="P3327">
        <v>718</v>
      </c>
      <c r="Q3327" t="s">
        <v>6997</v>
      </c>
    </row>
    <row r="3328" spans="1:17" x14ac:dyDescent="0.3">
      <c r="A3328" t="s">
        <v>4729</v>
      </c>
      <c r="B3328" t="str">
        <f>"002603"</f>
        <v>002603</v>
      </c>
      <c r="C3328" t="s">
        <v>6998</v>
      </c>
      <c r="D3328" t="s">
        <v>188</v>
      </c>
      <c r="F3328">
        <v>10116793938</v>
      </c>
      <c r="G3328">
        <v>8782479677</v>
      </c>
      <c r="H3328">
        <v>5825294499</v>
      </c>
      <c r="I3328">
        <v>4814557822</v>
      </c>
      <c r="J3328">
        <v>4081266655</v>
      </c>
      <c r="K3328">
        <v>3820158729</v>
      </c>
      <c r="L3328">
        <v>3184752369</v>
      </c>
      <c r="M3328">
        <v>2921157257</v>
      </c>
      <c r="N3328">
        <v>2490161533</v>
      </c>
      <c r="O3328">
        <v>1648676345</v>
      </c>
      <c r="P3328">
        <v>835</v>
      </c>
      <c r="Q3328" t="s">
        <v>6999</v>
      </c>
    </row>
    <row r="3329" spans="1:17" x14ac:dyDescent="0.3">
      <c r="A3329" t="s">
        <v>4729</v>
      </c>
      <c r="B3329" t="str">
        <f>"002604"</f>
        <v>002604</v>
      </c>
      <c r="C3329" t="s">
        <v>7000</v>
      </c>
      <c r="H3329">
        <v>319486383</v>
      </c>
      <c r="I3329">
        <v>855665280</v>
      </c>
      <c r="J3329">
        <v>1965878827</v>
      </c>
      <c r="K3329">
        <v>879568498</v>
      </c>
      <c r="L3329">
        <v>776304708</v>
      </c>
      <c r="M3329">
        <v>757070540</v>
      </c>
      <c r="N3329">
        <v>903213030</v>
      </c>
      <c r="O3329">
        <v>1014165403</v>
      </c>
      <c r="P3329">
        <v>49</v>
      </c>
      <c r="Q3329" t="s">
        <v>7001</v>
      </c>
    </row>
    <row r="3330" spans="1:17" x14ac:dyDescent="0.3">
      <c r="A3330" t="s">
        <v>4729</v>
      </c>
      <c r="B3330" t="str">
        <f>"002605"</f>
        <v>002605</v>
      </c>
      <c r="C3330" t="s">
        <v>7002</v>
      </c>
      <c r="D3330" t="s">
        <v>517</v>
      </c>
      <c r="F3330">
        <v>3807248679</v>
      </c>
      <c r="G3330">
        <v>2561895757</v>
      </c>
      <c r="H3330">
        <v>1736595928</v>
      </c>
      <c r="I3330">
        <v>943715272</v>
      </c>
      <c r="J3330">
        <v>662634793</v>
      </c>
      <c r="K3330">
        <v>712979977</v>
      </c>
      <c r="L3330">
        <v>812321422</v>
      </c>
      <c r="M3330">
        <v>751912765</v>
      </c>
      <c r="N3330">
        <v>710640478</v>
      </c>
      <c r="O3330">
        <v>645480701</v>
      </c>
      <c r="P3330">
        <v>432</v>
      </c>
      <c r="Q3330" t="s">
        <v>7003</v>
      </c>
    </row>
    <row r="3331" spans="1:17" x14ac:dyDescent="0.3">
      <c r="A3331" t="s">
        <v>4729</v>
      </c>
      <c r="B3331" t="str">
        <f>"002606"</f>
        <v>002606</v>
      </c>
      <c r="C3331" t="s">
        <v>7004</v>
      </c>
      <c r="D3331" t="s">
        <v>1164</v>
      </c>
      <c r="F3331">
        <v>934066843</v>
      </c>
      <c r="G3331">
        <v>869660281</v>
      </c>
      <c r="H3331">
        <v>736850087</v>
      </c>
      <c r="I3331">
        <v>603891650</v>
      </c>
      <c r="J3331">
        <v>832787071</v>
      </c>
      <c r="K3331">
        <v>752828611</v>
      </c>
      <c r="L3331">
        <v>608868355</v>
      </c>
      <c r="M3331">
        <v>591603898</v>
      </c>
      <c r="N3331">
        <v>623317087</v>
      </c>
      <c r="O3331">
        <v>639770910</v>
      </c>
      <c r="P3331">
        <v>160</v>
      </c>
      <c r="Q3331" t="s">
        <v>7005</v>
      </c>
    </row>
    <row r="3332" spans="1:17" x14ac:dyDescent="0.3">
      <c r="A3332" t="s">
        <v>4729</v>
      </c>
      <c r="B3332" t="str">
        <f>"002607"</f>
        <v>002607</v>
      </c>
      <c r="C3332" t="s">
        <v>7006</v>
      </c>
      <c r="D3332" t="s">
        <v>1336</v>
      </c>
      <c r="F3332">
        <v>6911723332</v>
      </c>
      <c r="G3332">
        <v>11202494295</v>
      </c>
      <c r="H3332">
        <v>9176129996</v>
      </c>
      <c r="I3332">
        <v>6236987813</v>
      </c>
      <c r="J3332">
        <v>6664372998</v>
      </c>
      <c r="K3332">
        <v>6560903028</v>
      </c>
      <c r="L3332">
        <v>5220768702</v>
      </c>
      <c r="M3332">
        <v>5236937672</v>
      </c>
      <c r="N3332">
        <v>5045744553</v>
      </c>
      <c r="O3332">
        <v>4126527207</v>
      </c>
      <c r="P3332">
        <v>1791</v>
      </c>
      <c r="Q3332" t="s">
        <v>7007</v>
      </c>
    </row>
    <row r="3333" spans="1:17" x14ac:dyDescent="0.3">
      <c r="A3333" t="s">
        <v>4729</v>
      </c>
      <c r="B3333" t="str">
        <f>"002608"</f>
        <v>002608</v>
      </c>
      <c r="C3333" t="s">
        <v>7008</v>
      </c>
      <c r="D3333" t="s">
        <v>41</v>
      </c>
      <c r="F3333">
        <v>28010548119</v>
      </c>
      <c r="G3333">
        <v>20615926647</v>
      </c>
      <c r="H3333">
        <v>19914637495</v>
      </c>
      <c r="I3333">
        <v>21004962896</v>
      </c>
      <c r="J3333">
        <v>19190734838</v>
      </c>
      <c r="K3333">
        <v>16141016056</v>
      </c>
      <c r="L3333">
        <v>1004866522</v>
      </c>
      <c r="M3333">
        <v>3007641730</v>
      </c>
      <c r="N3333">
        <v>2960686567</v>
      </c>
      <c r="O3333">
        <v>2249077995</v>
      </c>
      <c r="P3333">
        <v>138</v>
      </c>
      <c r="Q3333" t="s">
        <v>7009</v>
      </c>
    </row>
    <row r="3334" spans="1:17" x14ac:dyDescent="0.3">
      <c r="A3334" t="s">
        <v>4729</v>
      </c>
      <c r="B3334" t="str">
        <f>"002609"</f>
        <v>002609</v>
      </c>
      <c r="C3334" t="s">
        <v>7010</v>
      </c>
      <c r="D3334" t="s">
        <v>316</v>
      </c>
      <c r="F3334">
        <v>1504892682</v>
      </c>
      <c r="G3334">
        <v>1371189159</v>
      </c>
      <c r="H3334">
        <v>1164191665</v>
      </c>
      <c r="I3334">
        <v>903586892</v>
      </c>
      <c r="J3334">
        <v>949518021</v>
      </c>
      <c r="K3334">
        <v>783875511</v>
      </c>
      <c r="L3334">
        <v>651032669</v>
      </c>
      <c r="M3334">
        <v>548623169</v>
      </c>
      <c r="N3334">
        <v>461001395</v>
      </c>
      <c r="O3334">
        <v>411763026</v>
      </c>
      <c r="P3334">
        <v>212</v>
      </c>
      <c r="Q3334" t="s">
        <v>7011</v>
      </c>
    </row>
    <row r="3335" spans="1:17" x14ac:dyDescent="0.3">
      <c r="A3335" t="s">
        <v>4729</v>
      </c>
      <c r="B3335" t="str">
        <f>"002610"</f>
        <v>002610</v>
      </c>
      <c r="C3335" t="s">
        <v>7012</v>
      </c>
      <c r="D3335" t="s">
        <v>478</v>
      </c>
      <c r="F3335">
        <v>2531045712</v>
      </c>
      <c r="G3335">
        <v>3016317077</v>
      </c>
      <c r="H3335">
        <v>5126010313</v>
      </c>
      <c r="I3335">
        <v>4842707330</v>
      </c>
      <c r="J3335">
        <v>4856493250</v>
      </c>
      <c r="K3335">
        <v>3904992406</v>
      </c>
      <c r="L3335">
        <v>3215583815</v>
      </c>
      <c r="M3335">
        <v>3002783511</v>
      </c>
      <c r="N3335">
        <v>1931028073</v>
      </c>
      <c r="O3335">
        <v>1362435009</v>
      </c>
      <c r="P3335">
        <v>301</v>
      </c>
      <c r="Q3335" t="s">
        <v>7013</v>
      </c>
    </row>
    <row r="3336" spans="1:17" x14ac:dyDescent="0.3">
      <c r="A3336" t="s">
        <v>4729</v>
      </c>
      <c r="B3336" t="str">
        <f>"002611"</f>
        <v>002611</v>
      </c>
      <c r="C3336" t="s">
        <v>7014</v>
      </c>
      <c r="D3336" t="s">
        <v>3415</v>
      </c>
      <c r="F3336">
        <v>3524734784</v>
      </c>
      <c r="G3336">
        <v>2916270143</v>
      </c>
      <c r="H3336">
        <v>9973503602</v>
      </c>
      <c r="I3336">
        <v>6621349618</v>
      </c>
      <c r="J3336">
        <v>4684845398</v>
      </c>
      <c r="K3336">
        <v>1533388299</v>
      </c>
      <c r="L3336">
        <v>1294785921</v>
      </c>
      <c r="M3336">
        <v>1190269651</v>
      </c>
      <c r="N3336">
        <v>365359517</v>
      </c>
      <c r="O3336">
        <v>331367606</v>
      </c>
      <c r="P3336">
        <v>208</v>
      </c>
      <c r="Q3336" t="s">
        <v>7015</v>
      </c>
    </row>
    <row r="3337" spans="1:17" x14ac:dyDescent="0.3">
      <c r="A3337" t="s">
        <v>4729</v>
      </c>
      <c r="B3337" t="str">
        <f>"002612"</f>
        <v>002612</v>
      </c>
      <c r="C3337" t="s">
        <v>7016</v>
      </c>
      <c r="D3337" t="s">
        <v>255</v>
      </c>
      <c r="F3337">
        <v>3665214566</v>
      </c>
      <c r="G3337">
        <v>2876436730</v>
      </c>
      <c r="H3337">
        <v>3007255155</v>
      </c>
      <c r="I3337">
        <v>2661549903</v>
      </c>
      <c r="J3337">
        <v>2353265951</v>
      </c>
      <c r="K3337">
        <v>1367738331</v>
      </c>
      <c r="L3337">
        <v>1144252813</v>
      </c>
      <c r="M3337">
        <v>1235436758</v>
      </c>
      <c r="N3337">
        <v>1378831198</v>
      </c>
      <c r="O3337">
        <v>1117494682</v>
      </c>
      <c r="P3337">
        <v>370</v>
      </c>
      <c r="Q3337" t="s">
        <v>7017</v>
      </c>
    </row>
    <row r="3338" spans="1:17" x14ac:dyDescent="0.3">
      <c r="A3338" t="s">
        <v>4729</v>
      </c>
      <c r="B3338" t="str">
        <f>"002613"</f>
        <v>002613</v>
      </c>
      <c r="C3338" t="s">
        <v>7018</v>
      </c>
      <c r="D3338" t="s">
        <v>666</v>
      </c>
      <c r="F3338">
        <v>1699049059</v>
      </c>
      <c r="G3338">
        <v>1065336557</v>
      </c>
      <c r="H3338">
        <v>1094668742</v>
      </c>
      <c r="I3338">
        <v>1015364801</v>
      </c>
      <c r="J3338">
        <v>1133983049</v>
      </c>
      <c r="K3338">
        <v>877220956</v>
      </c>
      <c r="L3338">
        <v>904345921</v>
      </c>
      <c r="M3338">
        <v>838142317</v>
      </c>
      <c r="N3338">
        <v>825753013</v>
      </c>
      <c r="O3338">
        <v>715319710</v>
      </c>
      <c r="P3338">
        <v>90</v>
      </c>
      <c r="Q3338" t="s">
        <v>7019</v>
      </c>
    </row>
    <row r="3339" spans="1:17" x14ac:dyDescent="0.3">
      <c r="A3339" t="s">
        <v>4729</v>
      </c>
      <c r="B3339" t="str">
        <f>"002614"</f>
        <v>002614</v>
      </c>
      <c r="C3339" t="s">
        <v>7020</v>
      </c>
      <c r="D3339" t="s">
        <v>3042</v>
      </c>
      <c r="F3339">
        <v>7926722192</v>
      </c>
      <c r="G3339">
        <v>7049158352</v>
      </c>
      <c r="H3339">
        <v>5276271252</v>
      </c>
      <c r="I3339">
        <v>5447030714</v>
      </c>
      <c r="J3339">
        <v>4293808653</v>
      </c>
      <c r="K3339">
        <v>3451383193</v>
      </c>
      <c r="L3339">
        <v>2830727191</v>
      </c>
      <c r="M3339">
        <v>2811257799</v>
      </c>
      <c r="N3339">
        <v>2229978343</v>
      </c>
      <c r="O3339">
        <v>1771659881</v>
      </c>
      <c r="P3339">
        <v>525</v>
      </c>
      <c r="Q3339" t="s">
        <v>7021</v>
      </c>
    </row>
    <row r="3340" spans="1:17" x14ac:dyDescent="0.3">
      <c r="A3340" t="s">
        <v>4729</v>
      </c>
      <c r="B3340" t="str">
        <f>"002615"</f>
        <v>002615</v>
      </c>
      <c r="C3340" t="s">
        <v>7022</v>
      </c>
      <c r="D3340" t="s">
        <v>2445</v>
      </c>
      <c r="F3340">
        <v>2388910164</v>
      </c>
      <c r="G3340">
        <v>1491938670</v>
      </c>
      <c r="H3340">
        <v>1793743646</v>
      </c>
      <c r="I3340">
        <v>1794294914</v>
      </c>
      <c r="J3340">
        <v>1439149376</v>
      </c>
      <c r="K3340">
        <v>1341538067</v>
      </c>
      <c r="L3340">
        <v>758432406</v>
      </c>
      <c r="M3340">
        <v>746690406</v>
      </c>
      <c r="N3340">
        <v>614085521</v>
      </c>
      <c r="O3340">
        <v>531830438</v>
      </c>
      <c r="P3340">
        <v>178</v>
      </c>
      <c r="Q3340" t="s">
        <v>7023</v>
      </c>
    </row>
    <row r="3341" spans="1:17" x14ac:dyDescent="0.3">
      <c r="A3341" t="s">
        <v>4729</v>
      </c>
      <c r="B3341" t="str">
        <f>"002616"</f>
        <v>002616</v>
      </c>
      <c r="C3341" t="s">
        <v>7024</v>
      </c>
      <c r="D3341" t="s">
        <v>7025</v>
      </c>
      <c r="F3341">
        <v>2651221584</v>
      </c>
      <c r="G3341">
        <v>3022380872</v>
      </c>
      <c r="H3341">
        <v>2498156449</v>
      </c>
      <c r="I3341">
        <v>2007166379</v>
      </c>
      <c r="J3341">
        <v>1892681695</v>
      </c>
      <c r="K3341">
        <v>1906788764</v>
      </c>
      <c r="L3341">
        <v>1600738432</v>
      </c>
      <c r="M3341">
        <v>1385517121</v>
      </c>
      <c r="N3341">
        <v>1117710461</v>
      </c>
      <c r="O3341">
        <v>1046318517</v>
      </c>
      <c r="P3341">
        <v>202</v>
      </c>
      <c r="Q3341" t="s">
        <v>7026</v>
      </c>
    </row>
    <row r="3342" spans="1:17" x14ac:dyDescent="0.3">
      <c r="A3342" t="s">
        <v>4729</v>
      </c>
      <c r="B3342" t="str">
        <f>"002617"</f>
        <v>002617</v>
      </c>
      <c r="C3342" t="s">
        <v>7027</v>
      </c>
      <c r="D3342" t="s">
        <v>86</v>
      </c>
      <c r="F3342">
        <v>3553227999</v>
      </c>
      <c r="G3342">
        <v>2848368808</v>
      </c>
      <c r="H3342">
        <v>2452133316</v>
      </c>
      <c r="I3342">
        <v>3020028819</v>
      </c>
      <c r="J3342">
        <v>3244834457</v>
      </c>
      <c r="K3342">
        <v>1395773009</v>
      </c>
      <c r="L3342">
        <v>1770345667</v>
      </c>
      <c r="M3342">
        <v>2648286604</v>
      </c>
      <c r="N3342">
        <v>2729705511</v>
      </c>
      <c r="O3342">
        <v>2597961087</v>
      </c>
      <c r="P3342">
        <v>321</v>
      </c>
      <c r="Q3342" t="s">
        <v>7028</v>
      </c>
    </row>
    <row r="3343" spans="1:17" x14ac:dyDescent="0.3">
      <c r="A3343" t="s">
        <v>4729</v>
      </c>
      <c r="B3343" t="str">
        <f>"002618"</f>
        <v>002618</v>
      </c>
      <c r="C3343" t="s">
        <v>7029</v>
      </c>
      <c r="D3343" t="s">
        <v>425</v>
      </c>
      <c r="F3343">
        <v>116244703</v>
      </c>
      <c r="G3343">
        <v>48724451</v>
      </c>
      <c r="H3343">
        <v>347148109</v>
      </c>
      <c r="I3343">
        <v>343586590</v>
      </c>
      <c r="J3343">
        <v>317158467</v>
      </c>
      <c r="K3343">
        <v>270756689</v>
      </c>
      <c r="L3343">
        <v>419038000</v>
      </c>
      <c r="M3343">
        <v>502091226</v>
      </c>
      <c r="N3343">
        <v>286754569</v>
      </c>
      <c r="O3343">
        <v>243664491</v>
      </c>
      <c r="P3343">
        <v>135</v>
      </c>
      <c r="Q3343" t="s">
        <v>7030</v>
      </c>
    </row>
    <row r="3344" spans="1:17" x14ac:dyDescent="0.3">
      <c r="A3344" t="s">
        <v>4729</v>
      </c>
      <c r="B3344" t="str">
        <f>"002619"</f>
        <v>002619</v>
      </c>
      <c r="C3344" t="s">
        <v>7031</v>
      </c>
      <c r="D3344" t="s">
        <v>517</v>
      </c>
      <c r="G3344">
        <v>181897280</v>
      </c>
      <c r="H3344">
        <v>553665412</v>
      </c>
      <c r="I3344">
        <v>829292019</v>
      </c>
      <c r="J3344">
        <v>845085867</v>
      </c>
      <c r="K3344">
        <v>562978997</v>
      </c>
      <c r="L3344">
        <v>489541505</v>
      </c>
      <c r="M3344">
        <v>375839733</v>
      </c>
      <c r="N3344">
        <v>505290829</v>
      </c>
      <c r="O3344">
        <v>308316890</v>
      </c>
      <c r="P3344">
        <v>124</v>
      </c>
      <c r="Q3344" t="s">
        <v>7032</v>
      </c>
    </row>
    <row r="3345" spans="1:17" x14ac:dyDescent="0.3">
      <c r="A3345" t="s">
        <v>4729</v>
      </c>
      <c r="B3345" t="str">
        <f>"002620"</f>
        <v>002620</v>
      </c>
      <c r="C3345" t="s">
        <v>7033</v>
      </c>
      <c r="D3345" t="s">
        <v>450</v>
      </c>
      <c r="F3345">
        <v>3517414463</v>
      </c>
      <c r="G3345">
        <v>3763882372</v>
      </c>
      <c r="H3345">
        <v>3817998179</v>
      </c>
      <c r="I3345">
        <v>3613862347</v>
      </c>
      <c r="J3345">
        <v>3006438721</v>
      </c>
      <c r="K3345">
        <v>2436680173</v>
      </c>
      <c r="L3345">
        <v>1819866472</v>
      </c>
      <c r="M3345">
        <v>1521862046</v>
      </c>
      <c r="N3345">
        <v>1508195814</v>
      </c>
      <c r="O3345">
        <v>1342648794</v>
      </c>
      <c r="P3345">
        <v>90</v>
      </c>
      <c r="Q3345" t="s">
        <v>7034</v>
      </c>
    </row>
    <row r="3346" spans="1:17" x14ac:dyDescent="0.3">
      <c r="A3346" t="s">
        <v>4729</v>
      </c>
      <c r="B3346" t="str">
        <f>"002621"</f>
        <v>002621</v>
      </c>
      <c r="C3346" t="s">
        <v>7035</v>
      </c>
      <c r="D3346" t="s">
        <v>1336</v>
      </c>
      <c r="F3346">
        <v>336413721</v>
      </c>
      <c r="G3346">
        <v>356412836</v>
      </c>
      <c r="H3346">
        <v>629819434</v>
      </c>
      <c r="I3346">
        <v>265356400</v>
      </c>
      <c r="J3346">
        <v>177168879</v>
      </c>
      <c r="K3346">
        <v>66813551</v>
      </c>
      <c r="L3346">
        <v>136217257</v>
      </c>
      <c r="M3346">
        <v>185224084</v>
      </c>
      <c r="N3346">
        <v>162904931</v>
      </c>
      <c r="O3346">
        <v>184265675</v>
      </c>
      <c r="P3346">
        <v>143</v>
      </c>
      <c r="Q3346" t="s">
        <v>7036</v>
      </c>
    </row>
    <row r="3347" spans="1:17" x14ac:dyDescent="0.3">
      <c r="A3347" t="s">
        <v>4729</v>
      </c>
      <c r="B3347" t="str">
        <f>"002622"</f>
        <v>002622</v>
      </c>
      <c r="C3347" t="s">
        <v>7037</v>
      </c>
      <c r="D3347" t="s">
        <v>210</v>
      </c>
      <c r="F3347">
        <v>168106985</v>
      </c>
      <c r="G3347">
        <v>114345047</v>
      </c>
      <c r="H3347">
        <v>155321875</v>
      </c>
      <c r="I3347">
        <v>422405637</v>
      </c>
      <c r="J3347">
        <v>194929410</v>
      </c>
      <c r="K3347">
        <v>120062609</v>
      </c>
      <c r="L3347">
        <v>146512179</v>
      </c>
      <c r="M3347">
        <v>161042614</v>
      </c>
      <c r="N3347">
        <v>184680610</v>
      </c>
      <c r="O3347">
        <v>244681606</v>
      </c>
      <c r="P3347">
        <v>120</v>
      </c>
      <c r="Q3347" t="s">
        <v>7038</v>
      </c>
    </row>
    <row r="3348" spans="1:17" x14ac:dyDescent="0.3">
      <c r="A3348" t="s">
        <v>4729</v>
      </c>
      <c r="B3348" t="str">
        <f>"002623"</f>
        <v>002623</v>
      </c>
      <c r="C3348" t="s">
        <v>7039</v>
      </c>
      <c r="D3348" t="s">
        <v>478</v>
      </c>
      <c r="F3348">
        <v>2031982716</v>
      </c>
      <c r="G3348">
        <v>1802858274</v>
      </c>
      <c r="H3348">
        <v>1184367791</v>
      </c>
      <c r="I3348">
        <v>1530350704</v>
      </c>
      <c r="J3348">
        <v>1612431323</v>
      </c>
      <c r="K3348">
        <v>1395846083</v>
      </c>
      <c r="L3348">
        <v>1092134359</v>
      </c>
      <c r="M3348">
        <v>862816285</v>
      </c>
      <c r="N3348">
        <v>701992180</v>
      </c>
      <c r="O3348">
        <v>608885988</v>
      </c>
      <c r="P3348">
        <v>172</v>
      </c>
      <c r="Q3348" t="s">
        <v>7040</v>
      </c>
    </row>
    <row r="3349" spans="1:17" x14ac:dyDescent="0.3">
      <c r="A3349" t="s">
        <v>4729</v>
      </c>
      <c r="B3349" t="str">
        <f>"002624"</f>
        <v>002624</v>
      </c>
      <c r="C3349" t="s">
        <v>7041</v>
      </c>
      <c r="D3349" t="s">
        <v>517</v>
      </c>
      <c r="F3349">
        <v>8517998134</v>
      </c>
      <c r="G3349">
        <v>10224767171</v>
      </c>
      <c r="H3349">
        <v>8039021279</v>
      </c>
      <c r="I3349">
        <v>8033765031</v>
      </c>
      <c r="J3349">
        <v>7929815019</v>
      </c>
      <c r="K3349">
        <v>6158831751</v>
      </c>
      <c r="L3349">
        <v>1129371418</v>
      </c>
      <c r="M3349">
        <v>925784338</v>
      </c>
      <c r="N3349">
        <v>475417868</v>
      </c>
      <c r="O3349">
        <v>407084468</v>
      </c>
      <c r="P3349">
        <v>2397</v>
      </c>
      <c r="Q3349" t="s">
        <v>7042</v>
      </c>
    </row>
    <row r="3350" spans="1:17" x14ac:dyDescent="0.3">
      <c r="A3350" t="s">
        <v>4729</v>
      </c>
      <c r="B3350" t="str">
        <f>"002625"</f>
        <v>002625</v>
      </c>
      <c r="C3350" t="s">
        <v>7043</v>
      </c>
      <c r="D3350" t="s">
        <v>98</v>
      </c>
      <c r="F3350">
        <v>859350024</v>
      </c>
      <c r="G3350">
        <v>636509964</v>
      </c>
      <c r="H3350">
        <v>481282342</v>
      </c>
      <c r="I3350">
        <v>463754727</v>
      </c>
      <c r="J3350">
        <v>379680553</v>
      </c>
      <c r="K3350">
        <v>421648749</v>
      </c>
      <c r="L3350">
        <v>404715747</v>
      </c>
      <c r="M3350">
        <v>402074127</v>
      </c>
      <c r="N3350">
        <v>291352414</v>
      </c>
      <c r="O3350">
        <v>234960474</v>
      </c>
      <c r="P3350">
        <v>259</v>
      </c>
      <c r="Q3350" t="s">
        <v>7044</v>
      </c>
    </row>
    <row r="3351" spans="1:17" x14ac:dyDescent="0.3">
      <c r="A3351" t="s">
        <v>4729</v>
      </c>
      <c r="B3351" t="str">
        <f>"002626"</f>
        <v>002626</v>
      </c>
      <c r="C3351" t="s">
        <v>7045</v>
      </c>
      <c r="D3351" t="s">
        <v>838</v>
      </c>
      <c r="F3351">
        <v>3616159486</v>
      </c>
      <c r="G3351">
        <v>3504406642</v>
      </c>
      <c r="H3351">
        <v>3191784933</v>
      </c>
      <c r="I3351">
        <v>2872622719</v>
      </c>
      <c r="J3351">
        <v>2084623655</v>
      </c>
      <c r="K3351">
        <v>1662750797</v>
      </c>
      <c r="L3351">
        <v>1203809134</v>
      </c>
      <c r="M3351">
        <v>838250287</v>
      </c>
      <c r="N3351">
        <v>670158447</v>
      </c>
      <c r="O3351">
        <v>675975970</v>
      </c>
      <c r="P3351">
        <v>1112</v>
      </c>
      <c r="Q3351" t="s">
        <v>7046</v>
      </c>
    </row>
    <row r="3352" spans="1:17" x14ac:dyDescent="0.3">
      <c r="A3352" t="s">
        <v>4729</v>
      </c>
      <c r="B3352" t="str">
        <f>"002627"</f>
        <v>002627</v>
      </c>
      <c r="C3352" t="s">
        <v>7047</v>
      </c>
      <c r="D3352" t="s">
        <v>1133</v>
      </c>
      <c r="F3352">
        <v>2178173870</v>
      </c>
      <c r="G3352">
        <v>1950196158</v>
      </c>
      <c r="H3352">
        <v>2212866454</v>
      </c>
      <c r="I3352">
        <v>1996801309</v>
      </c>
      <c r="J3352">
        <v>2037367903</v>
      </c>
      <c r="K3352">
        <v>1842720263</v>
      </c>
      <c r="L3352">
        <v>1505084203</v>
      </c>
      <c r="M3352">
        <v>1303885168</v>
      </c>
      <c r="N3352">
        <v>1222482007</v>
      </c>
      <c r="O3352">
        <v>1083038075</v>
      </c>
      <c r="P3352">
        <v>99</v>
      </c>
      <c r="Q3352" t="s">
        <v>7048</v>
      </c>
    </row>
    <row r="3353" spans="1:17" x14ac:dyDescent="0.3">
      <c r="A3353" t="s">
        <v>4729</v>
      </c>
      <c r="B3353" t="str">
        <f>"002628"</f>
        <v>002628</v>
      </c>
      <c r="C3353" t="s">
        <v>7049</v>
      </c>
      <c r="D3353" t="s">
        <v>101</v>
      </c>
      <c r="F3353">
        <v>1789747621</v>
      </c>
      <c r="G3353">
        <v>2175301750</v>
      </c>
      <c r="H3353">
        <v>2795244197</v>
      </c>
      <c r="I3353">
        <v>2725610521</v>
      </c>
      <c r="J3353">
        <v>1987274807</v>
      </c>
      <c r="K3353">
        <v>2062039420</v>
      </c>
      <c r="L3353">
        <v>1444976276</v>
      </c>
      <c r="M3353">
        <v>1497995487</v>
      </c>
      <c r="N3353">
        <v>4271478342</v>
      </c>
      <c r="O3353">
        <v>3940476478</v>
      </c>
      <c r="P3353">
        <v>91</v>
      </c>
      <c r="Q3353" t="s">
        <v>7050</v>
      </c>
    </row>
    <row r="3354" spans="1:17" x14ac:dyDescent="0.3">
      <c r="A3354" t="s">
        <v>4729</v>
      </c>
      <c r="B3354" t="str">
        <f>"002629"</f>
        <v>002629</v>
      </c>
      <c r="C3354" t="s">
        <v>7051</v>
      </c>
      <c r="D3354" t="s">
        <v>1762</v>
      </c>
      <c r="F3354">
        <v>125991249</v>
      </c>
      <c r="G3354">
        <v>108573373</v>
      </c>
      <c r="H3354">
        <v>96836817</v>
      </c>
      <c r="I3354">
        <v>2546615546</v>
      </c>
      <c r="J3354">
        <v>3223422954</v>
      </c>
      <c r="K3354">
        <v>314821743</v>
      </c>
      <c r="L3354">
        <v>244821926</v>
      </c>
      <c r="M3354">
        <v>480292048</v>
      </c>
      <c r="N3354">
        <v>605859970</v>
      </c>
      <c r="O3354">
        <v>648956922</v>
      </c>
      <c r="P3354">
        <v>60</v>
      </c>
      <c r="Q3354" t="s">
        <v>7052</v>
      </c>
    </row>
    <row r="3355" spans="1:17" x14ac:dyDescent="0.3">
      <c r="A3355" t="s">
        <v>4729</v>
      </c>
      <c r="B3355" t="str">
        <f>"002630"</f>
        <v>002630</v>
      </c>
      <c r="C3355" t="s">
        <v>7053</v>
      </c>
      <c r="D3355" t="s">
        <v>470</v>
      </c>
      <c r="F3355">
        <v>1517242647</v>
      </c>
      <c r="G3355">
        <v>2207318679</v>
      </c>
      <c r="H3355">
        <v>3623174397</v>
      </c>
      <c r="I3355">
        <v>3647648702</v>
      </c>
      <c r="J3355">
        <v>4134033332</v>
      </c>
      <c r="K3355">
        <v>3400516665</v>
      </c>
      <c r="L3355">
        <v>3699738956</v>
      </c>
      <c r="M3355">
        <v>3268585423</v>
      </c>
      <c r="N3355">
        <v>3136973996</v>
      </c>
      <c r="O3355">
        <v>2449243147</v>
      </c>
      <c r="P3355">
        <v>109</v>
      </c>
      <c r="Q3355" t="s">
        <v>7054</v>
      </c>
    </row>
    <row r="3356" spans="1:17" x14ac:dyDescent="0.3">
      <c r="A3356" t="s">
        <v>4729</v>
      </c>
      <c r="B3356" t="str">
        <f>"002631"</f>
        <v>002631</v>
      </c>
      <c r="C3356" t="s">
        <v>7055</v>
      </c>
      <c r="D3356" t="s">
        <v>2664</v>
      </c>
      <c r="F3356">
        <v>2033531258</v>
      </c>
      <c r="G3356">
        <v>1568231198</v>
      </c>
      <c r="H3356">
        <v>1797629582</v>
      </c>
      <c r="I3356">
        <v>1768219993</v>
      </c>
      <c r="J3356">
        <v>1600287780</v>
      </c>
      <c r="K3356">
        <v>1131554825</v>
      </c>
      <c r="L3356">
        <v>844410930</v>
      </c>
      <c r="M3356">
        <v>680021312</v>
      </c>
      <c r="N3356">
        <v>552293452</v>
      </c>
      <c r="O3356">
        <v>423830319</v>
      </c>
      <c r="P3356">
        <v>156</v>
      </c>
      <c r="Q3356" t="s">
        <v>7056</v>
      </c>
    </row>
    <row r="3357" spans="1:17" x14ac:dyDescent="0.3">
      <c r="A3357" t="s">
        <v>4729</v>
      </c>
      <c r="B3357" t="str">
        <f>"002632"</f>
        <v>002632</v>
      </c>
      <c r="C3357" t="s">
        <v>7057</v>
      </c>
      <c r="D3357" t="s">
        <v>324</v>
      </c>
      <c r="F3357">
        <v>1283794314</v>
      </c>
      <c r="G3357">
        <v>1266460013</v>
      </c>
      <c r="H3357">
        <v>1391641907</v>
      </c>
      <c r="I3357">
        <v>1197355027</v>
      </c>
      <c r="J3357">
        <v>806798289</v>
      </c>
      <c r="K3357">
        <v>521792083</v>
      </c>
      <c r="L3357">
        <v>429497785</v>
      </c>
      <c r="M3357">
        <v>462778481</v>
      </c>
      <c r="N3357">
        <v>406249689</v>
      </c>
      <c r="O3357">
        <v>362503701</v>
      </c>
      <c r="P3357">
        <v>144</v>
      </c>
      <c r="Q3357" t="s">
        <v>7058</v>
      </c>
    </row>
    <row r="3358" spans="1:17" x14ac:dyDescent="0.3">
      <c r="A3358" t="s">
        <v>4729</v>
      </c>
      <c r="B3358" t="str">
        <f>"002633"</f>
        <v>002633</v>
      </c>
      <c r="C3358" t="s">
        <v>7059</v>
      </c>
      <c r="D3358" t="s">
        <v>274</v>
      </c>
      <c r="F3358">
        <v>212172365</v>
      </c>
      <c r="G3358">
        <v>169833444</v>
      </c>
      <c r="H3358">
        <v>122814262</v>
      </c>
      <c r="I3358">
        <v>161873827</v>
      </c>
      <c r="J3358">
        <v>174156219</v>
      </c>
      <c r="K3358">
        <v>138517636</v>
      </c>
      <c r="L3358">
        <v>230513610</v>
      </c>
      <c r="M3358">
        <v>267898215</v>
      </c>
      <c r="N3358">
        <v>250006703</v>
      </c>
      <c r="O3358">
        <v>267607711</v>
      </c>
      <c r="P3358">
        <v>44</v>
      </c>
      <c r="Q3358" t="s">
        <v>7060</v>
      </c>
    </row>
    <row r="3359" spans="1:17" x14ac:dyDescent="0.3">
      <c r="A3359" t="s">
        <v>4729</v>
      </c>
      <c r="B3359" t="str">
        <f>"002634"</f>
        <v>002634</v>
      </c>
      <c r="C3359" t="s">
        <v>7061</v>
      </c>
      <c r="D3359" t="s">
        <v>330</v>
      </c>
      <c r="F3359">
        <v>613630932</v>
      </c>
      <c r="G3359">
        <v>625631302</v>
      </c>
      <c r="H3359">
        <v>600896508</v>
      </c>
      <c r="I3359">
        <v>415512906</v>
      </c>
      <c r="J3359">
        <v>434094914</v>
      </c>
      <c r="K3359">
        <v>389873816</v>
      </c>
      <c r="L3359">
        <v>330292942</v>
      </c>
      <c r="M3359">
        <v>374252038</v>
      </c>
      <c r="N3359">
        <v>374318587</v>
      </c>
      <c r="O3359">
        <v>345880453</v>
      </c>
      <c r="P3359">
        <v>88</v>
      </c>
      <c r="Q3359" t="s">
        <v>7062</v>
      </c>
    </row>
    <row r="3360" spans="1:17" x14ac:dyDescent="0.3">
      <c r="A3360" t="s">
        <v>4729</v>
      </c>
      <c r="B3360" t="str">
        <f>"002635"</f>
        <v>002635</v>
      </c>
      <c r="C3360" t="s">
        <v>7063</v>
      </c>
      <c r="D3360" t="s">
        <v>313</v>
      </c>
      <c r="F3360">
        <v>3883797667</v>
      </c>
      <c r="G3360">
        <v>2905309764</v>
      </c>
      <c r="H3360">
        <v>3136135981</v>
      </c>
      <c r="I3360">
        <v>3554259001</v>
      </c>
      <c r="J3360">
        <v>2714600819</v>
      </c>
      <c r="K3360">
        <v>1827662449</v>
      </c>
      <c r="L3360">
        <v>1880430516</v>
      </c>
      <c r="M3360">
        <v>731300620</v>
      </c>
      <c r="N3360">
        <v>605376271</v>
      </c>
      <c r="O3360">
        <v>616276598</v>
      </c>
      <c r="P3360">
        <v>513</v>
      </c>
      <c r="Q3360" t="s">
        <v>7064</v>
      </c>
    </row>
    <row r="3361" spans="1:17" x14ac:dyDescent="0.3">
      <c r="A3361" t="s">
        <v>4729</v>
      </c>
      <c r="B3361" t="str">
        <f>"002636"</f>
        <v>002636</v>
      </c>
      <c r="C3361" t="s">
        <v>7065</v>
      </c>
      <c r="D3361" t="s">
        <v>425</v>
      </c>
      <c r="F3361">
        <v>5891172846</v>
      </c>
      <c r="G3361">
        <v>3606803987</v>
      </c>
      <c r="H3361">
        <v>3322217734</v>
      </c>
      <c r="I3361">
        <v>3683219018</v>
      </c>
      <c r="J3361">
        <v>3675803743</v>
      </c>
      <c r="K3361">
        <v>3053729240</v>
      </c>
      <c r="L3361">
        <v>2545130288</v>
      </c>
      <c r="M3361">
        <v>2261190939</v>
      </c>
      <c r="N3361">
        <v>2374144854</v>
      </c>
      <c r="O3361">
        <v>2135984953</v>
      </c>
      <c r="P3361">
        <v>308</v>
      </c>
      <c r="Q3361" t="s">
        <v>7066</v>
      </c>
    </row>
    <row r="3362" spans="1:17" x14ac:dyDescent="0.3">
      <c r="A3362" t="s">
        <v>4729</v>
      </c>
      <c r="B3362" t="str">
        <f>"002637"</f>
        <v>002637</v>
      </c>
      <c r="C3362" t="s">
        <v>7067</v>
      </c>
      <c r="D3362" t="s">
        <v>386</v>
      </c>
      <c r="F3362">
        <v>11201212668</v>
      </c>
      <c r="G3362">
        <v>7803771296</v>
      </c>
      <c r="H3362">
        <v>6579791289</v>
      </c>
      <c r="I3362">
        <v>7064066717</v>
      </c>
      <c r="J3362">
        <v>6908279242</v>
      </c>
      <c r="K3362">
        <v>4360660373</v>
      </c>
      <c r="L3362">
        <v>2822355466</v>
      </c>
      <c r="M3362">
        <v>2495270420</v>
      </c>
      <c r="N3362">
        <v>2218005231</v>
      </c>
      <c r="O3362">
        <v>1987441554</v>
      </c>
      <c r="P3362">
        <v>145</v>
      </c>
      <c r="Q3362" t="s">
        <v>7068</v>
      </c>
    </row>
    <row r="3363" spans="1:17" x14ac:dyDescent="0.3">
      <c r="A3363" t="s">
        <v>4729</v>
      </c>
      <c r="B3363" t="str">
        <f>"002638"</f>
        <v>002638</v>
      </c>
      <c r="C3363" t="s">
        <v>7069</v>
      </c>
      <c r="D3363" t="s">
        <v>1336</v>
      </c>
      <c r="F3363">
        <v>1050146905</v>
      </c>
      <c r="G3363">
        <v>995447144</v>
      </c>
      <c r="H3363">
        <v>1252625209</v>
      </c>
      <c r="I3363">
        <v>1297613575</v>
      </c>
      <c r="J3363">
        <v>1608990344</v>
      </c>
      <c r="K3363">
        <v>842743857</v>
      </c>
      <c r="L3363">
        <v>849664393</v>
      </c>
      <c r="M3363">
        <v>905786744</v>
      </c>
      <c r="N3363">
        <v>1140513683</v>
      </c>
      <c r="O3363">
        <v>821668290</v>
      </c>
      <c r="P3363">
        <v>83</v>
      </c>
      <c r="Q3363" t="s">
        <v>7070</v>
      </c>
    </row>
    <row r="3364" spans="1:17" x14ac:dyDescent="0.3">
      <c r="A3364" t="s">
        <v>4729</v>
      </c>
      <c r="B3364" t="str">
        <f>"002639"</f>
        <v>002639</v>
      </c>
      <c r="C3364" t="s">
        <v>7071</v>
      </c>
      <c r="D3364" t="s">
        <v>988</v>
      </c>
      <c r="F3364">
        <v>2008655585</v>
      </c>
      <c r="G3364">
        <v>1458378294</v>
      </c>
      <c r="H3364">
        <v>1513568679</v>
      </c>
      <c r="I3364">
        <v>1303415525</v>
      </c>
      <c r="J3364">
        <v>936529778</v>
      </c>
      <c r="K3364">
        <v>811128345</v>
      </c>
      <c r="L3364">
        <v>641367065</v>
      </c>
      <c r="M3364">
        <v>422323543</v>
      </c>
      <c r="N3364">
        <v>385643270</v>
      </c>
      <c r="O3364">
        <v>286475721</v>
      </c>
      <c r="P3364">
        <v>228</v>
      </c>
      <c r="Q3364" t="s">
        <v>7072</v>
      </c>
    </row>
    <row r="3365" spans="1:17" x14ac:dyDescent="0.3">
      <c r="A3365" t="s">
        <v>4729</v>
      </c>
      <c r="B3365" t="str">
        <f>"002640"</f>
        <v>002640</v>
      </c>
      <c r="C3365" t="s">
        <v>7073</v>
      </c>
      <c r="D3365" t="s">
        <v>2020</v>
      </c>
      <c r="F3365">
        <v>8817730864</v>
      </c>
      <c r="G3365">
        <v>17021094097</v>
      </c>
      <c r="H3365">
        <v>17874236566</v>
      </c>
      <c r="I3365">
        <v>21533874063</v>
      </c>
      <c r="J3365">
        <v>14017897349</v>
      </c>
      <c r="K3365">
        <v>8536907507</v>
      </c>
      <c r="L3365">
        <v>3960813224</v>
      </c>
      <c r="M3365">
        <v>841820690</v>
      </c>
      <c r="N3365">
        <v>446354616</v>
      </c>
      <c r="O3365">
        <v>485425195</v>
      </c>
      <c r="P3365">
        <v>263</v>
      </c>
      <c r="Q3365" t="s">
        <v>7074</v>
      </c>
    </row>
    <row r="3366" spans="1:17" x14ac:dyDescent="0.3">
      <c r="A3366" t="s">
        <v>4729</v>
      </c>
      <c r="B3366" t="str">
        <f>"002641"</f>
        <v>002641</v>
      </c>
      <c r="C3366" t="s">
        <v>7075</v>
      </c>
      <c r="D3366" t="s">
        <v>3347</v>
      </c>
      <c r="F3366">
        <v>8880966264</v>
      </c>
      <c r="G3366">
        <v>7036300478</v>
      </c>
      <c r="H3366">
        <v>6290606344</v>
      </c>
      <c r="I3366">
        <v>5353776518</v>
      </c>
      <c r="J3366">
        <v>4569721119</v>
      </c>
      <c r="K3366">
        <v>3767378128</v>
      </c>
      <c r="L3366">
        <v>3533443286</v>
      </c>
      <c r="M3366">
        <v>3325600540</v>
      </c>
      <c r="N3366">
        <v>2918415675</v>
      </c>
      <c r="O3366">
        <v>2514277912</v>
      </c>
      <c r="P3366">
        <v>360</v>
      </c>
      <c r="Q3366" t="s">
        <v>7076</v>
      </c>
    </row>
    <row r="3367" spans="1:17" x14ac:dyDescent="0.3">
      <c r="A3367" t="s">
        <v>4729</v>
      </c>
      <c r="B3367" t="str">
        <f>"002642"</f>
        <v>002642</v>
      </c>
      <c r="C3367" t="s">
        <v>7077</v>
      </c>
      <c r="D3367" t="s">
        <v>316</v>
      </c>
      <c r="F3367">
        <v>3582522124</v>
      </c>
      <c r="G3367">
        <v>2813023479</v>
      </c>
      <c r="H3367">
        <v>3256586982</v>
      </c>
      <c r="I3367">
        <v>2734206242</v>
      </c>
      <c r="J3367">
        <v>1888796422</v>
      </c>
      <c r="K3367">
        <v>1595504526</v>
      </c>
      <c r="L3367">
        <v>1546194791</v>
      </c>
      <c r="M3367">
        <v>1497732340</v>
      </c>
      <c r="N3367">
        <v>1173910463</v>
      </c>
      <c r="O3367">
        <v>858868527</v>
      </c>
      <c r="P3367">
        <v>221</v>
      </c>
      <c r="Q3367" t="s">
        <v>7078</v>
      </c>
    </row>
    <row r="3368" spans="1:17" x14ac:dyDescent="0.3">
      <c r="A3368" t="s">
        <v>4729</v>
      </c>
      <c r="B3368" t="str">
        <f>"002643"</f>
        <v>002643</v>
      </c>
      <c r="C3368" t="s">
        <v>7079</v>
      </c>
      <c r="D3368" t="s">
        <v>2408</v>
      </c>
      <c r="F3368">
        <v>4358522850</v>
      </c>
      <c r="G3368">
        <v>2918105890</v>
      </c>
      <c r="H3368">
        <v>2870127669</v>
      </c>
      <c r="I3368">
        <v>2631664659</v>
      </c>
      <c r="J3368">
        <v>2456391218</v>
      </c>
      <c r="K3368">
        <v>1847391082</v>
      </c>
      <c r="L3368">
        <v>1631042560</v>
      </c>
      <c r="M3368">
        <v>1068796192</v>
      </c>
      <c r="N3368">
        <v>965382340</v>
      </c>
      <c r="O3368">
        <v>789577817</v>
      </c>
      <c r="P3368">
        <v>387</v>
      </c>
      <c r="Q3368" t="s">
        <v>7080</v>
      </c>
    </row>
    <row r="3369" spans="1:17" x14ac:dyDescent="0.3">
      <c r="A3369" t="s">
        <v>4729</v>
      </c>
      <c r="B3369" t="str">
        <f>"002644"</f>
        <v>002644</v>
      </c>
      <c r="C3369" t="s">
        <v>7081</v>
      </c>
      <c r="D3369" t="s">
        <v>188</v>
      </c>
      <c r="F3369">
        <v>817640826</v>
      </c>
      <c r="G3369">
        <v>668051014</v>
      </c>
      <c r="H3369">
        <v>628815164</v>
      </c>
      <c r="I3369">
        <v>544581046</v>
      </c>
      <c r="J3369">
        <v>501139717</v>
      </c>
      <c r="K3369">
        <v>363255420</v>
      </c>
      <c r="L3369">
        <v>327584500</v>
      </c>
      <c r="M3369">
        <v>399071336</v>
      </c>
      <c r="N3369">
        <v>291528280</v>
      </c>
      <c r="O3369">
        <v>266362197</v>
      </c>
      <c r="P3369">
        <v>163</v>
      </c>
      <c r="Q3369" t="s">
        <v>7082</v>
      </c>
    </row>
    <row r="3370" spans="1:17" x14ac:dyDescent="0.3">
      <c r="A3370" t="s">
        <v>4729</v>
      </c>
      <c r="B3370" t="str">
        <f>"002645"</f>
        <v>002645</v>
      </c>
      <c r="C3370" t="s">
        <v>7083</v>
      </c>
      <c r="D3370" t="s">
        <v>1070</v>
      </c>
      <c r="F3370">
        <v>6776828767</v>
      </c>
      <c r="G3370">
        <v>3375687731</v>
      </c>
      <c r="H3370">
        <v>2161340387</v>
      </c>
      <c r="I3370">
        <v>1915918137</v>
      </c>
      <c r="J3370">
        <v>1299942960</v>
      </c>
      <c r="K3370">
        <v>1005528095</v>
      </c>
      <c r="L3370">
        <v>306984542</v>
      </c>
      <c r="M3370">
        <v>360439039</v>
      </c>
      <c r="N3370">
        <v>442264794</v>
      </c>
      <c r="O3370">
        <v>496956290</v>
      </c>
      <c r="P3370">
        <v>202</v>
      </c>
      <c r="Q3370" t="s">
        <v>7084</v>
      </c>
    </row>
    <row r="3371" spans="1:17" x14ac:dyDescent="0.3">
      <c r="A3371" t="s">
        <v>4729</v>
      </c>
      <c r="B3371" t="str">
        <f>"002646"</f>
        <v>002646</v>
      </c>
      <c r="C3371" t="s">
        <v>7085</v>
      </c>
      <c r="D3371" t="s">
        <v>458</v>
      </c>
      <c r="F3371">
        <v>1054137859</v>
      </c>
      <c r="G3371">
        <v>763844856</v>
      </c>
      <c r="H3371">
        <v>1253725476</v>
      </c>
      <c r="I3371">
        <v>1348607495</v>
      </c>
      <c r="J3371">
        <v>1318361958</v>
      </c>
      <c r="K3371">
        <v>1437204845</v>
      </c>
      <c r="L3371">
        <v>1363735022</v>
      </c>
      <c r="M3371">
        <v>1355142078</v>
      </c>
      <c r="N3371">
        <v>1437727158</v>
      </c>
      <c r="O3371">
        <v>1196792231</v>
      </c>
      <c r="P3371">
        <v>254</v>
      </c>
      <c r="Q3371" t="s">
        <v>7086</v>
      </c>
    </row>
    <row r="3372" spans="1:17" x14ac:dyDescent="0.3">
      <c r="A3372" t="s">
        <v>4729</v>
      </c>
      <c r="B3372" t="str">
        <f>"002647"</f>
        <v>002647</v>
      </c>
      <c r="C3372" t="s">
        <v>7087</v>
      </c>
      <c r="D3372" t="s">
        <v>6424</v>
      </c>
      <c r="F3372">
        <v>1728120816</v>
      </c>
      <c r="G3372">
        <v>2130285588</v>
      </c>
      <c r="H3372">
        <v>1830818308</v>
      </c>
      <c r="I3372">
        <v>1485929981</v>
      </c>
      <c r="J3372">
        <v>953473662</v>
      </c>
      <c r="K3372">
        <v>2642543363</v>
      </c>
      <c r="L3372">
        <v>4455077432</v>
      </c>
      <c r="M3372">
        <v>4634458799</v>
      </c>
      <c r="N3372">
        <v>3721023385</v>
      </c>
      <c r="O3372">
        <v>3759884468</v>
      </c>
      <c r="P3372">
        <v>180</v>
      </c>
      <c r="Q3372" t="s">
        <v>7088</v>
      </c>
    </row>
    <row r="3373" spans="1:17" x14ac:dyDescent="0.3">
      <c r="A3373" t="s">
        <v>4729</v>
      </c>
      <c r="B3373" t="str">
        <f>"002648"</f>
        <v>002648</v>
      </c>
      <c r="C3373" t="s">
        <v>7089</v>
      </c>
      <c r="D3373" t="s">
        <v>386</v>
      </c>
      <c r="F3373">
        <v>28557039117</v>
      </c>
      <c r="G3373">
        <v>10772547694</v>
      </c>
      <c r="H3373">
        <v>10778665239</v>
      </c>
      <c r="I3373">
        <v>10029299151</v>
      </c>
      <c r="J3373">
        <v>8187918615</v>
      </c>
      <c r="K3373">
        <v>5354641996</v>
      </c>
      <c r="L3373">
        <v>4187340617</v>
      </c>
      <c r="M3373">
        <v>4305768114</v>
      </c>
      <c r="N3373">
        <v>3316006594</v>
      </c>
      <c r="O3373">
        <v>3162032641</v>
      </c>
      <c r="P3373">
        <v>526</v>
      </c>
      <c r="Q3373" t="s">
        <v>7090</v>
      </c>
    </row>
    <row r="3374" spans="1:17" x14ac:dyDescent="0.3">
      <c r="A3374" t="s">
        <v>4729</v>
      </c>
      <c r="B3374" t="str">
        <f>"002649"</f>
        <v>002649</v>
      </c>
      <c r="C3374" t="s">
        <v>7091</v>
      </c>
      <c r="D3374" t="s">
        <v>316</v>
      </c>
      <c r="F3374">
        <v>5532448754</v>
      </c>
      <c r="G3374">
        <v>4309968361</v>
      </c>
      <c r="H3374">
        <v>3687645967</v>
      </c>
      <c r="I3374">
        <v>2882963213</v>
      </c>
      <c r="J3374">
        <v>2250498130</v>
      </c>
      <c r="K3374">
        <v>1933996051</v>
      </c>
      <c r="L3374">
        <v>1718089183</v>
      </c>
      <c r="M3374">
        <v>1561463305</v>
      </c>
      <c r="N3374">
        <v>1328834325</v>
      </c>
      <c r="O3374">
        <v>814852918</v>
      </c>
      <c r="P3374">
        <v>275</v>
      </c>
      <c r="Q3374" t="s">
        <v>7092</v>
      </c>
    </row>
    <row r="3375" spans="1:17" x14ac:dyDescent="0.3">
      <c r="A3375" t="s">
        <v>4729</v>
      </c>
      <c r="B3375" t="str">
        <f>"002650"</f>
        <v>002650</v>
      </c>
      <c r="C3375" t="s">
        <v>7093</v>
      </c>
      <c r="D3375" t="s">
        <v>433</v>
      </c>
      <c r="F3375">
        <v>1754683993</v>
      </c>
      <c r="G3375">
        <v>2072648552</v>
      </c>
      <c r="H3375">
        <v>2039752817</v>
      </c>
      <c r="I3375">
        <v>1788414098</v>
      </c>
      <c r="J3375">
        <v>1891213643</v>
      </c>
      <c r="K3375">
        <v>1886682975</v>
      </c>
      <c r="L3375">
        <v>1755008748</v>
      </c>
      <c r="M3375">
        <v>1684750621</v>
      </c>
      <c r="N3375">
        <v>1678021569</v>
      </c>
      <c r="O3375">
        <v>1656562526</v>
      </c>
      <c r="P3375">
        <v>207</v>
      </c>
      <c r="Q3375" t="s">
        <v>7094</v>
      </c>
    </row>
    <row r="3376" spans="1:17" x14ac:dyDescent="0.3">
      <c r="A3376" t="s">
        <v>4729</v>
      </c>
      <c r="B3376" t="str">
        <f>"002651"</f>
        <v>002651</v>
      </c>
      <c r="C3376" t="s">
        <v>7095</v>
      </c>
      <c r="D3376" t="s">
        <v>395</v>
      </c>
      <c r="F3376">
        <v>958943889</v>
      </c>
      <c r="G3376">
        <v>818935856</v>
      </c>
      <c r="H3376">
        <v>687836952</v>
      </c>
      <c r="I3376">
        <v>516603883</v>
      </c>
      <c r="J3376">
        <v>525597212</v>
      </c>
      <c r="K3376">
        <v>462377768</v>
      </c>
      <c r="L3376">
        <v>573580577</v>
      </c>
      <c r="M3376">
        <v>739760320</v>
      </c>
      <c r="N3376">
        <v>883700751</v>
      </c>
      <c r="O3376">
        <v>804468245</v>
      </c>
      <c r="P3376">
        <v>121</v>
      </c>
      <c r="Q3376" t="s">
        <v>7096</v>
      </c>
    </row>
    <row r="3377" spans="1:17" x14ac:dyDescent="0.3">
      <c r="A3377" t="s">
        <v>4729</v>
      </c>
      <c r="B3377" t="str">
        <f>"002652"</f>
        <v>002652</v>
      </c>
      <c r="C3377" t="s">
        <v>7097</v>
      </c>
      <c r="D3377" t="s">
        <v>722</v>
      </c>
      <c r="F3377">
        <v>656664779</v>
      </c>
      <c r="G3377">
        <v>1267985888</v>
      </c>
      <c r="H3377">
        <v>2195365436</v>
      </c>
      <c r="I3377">
        <v>2740464709</v>
      </c>
      <c r="J3377">
        <v>2609151370</v>
      </c>
      <c r="K3377">
        <v>1891982607</v>
      </c>
      <c r="L3377">
        <v>1450997683</v>
      </c>
      <c r="M3377">
        <v>1379652399</v>
      </c>
      <c r="N3377">
        <v>1476669776</v>
      </c>
      <c r="O3377">
        <v>1344967681</v>
      </c>
      <c r="P3377">
        <v>58</v>
      </c>
      <c r="Q3377" t="s">
        <v>7098</v>
      </c>
    </row>
    <row r="3378" spans="1:17" x14ac:dyDescent="0.3">
      <c r="A3378" t="s">
        <v>4729</v>
      </c>
      <c r="B3378" t="str">
        <f>"002653"</f>
        <v>002653</v>
      </c>
      <c r="C3378" t="s">
        <v>7099</v>
      </c>
      <c r="D3378" t="s">
        <v>143</v>
      </c>
      <c r="F3378">
        <v>2773314885</v>
      </c>
      <c r="G3378">
        <v>3329599575</v>
      </c>
      <c r="H3378">
        <v>3937340462</v>
      </c>
      <c r="I3378">
        <v>3426664259</v>
      </c>
      <c r="J3378">
        <v>1856160925</v>
      </c>
      <c r="K3378">
        <v>1435606587</v>
      </c>
      <c r="L3378">
        <v>1212453344</v>
      </c>
      <c r="M3378">
        <v>1210595384</v>
      </c>
      <c r="N3378">
        <v>992337302</v>
      </c>
      <c r="O3378">
        <v>802069348</v>
      </c>
      <c r="P3378">
        <v>549</v>
      </c>
      <c r="Q3378" t="s">
        <v>7100</v>
      </c>
    </row>
    <row r="3379" spans="1:17" x14ac:dyDescent="0.3">
      <c r="A3379" t="s">
        <v>4729</v>
      </c>
      <c r="B3379" t="str">
        <f>"002654"</f>
        <v>002654</v>
      </c>
      <c r="C3379" t="s">
        <v>7101</v>
      </c>
      <c r="D3379" t="s">
        <v>803</v>
      </c>
      <c r="F3379">
        <v>4411183023</v>
      </c>
      <c r="G3379">
        <v>4159816486</v>
      </c>
      <c r="H3379">
        <v>4179774407</v>
      </c>
      <c r="I3379">
        <v>4577024137</v>
      </c>
      <c r="J3379">
        <v>3042131797</v>
      </c>
      <c r="K3379">
        <v>1570174998</v>
      </c>
      <c r="L3379">
        <v>839010235</v>
      </c>
      <c r="M3379">
        <v>523260024</v>
      </c>
      <c r="N3379">
        <v>436386461</v>
      </c>
      <c r="O3379">
        <v>388506524</v>
      </c>
      <c r="P3379">
        <v>124</v>
      </c>
      <c r="Q3379" t="s">
        <v>7102</v>
      </c>
    </row>
    <row r="3380" spans="1:17" x14ac:dyDescent="0.3">
      <c r="A3380" t="s">
        <v>4729</v>
      </c>
      <c r="B3380" t="str">
        <f>"002655"</f>
        <v>002655</v>
      </c>
      <c r="C3380" t="s">
        <v>7103</v>
      </c>
      <c r="D3380" t="s">
        <v>313</v>
      </c>
      <c r="F3380">
        <v>936756206</v>
      </c>
      <c r="G3380">
        <v>1180095858</v>
      </c>
      <c r="H3380">
        <v>984325864</v>
      </c>
      <c r="I3380">
        <v>804765587</v>
      </c>
      <c r="J3380">
        <v>786940123</v>
      </c>
      <c r="K3380">
        <v>716028565</v>
      </c>
      <c r="L3380">
        <v>705260903</v>
      </c>
      <c r="M3380">
        <v>653623608</v>
      </c>
      <c r="N3380">
        <v>507049283</v>
      </c>
      <c r="O3380">
        <v>421549389</v>
      </c>
      <c r="P3380">
        <v>230</v>
      </c>
      <c r="Q3380" t="s">
        <v>7104</v>
      </c>
    </row>
    <row r="3381" spans="1:17" x14ac:dyDescent="0.3">
      <c r="A3381" t="s">
        <v>4729</v>
      </c>
      <c r="B3381" t="str">
        <f>"002656"</f>
        <v>002656</v>
      </c>
      <c r="C3381" t="s">
        <v>7105</v>
      </c>
      <c r="D3381" t="s">
        <v>255</v>
      </c>
      <c r="F3381">
        <v>385225444</v>
      </c>
      <c r="G3381">
        <v>511949377</v>
      </c>
      <c r="H3381">
        <v>1371741033</v>
      </c>
      <c r="I3381">
        <v>1568074899</v>
      </c>
      <c r="J3381">
        <v>923454198</v>
      </c>
      <c r="K3381">
        <v>754169101</v>
      </c>
      <c r="L3381">
        <v>724237204</v>
      </c>
      <c r="M3381">
        <v>699920278</v>
      </c>
      <c r="N3381">
        <v>799091591</v>
      </c>
      <c r="O3381">
        <v>636170319</v>
      </c>
      <c r="P3381">
        <v>62</v>
      </c>
      <c r="Q3381" t="s">
        <v>7106</v>
      </c>
    </row>
    <row r="3382" spans="1:17" x14ac:dyDescent="0.3">
      <c r="A3382" t="s">
        <v>4729</v>
      </c>
      <c r="B3382" t="str">
        <f>"002657"</f>
        <v>002657</v>
      </c>
      <c r="C3382" t="s">
        <v>7107</v>
      </c>
      <c r="D3382" t="s">
        <v>316</v>
      </c>
      <c r="F3382">
        <v>1606094997</v>
      </c>
      <c r="G3382">
        <v>1758402677</v>
      </c>
      <c r="H3382">
        <v>1672394416</v>
      </c>
      <c r="I3382">
        <v>1485625294</v>
      </c>
      <c r="J3382">
        <v>1226017672</v>
      </c>
      <c r="K3382">
        <v>1380123899</v>
      </c>
      <c r="L3382">
        <v>1327554357</v>
      </c>
      <c r="M3382">
        <v>1098367226</v>
      </c>
      <c r="N3382">
        <v>1022822674</v>
      </c>
      <c r="O3382">
        <v>521676657</v>
      </c>
      <c r="P3382">
        <v>154</v>
      </c>
      <c r="Q3382" t="s">
        <v>7108</v>
      </c>
    </row>
    <row r="3383" spans="1:17" x14ac:dyDescent="0.3">
      <c r="A3383" t="s">
        <v>4729</v>
      </c>
      <c r="B3383" t="str">
        <f>"002658"</f>
        <v>002658</v>
      </c>
      <c r="C3383" t="s">
        <v>7109</v>
      </c>
      <c r="D3383" t="s">
        <v>1070</v>
      </c>
      <c r="F3383">
        <v>1380912182</v>
      </c>
      <c r="G3383">
        <v>1212795137</v>
      </c>
      <c r="H3383">
        <v>1243286319</v>
      </c>
      <c r="I3383">
        <v>1288792376</v>
      </c>
      <c r="J3383">
        <v>1084248536</v>
      </c>
      <c r="K3383">
        <v>998118989</v>
      </c>
      <c r="L3383">
        <v>1002354744</v>
      </c>
      <c r="M3383">
        <v>741430342</v>
      </c>
      <c r="N3383">
        <v>588997388</v>
      </c>
      <c r="O3383">
        <v>378522108</v>
      </c>
      <c r="P3383">
        <v>231</v>
      </c>
      <c r="Q3383" t="s">
        <v>7110</v>
      </c>
    </row>
    <row r="3384" spans="1:17" x14ac:dyDescent="0.3">
      <c r="A3384" t="s">
        <v>4729</v>
      </c>
      <c r="B3384" t="str">
        <f>"002659"</f>
        <v>002659</v>
      </c>
      <c r="C3384" t="s">
        <v>7111</v>
      </c>
      <c r="D3384" t="s">
        <v>1781</v>
      </c>
      <c r="F3384">
        <v>284301792</v>
      </c>
      <c r="G3384">
        <v>321022306</v>
      </c>
      <c r="H3384">
        <v>794733847</v>
      </c>
      <c r="I3384">
        <v>241794254</v>
      </c>
      <c r="J3384">
        <v>620212285</v>
      </c>
      <c r="K3384">
        <v>323741899</v>
      </c>
      <c r="L3384">
        <v>763349954</v>
      </c>
      <c r="M3384">
        <v>832787008</v>
      </c>
      <c r="N3384">
        <v>665505904</v>
      </c>
      <c r="O3384">
        <v>760448867</v>
      </c>
      <c r="P3384">
        <v>96</v>
      </c>
      <c r="Q3384" t="s">
        <v>7112</v>
      </c>
    </row>
    <row r="3385" spans="1:17" x14ac:dyDescent="0.3">
      <c r="A3385" t="s">
        <v>4729</v>
      </c>
      <c r="B3385" t="str">
        <f>"002660"</f>
        <v>002660</v>
      </c>
      <c r="C3385" t="s">
        <v>7113</v>
      </c>
      <c r="D3385" t="s">
        <v>313</v>
      </c>
      <c r="F3385">
        <v>1625883692</v>
      </c>
      <c r="G3385">
        <v>1234958707</v>
      </c>
      <c r="H3385">
        <v>1247847110</v>
      </c>
      <c r="I3385">
        <v>1337775109</v>
      </c>
      <c r="J3385">
        <v>1652076282</v>
      </c>
      <c r="K3385">
        <v>1292958187</v>
      </c>
      <c r="L3385">
        <v>922185557</v>
      </c>
      <c r="M3385">
        <v>628224568</v>
      </c>
      <c r="N3385">
        <v>606756517</v>
      </c>
      <c r="O3385">
        <v>550030673</v>
      </c>
      <c r="P3385">
        <v>122</v>
      </c>
      <c r="Q3385" t="s">
        <v>7114</v>
      </c>
    </row>
    <row r="3386" spans="1:17" x14ac:dyDescent="0.3">
      <c r="A3386" t="s">
        <v>4729</v>
      </c>
      <c r="B3386" t="str">
        <f>"002661"</f>
        <v>002661</v>
      </c>
      <c r="C3386" t="s">
        <v>7115</v>
      </c>
      <c r="D3386" t="s">
        <v>445</v>
      </c>
      <c r="F3386">
        <v>4326648257</v>
      </c>
      <c r="G3386">
        <v>3957752136</v>
      </c>
      <c r="H3386">
        <v>3033973309</v>
      </c>
      <c r="I3386">
        <v>2856262934</v>
      </c>
      <c r="J3386">
        <v>2269383065</v>
      </c>
      <c r="K3386">
        <v>2163521573</v>
      </c>
      <c r="L3386">
        <v>1823524462</v>
      </c>
      <c r="M3386">
        <v>1527098687</v>
      </c>
      <c r="N3386">
        <v>1224769367</v>
      </c>
      <c r="O3386">
        <v>1002241908</v>
      </c>
      <c r="P3386">
        <v>511</v>
      </c>
      <c r="Q3386" t="s">
        <v>7116</v>
      </c>
    </row>
    <row r="3387" spans="1:17" x14ac:dyDescent="0.3">
      <c r="A3387" t="s">
        <v>4729</v>
      </c>
      <c r="B3387" t="str">
        <f>"002662"</f>
        <v>002662</v>
      </c>
      <c r="C3387" t="s">
        <v>7117</v>
      </c>
      <c r="D3387" t="s">
        <v>191</v>
      </c>
      <c r="F3387">
        <v>3508914273</v>
      </c>
      <c r="G3387">
        <v>3754078111</v>
      </c>
      <c r="H3387">
        <v>3630292929</v>
      </c>
      <c r="I3387">
        <v>5410970481</v>
      </c>
      <c r="J3387">
        <v>5688240059</v>
      </c>
      <c r="K3387">
        <v>4812328300</v>
      </c>
      <c r="L3387">
        <v>3615880558</v>
      </c>
      <c r="M3387">
        <v>2447355084</v>
      </c>
      <c r="N3387">
        <v>1799186649</v>
      </c>
      <c r="O3387">
        <v>1659993579</v>
      </c>
      <c r="P3387">
        <v>140</v>
      </c>
      <c r="Q3387" t="s">
        <v>7118</v>
      </c>
    </row>
    <row r="3388" spans="1:17" x14ac:dyDescent="0.3">
      <c r="A3388" t="s">
        <v>4729</v>
      </c>
      <c r="B3388" t="str">
        <f>"002663"</f>
        <v>002663</v>
      </c>
      <c r="C3388" t="s">
        <v>7119</v>
      </c>
      <c r="D3388" t="s">
        <v>2417</v>
      </c>
      <c r="F3388">
        <v>2796506857</v>
      </c>
      <c r="G3388">
        <v>2541479438</v>
      </c>
      <c r="H3388">
        <v>3090611048</v>
      </c>
      <c r="I3388">
        <v>3805568990</v>
      </c>
      <c r="J3388">
        <v>3576139461</v>
      </c>
      <c r="K3388">
        <v>2718530816</v>
      </c>
      <c r="L3388">
        <v>2432631636</v>
      </c>
      <c r="M3388">
        <v>3160862678</v>
      </c>
      <c r="N3388">
        <v>2393430329</v>
      </c>
      <c r="O3388">
        <v>1850812390</v>
      </c>
      <c r="P3388">
        <v>95</v>
      </c>
      <c r="Q3388" t="s">
        <v>7120</v>
      </c>
    </row>
    <row r="3389" spans="1:17" x14ac:dyDescent="0.3">
      <c r="A3389" t="s">
        <v>4729</v>
      </c>
      <c r="B3389" t="str">
        <f>"002664"</f>
        <v>002664</v>
      </c>
      <c r="C3389" t="s">
        <v>7121</v>
      </c>
      <c r="D3389" t="s">
        <v>1415</v>
      </c>
      <c r="F3389">
        <v>3355637393</v>
      </c>
      <c r="G3389">
        <v>2878287719</v>
      </c>
      <c r="H3389">
        <v>2971970129</v>
      </c>
      <c r="I3389">
        <v>2630796841</v>
      </c>
      <c r="J3389">
        <v>2418681635</v>
      </c>
      <c r="K3389">
        <v>1779571808</v>
      </c>
      <c r="L3389">
        <v>1508324941</v>
      </c>
      <c r="M3389">
        <v>1553625145</v>
      </c>
      <c r="N3389">
        <v>1325337634</v>
      </c>
      <c r="O3389">
        <v>985320008</v>
      </c>
      <c r="P3389">
        <v>232</v>
      </c>
      <c r="Q3389" t="s">
        <v>7122</v>
      </c>
    </row>
    <row r="3390" spans="1:17" x14ac:dyDescent="0.3">
      <c r="A3390" t="s">
        <v>4729</v>
      </c>
      <c r="B3390" t="str">
        <f>"002665"</f>
        <v>002665</v>
      </c>
      <c r="C3390" t="s">
        <v>7123</v>
      </c>
      <c r="D3390" t="s">
        <v>880</v>
      </c>
      <c r="F3390">
        <v>718536068</v>
      </c>
      <c r="G3390">
        <v>440530501</v>
      </c>
      <c r="H3390">
        <v>744084663</v>
      </c>
      <c r="I3390">
        <v>575028137</v>
      </c>
      <c r="J3390">
        <v>1332403042</v>
      </c>
      <c r="K3390">
        <v>894964592</v>
      </c>
      <c r="L3390">
        <v>1133777606</v>
      </c>
      <c r="M3390">
        <v>1116015059</v>
      </c>
      <c r="N3390">
        <v>975650646</v>
      </c>
      <c r="O3390">
        <v>1193145888</v>
      </c>
      <c r="P3390">
        <v>208</v>
      </c>
      <c r="Q3390" t="s">
        <v>7124</v>
      </c>
    </row>
    <row r="3391" spans="1:17" x14ac:dyDescent="0.3">
      <c r="A3391" t="s">
        <v>4729</v>
      </c>
      <c r="B3391" t="str">
        <f>"002666"</f>
        <v>002666</v>
      </c>
      <c r="C3391" t="s">
        <v>7125</v>
      </c>
      <c r="D3391" t="s">
        <v>386</v>
      </c>
      <c r="F3391">
        <v>5192893100</v>
      </c>
      <c r="G3391">
        <v>4467762291</v>
      </c>
      <c r="H3391">
        <v>3850912776</v>
      </c>
      <c r="I3391">
        <v>3729235607</v>
      </c>
      <c r="J3391">
        <v>3145194889</v>
      </c>
      <c r="K3391">
        <v>2370560030</v>
      </c>
      <c r="L3391">
        <v>1980200772</v>
      </c>
      <c r="M3391">
        <v>1722518404</v>
      </c>
      <c r="N3391">
        <v>1630287850</v>
      </c>
      <c r="O3391">
        <v>1334584199</v>
      </c>
      <c r="P3391">
        <v>110</v>
      </c>
      <c r="Q3391" t="s">
        <v>7126</v>
      </c>
    </row>
    <row r="3392" spans="1:17" x14ac:dyDescent="0.3">
      <c r="A3392" t="s">
        <v>4729</v>
      </c>
      <c r="B3392" t="str">
        <f>"002667"</f>
        <v>002667</v>
      </c>
      <c r="C3392" t="s">
        <v>7127</v>
      </c>
      <c r="D3392" t="s">
        <v>395</v>
      </c>
      <c r="F3392">
        <v>228967184</v>
      </c>
      <c r="G3392">
        <v>290153381</v>
      </c>
      <c r="H3392">
        <v>222151306</v>
      </c>
      <c r="I3392">
        <v>184999686</v>
      </c>
      <c r="J3392">
        <v>180466522</v>
      </c>
      <c r="K3392">
        <v>90993624</v>
      </c>
      <c r="L3392">
        <v>161574436</v>
      </c>
      <c r="M3392">
        <v>234388379</v>
      </c>
      <c r="N3392">
        <v>237505108</v>
      </c>
      <c r="O3392">
        <v>257508755</v>
      </c>
      <c r="P3392">
        <v>73</v>
      </c>
      <c r="Q3392" t="s">
        <v>7128</v>
      </c>
    </row>
    <row r="3393" spans="1:17" x14ac:dyDescent="0.3">
      <c r="A3393" t="s">
        <v>4729</v>
      </c>
      <c r="B3393" t="str">
        <f>"002668"</f>
        <v>002668</v>
      </c>
      <c r="C3393" t="s">
        <v>7129</v>
      </c>
      <c r="D3393" t="s">
        <v>754</v>
      </c>
      <c r="F3393">
        <v>10122102090</v>
      </c>
      <c r="G3393">
        <v>8345133628</v>
      </c>
      <c r="H3393">
        <v>7392507541</v>
      </c>
      <c r="I3393">
        <v>7802880744</v>
      </c>
      <c r="J3393">
        <v>6964354630</v>
      </c>
      <c r="K3393">
        <v>5041417186</v>
      </c>
      <c r="L3393">
        <v>4702429602</v>
      </c>
      <c r="M3393">
        <v>4461013038</v>
      </c>
      <c r="N3393">
        <v>4257197258</v>
      </c>
      <c r="O3393">
        <v>3456615620</v>
      </c>
      <c r="P3393">
        <v>204</v>
      </c>
      <c r="Q3393" t="s">
        <v>7130</v>
      </c>
    </row>
    <row r="3394" spans="1:17" x14ac:dyDescent="0.3">
      <c r="A3394" t="s">
        <v>4729</v>
      </c>
      <c r="B3394" t="str">
        <f>"002669"</f>
        <v>002669</v>
      </c>
      <c r="C3394" t="s">
        <v>7131</v>
      </c>
      <c r="D3394" t="s">
        <v>3170</v>
      </c>
      <c r="F3394">
        <v>2271612977</v>
      </c>
      <c r="G3394">
        <v>1932135500</v>
      </c>
      <c r="H3394">
        <v>1066074423</v>
      </c>
      <c r="I3394">
        <v>928325800</v>
      </c>
      <c r="J3394">
        <v>549962319</v>
      </c>
      <c r="K3394">
        <v>594047408</v>
      </c>
      <c r="L3394">
        <v>726980467</v>
      </c>
      <c r="M3394">
        <v>527189723</v>
      </c>
      <c r="N3394">
        <v>321117099</v>
      </c>
      <c r="O3394">
        <v>246922164</v>
      </c>
      <c r="P3394">
        <v>138</v>
      </c>
      <c r="Q3394" t="s">
        <v>7132</v>
      </c>
    </row>
    <row r="3395" spans="1:17" x14ac:dyDescent="0.3">
      <c r="A3395" t="s">
        <v>4729</v>
      </c>
      <c r="B3395" t="str">
        <f>"002670"</f>
        <v>002670</v>
      </c>
      <c r="C3395" t="s">
        <v>7133</v>
      </c>
      <c r="D3395" t="s">
        <v>80</v>
      </c>
      <c r="F3395">
        <v>525617</v>
      </c>
      <c r="G3395">
        <v>4497055</v>
      </c>
      <c r="H3395">
        <v>1350576</v>
      </c>
      <c r="I3395">
        <v>1855201</v>
      </c>
      <c r="J3395">
        <v>636393841</v>
      </c>
      <c r="K3395">
        <v>823254692</v>
      </c>
      <c r="L3395">
        <v>1049493193</v>
      </c>
      <c r="M3395">
        <v>1497070161</v>
      </c>
      <c r="N3395">
        <v>1486881930</v>
      </c>
      <c r="O3395">
        <v>1274355669</v>
      </c>
      <c r="P3395">
        <v>580</v>
      </c>
      <c r="Q3395" t="s">
        <v>7134</v>
      </c>
    </row>
    <row r="3396" spans="1:17" x14ac:dyDescent="0.3">
      <c r="A3396" t="s">
        <v>4729</v>
      </c>
      <c r="B3396" t="str">
        <f>"002671"</f>
        <v>002671</v>
      </c>
      <c r="C3396" t="s">
        <v>7135</v>
      </c>
      <c r="D3396" t="s">
        <v>3098</v>
      </c>
      <c r="F3396">
        <v>1375875518</v>
      </c>
      <c r="G3396">
        <v>836771455</v>
      </c>
      <c r="H3396">
        <v>1118070926</v>
      </c>
      <c r="I3396">
        <v>1012054469</v>
      </c>
      <c r="J3396">
        <v>976867819</v>
      </c>
      <c r="K3396">
        <v>791673534</v>
      </c>
      <c r="L3396">
        <v>491780580</v>
      </c>
      <c r="M3396">
        <v>1294644568</v>
      </c>
      <c r="N3396">
        <v>938503266</v>
      </c>
      <c r="O3396">
        <v>614569764</v>
      </c>
      <c r="P3396">
        <v>68</v>
      </c>
      <c r="Q3396" t="s">
        <v>7136</v>
      </c>
    </row>
    <row r="3397" spans="1:17" x14ac:dyDescent="0.3">
      <c r="A3397" t="s">
        <v>4729</v>
      </c>
      <c r="B3397" t="str">
        <f>"002672"</f>
        <v>002672</v>
      </c>
      <c r="C3397" t="s">
        <v>7137</v>
      </c>
      <c r="D3397" t="s">
        <v>499</v>
      </c>
      <c r="F3397">
        <v>4015230392</v>
      </c>
      <c r="G3397">
        <v>3315021211</v>
      </c>
      <c r="H3397">
        <v>3458591061</v>
      </c>
      <c r="I3397">
        <v>3284080652</v>
      </c>
      <c r="J3397">
        <v>3099658647</v>
      </c>
      <c r="K3397">
        <v>2617076763</v>
      </c>
      <c r="L3397">
        <v>2402986382</v>
      </c>
      <c r="M3397">
        <v>2047511528</v>
      </c>
      <c r="N3397">
        <v>1582936364</v>
      </c>
      <c r="O3397">
        <v>1521517728</v>
      </c>
      <c r="P3397">
        <v>317</v>
      </c>
      <c r="Q3397" t="s">
        <v>7138</v>
      </c>
    </row>
    <row r="3398" spans="1:17" x14ac:dyDescent="0.3">
      <c r="A3398" t="s">
        <v>4729</v>
      </c>
      <c r="B3398" t="str">
        <f>"002673"</f>
        <v>002673</v>
      </c>
      <c r="C3398" t="s">
        <v>7139</v>
      </c>
      <c r="D3398" t="s">
        <v>80</v>
      </c>
      <c r="F3398">
        <v>6751022664</v>
      </c>
      <c r="G3398">
        <v>5184163900</v>
      </c>
      <c r="H3398">
        <v>3680544587</v>
      </c>
      <c r="I3398">
        <v>2237341729</v>
      </c>
      <c r="J3398">
        <v>3169944962</v>
      </c>
      <c r="K3398">
        <v>3406329332</v>
      </c>
      <c r="L3398">
        <v>5640878792</v>
      </c>
      <c r="M3398">
        <v>1938470481</v>
      </c>
      <c r="N3398">
        <v>1128672299</v>
      </c>
      <c r="O3398">
        <v>792940460</v>
      </c>
      <c r="P3398">
        <v>1135</v>
      </c>
      <c r="Q3398" t="s">
        <v>7140</v>
      </c>
    </row>
    <row r="3399" spans="1:17" x14ac:dyDescent="0.3">
      <c r="A3399" t="s">
        <v>4729</v>
      </c>
      <c r="B3399" t="str">
        <f>"002674"</f>
        <v>002674</v>
      </c>
      <c r="C3399" t="s">
        <v>7141</v>
      </c>
      <c r="D3399" t="s">
        <v>2956</v>
      </c>
      <c r="F3399">
        <v>1726346977</v>
      </c>
      <c r="G3399">
        <v>1460440505</v>
      </c>
      <c r="H3399">
        <v>1587100991</v>
      </c>
      <c r="I3399">
        <v>1806797339</v>
      </c>
      <c r="J3399">
        <v>2112745711</v>
      </c>
      <c r="K3399">
        <v>2565857720</v>
      </c>
      <c r="L3399">
        <v>2358148642</v>
      </c>
      <c r="M3399">
        <v>2233905376</v>
      </c>
      <c r="N3399">
        <v>1780389446</v>
      </c>
      <c r="O3399">
        <v>1543406490</v>
      </c>
      <c r="P3399">
        <v>102</v>
      </c>
      <c r="Q3399" t="s">
        <v>7142</v>
      </c>
    </row>
    <row r="3400" spans="1:17" x14ac:dyDescent="0.3">
      <c r="A3400" t="s">
        <v>4729</v>
      </c>
      <c r="B3400" t="str">
        <f>"002675"</f>
        <v>002675</v>
      </c>
      <c r="C3400" t="s">
        <v>7143</v>
      </c>
      <c r="D3400" t="s">
        <v>143</v>
      </c>
      <c r="F3400">
        <v>3912049997</v>
      </c>
      <c r="G3400">
        <v>3418977549</v>
      </c>
      <c r="H3400">
        <v>2992761012</v>
      </c>
      <c r="I3400">
        <v>2332822938</v>
      </c>
      <c r="J3400">
        <v>1595601138</v>
      </c>
      <c r="K3400">
        <v>1158450737</v>
      </c>
      <c r="L3400">
        <v>794915779</v>
      </c>
      <c r="M3400">
        <v>751021851</v>
      </c>
      <c r="N3400">
        <v>774730022</v>
      </c>
      <c r="O3400">
        <v>587753814</v>
      </c>
      <c r="P3400">
        <v>365</v>
      </c>
      <c r="Q3400" t="s">
        <v>7144</v>
      </c>
    </row>
    <row r="3401" spans="1:17" x14ac:dyDescent="0.3">
      <c r="A3401" t="s">
        <v>4729</v>
      </c>
      <c r="B3401" t="str">
        <f>"002676"</f>
        <v>002676</v>
      </c>
      <c r="C3401" t="s">
        <v>7145</v>
      </c>
      <c r="D3401" t="s">
        <v>1253</v>
      </c>
      <c r="F3401">
        <v>2132731421</v>
      </c>
      <c r="G3401">
        <v>1728369950</v>
      </c>
      <c r="H3401">
        <v>1681931412</v>
      </c>
      <c r="I3401">
        <v>1618107240</v>
      </c>
      <c r="J3401">
        <v>1555408217</v>
      </c>
      <c r="K3401">
        <v>1299155022</v>
      </c>
      <c r="L3401">
        <v>1201514551</v>
      </c>
      <c r="M3401">
        <v>1484068990</v>
      </c>
      <c r="N3401">
        <v>1285157415</v>
      </c>
      <c r="O3401">
        <v>1095490560</v>
      </c>
      <c r="P3401">
        <v>87</v>
      </c>
      <c r="Q3401" t="s">
        <v>7146</v>
      </c>
    </row>
    <row r="3402" spans="1:17" x14ac:dyDescent="0.3">
      <c r="A3402" t="s">
        <v>4729</v>
      </c>
      <c r="B3402" t="str">
        <f>"002677"</f>
        <v>002677</v>
      </c>
      <c r="C3402" t="s">
        <v>7147</v>
      </c>
      <c r="D3402" t="s">
        <v>3707</v>
      </c>
      <c r="F3402">
        <v>2163712477</v>
      </c>
      <c r="G3402">
        <v>1770817768</v>
      </c>
      <c r="H3402">
        <v>1684475727</v>
      </c>
      <c r="I3402">
        <v>1400899590</v>
      </c>
      <c r="J3402">
        <v>1026358727</v>
      </c>
      <c r="K3402">
        <v>665683622</v>
      </c>
      <c r="L3402">
        <v>517877289</v>
      </c>
      <c r="M3402">
        <v>469607825</v>
      </c>
      <c r="N3402">
        <v>390853971</v>
      </c>
      <c r="O3402">
        <v>362028227</v>
      </c>
      <c r="P3402">
        <v>4532</v>
      </c>
      <c r="Q3402" t="s">
        <v>7148</v>
      </c>
    </row>
    <row r="3403" spans="1:17" x14ac:dyDescent="0.3">
      <c r="A3403" t="s">
        <v>4729</v>
      </c>
      <c r="B3403" t="str">
        <f>"002678"</f>
        <v>002678</v>
      </c>
      <c r="C3403" t="s">
        <v>7149</v>
      </c>
      <c r="D3403" t="s">
        <v>2931</v>
      </c>
      <c r="F3403">
        <v>2020173465</v>
      </c>
      <c r="G3403">
        <v>1751896090</v>
      </c>
      <c r="H3403">
        <v>2053455952</v>
      </c>
      <c r="I3403">
        <v>1974560927</v>
      </c>
      <c r="J3403">
        <v>1790200423</v>
      </c>
      <c r="K3403">
        <v>1566191863</v>
      </c>
      <c r="L3403">
        <v>1469956197</v>
      </c>
      <c r="M3403">
        <v>1469317711</v>
      </c>
      <c r="N3403">
        <v>1421705879</v>
      </c>
      <c r="O3403">
        <v>1322853129</v>
      </c>
      <c r="P3403">
        <v>113</v>
      </c>
      <c r="Q3403" t="s">
        <v>7150</v>
      </c>
    </row>
    <row r="3404" spans="1:17" x14ac:dyDescent="0.3">
      <c r="A3404" t="s">
        <v>4729</v>
      </c>
      <c r="B3404" t="str">
        <f>"002679"</f>
        <v>002679</v>
      </c>
      <c r="C3404" t="s">
        <v>7151</v>
      </c>
      <c r="D3404" t="s">
        <v>603</v>
      </c>
      <c r="F3404">
        <v>189886507</v>
      </c>
      <c r="G3404">
        <v>148031923</v>
      </c>
      <c r="H3404">
        <v>128552233</v>
      </c>
      <c r="I3404">
        <v>168492923</v>
      </c>
      <c r="J3404">
        <v>174898145</v>
      </c>
      <c r="K3404">
        <v>137628739</v>
      </c>
      <c r="L3404">
        <v>198786733</v>
      </c>
      <c r="M3404">
        <v>190206400</v>
      </c>
      <c r="N3404">
        <v>174263657</v>
      </c>
      <c r="O3404">
        <v>155512807</v>
      </c>
      <c r="P3404">
        <v>95</v>
      </c>
      <c r="Q3404" t="s">
        <v>7152</v>
      </c>
    </row>
    <row r="3405" spans="1:17" x14ac:dyDescent="0.3">
      <c r="A3405" t="s">
        <v>4729</v>
      </c>
      <c r="B3405" t="str">
        <f>"002680"</f>
        <v>002680</v>
      </c>
      <c r="C3405" t="s">
        <v>7153</v>
      </c>
      <c r="J3405">
        <v>1553373907</v>
      </c>
      <c r="K3405">
        <v>1017909720</v>
      </c>
      <c r="L3405">
        <v>795515837</v>
      </c>
      <c r="M3405">
        <v>106943405</v>
      </c>
      <c r="N3405">
        <v>200333125</v>
      </c>
      <c r="O3405">
        <v>363697479</v>
      </c>
      <c r="P3405">
        <v>221</v>
      </c>
      <c r="Q3405" t="s">
        <v>7154</v>
      </c>
    </row>
    <row r="3406" spans="1:17" x14ac:dyDescent="0.3">
      <c r="A3406" t="s">
        <v>4729</v>
      </c>
      <c r="B3406" t="str">
        <f>"002681"</f>
        <v>002681</v>
      </c>
      <c r="C3406" t="s">
        <v>7155</v>
      </c>
      <c r="D3406" t="s">
        <v>313</v>
      </c>
      <c r="F3406">
        <v>4167849621</v>
      </c>
      <c r="G3406">
        <v>3537728683</v>
      </c>
      <c r="H3406">
        <v>3535639194</v>
      </c>
      <c r="I3406">
        <v>3352434678</v>
      </c>
      <c r="J3406">
        <v>3209860300</v>
      </c>
      <c r="K3406">
        <v>2103581995</v>
      </c>
      <c r="L3406">
        <v>1724494520</v>
      </c>
      <c r="M3406">
        <v>1080456779</v>
      </c>
      <c r="N3406">
        <v>1059205199</v>
      </c>
      <c r="O3406">
        <v>787183245</v>
      </c>
      <c r="P3406">
        <v>216</v>
      </c>
      <c r="Q3406" t="s">
        <v>7156</v>
      </c>
    </row>
    <row r="3407" spans="1:17" x14ac:dyDescent="0.3">
      <c r="A3407" t="s">
        <v>4729</v>
      </c>
      <c r="B3407" t="str">
        <f>"002682"</f>
        <v>002682</v>
      </c>
      <c r="C3407" t="s">
        <v>7157</v>
      </c>
      <c r="D3407" t="s">
        <v>2503</v>
      </c>
      <c r="F3407">
        <v>4967508160</v>
      </c>
      <c r="G3407">
        <v>3599933538</v>
      </c>
      <c r="H3407">
        <v>6062892052</v>
      </c>
      <c r="I3407">
        <v>6839425950</v>
      </c>
      <c r="J3407">
        <v>4750821263</v>
      </c>
      <c r="K3407">
        <v>2377638522</v>
      </c>
      <c r="L3407">
        <v>2461863716</v>
      </c>
      <c r="M3407">
        <v>2261745304</v>
      </c>
      <c r="N3407">
        <v>1977437744</v>
      </c>
      <c r="O3407">
        <v>1740023870</v>
      </c>
      <c r="P3407">
        <v>80</v>
      </c>
      <c r="Q3407" t="s">
        <v>7158</v>
      </c>
    </row>
    <row r="3408" spans="1:17" x14ac:dyDescent="0.3">
      <c r="A3408" t="s">
        <v>4729</v>
      </c>
      <c r="B3408" t="str">
        <f>"002683"</f>
        <v>002683</v>
      </c>
      <c r="C3408" t="s">
        <v>7159</v>
      </c>
      <c r="D3408" t="s">
        <v>2736</v>
      </c>
      <c r="F3408">
        <v>8526481342</v>
      </c>
      <c r="G3408">
        <v>6394858642</v>
      </c>
      <c r="H3408">
        <v>5902412006</v>
      </c>
      <c r="I3408">
        <v>4579900804</v>
      </c>
      <c r="J3408">
        <v>3985081606</v>
      </c>
      <c r="K3408">
        <v>3212128767</v>
      </c>
      <c r="L3408">
        <v>3005377954</v>
      </c>
      <c r="M3408">
        <v>3399487612</v>
      </c>
      <c r="N3408">
        <v>2954131047</v>
      </c>
      <c r="O3408">
        <v>1625489071</v>
      </c>
      <c r="P3408">
        <v>270</v>
      </c>
      <c r="Q3408" t="s">
        <v>7160</v>
      </c>
    </row>
    <row r="3409" spans="1:17" x14ac:dyDescent="0.3">
      <c r="A3409" t="s">
        <v>4729</v>
      </c>
      <c r="B3409" t="str">
        <f>"002684"</f>
        <v>002684</v>
      </c>
      <c r="C3409" t="s">
        <v>7161</v>
      </c>
      <c r="D3409" t="s">
        <v>2368</v>
      </c>
      <c r="F3409">
        <v>947106887</v>
      </c>
      <c r="G3409">
        <v>1093286873</v>
      </c>
      <c r="H3409">
        <v>1322724587</v>
      </c>
      <c r="I3409">
        <v>1100207475</v>
      </c>
      <c r="J3409">
        <v>3904985302</v>
      </c>
      <c r="K3409">
        <v>2033129340</v>
      </c>
      <c r="L3409">
        <v>550431124</v>
      </c>
      <c r="M3409">
        <v>488287063</v>
      </c>
      <c r="N3409">
        <v>288062045</v>
      </c>
      <c r="O3409">
        <v>484654170</v>
      </c>
      <c r="P3409">
        <v>91</v>
      </c>
      <c r="Q3409" t="s">
        <v>7162</v>
      </c>
    </row>
    <row r="3410" spans="1:17" x14ac:dyDescent="0.3">
      <c r="A3410" t="s">
        <v>4729</v>
      </c>
      <c r="B3410" t="str">
        <f>"002685"</f>
        <v>002685</v>
      </c>
      <c r="C3410" t="s">
        <v>7163</v>
      </c>
      <c r="D3410" t="s">
        <v>2321</v>
      </c>
      <c r="F3410">
        <v>7059272601</v>
      </c>
      <c r="G3410">
        <v>7634501324</v>
      </c>
      <c r="H3410">
        <v>13687189035</v>
      </c>
      <c r="I3410">
        <v>9947593999</v>
      </c>
      <c r="J3410">
        <v>5001881613</v>
      </c>
      <c r="K3410">
        <v>2140218733</v>
      </c>
      <c r="L3410">
        <v>1536458479</v>
      </c>
      <c r="M3410">
        <v>498777201</v>
      </c>
      <c r="N3410">
        <v>385479236</v>
      </c>
      <c r="O3410">
        <v>424573957</v>
      </c>
      <c r="P3410">
        <v>109</v>
      </c>
      <c r="Q3410" t="s">
        <v>7164</v>
      </c>
    </row>
    <row r="3411" spans="1:17" x14ac:dyDescent="0.3">
      <c r="A3411" t="s">
        <v>4729</v>
      </c>
      <c r="B3411" t="str">
        <f>"002686"</f>
        <v>002686</v>
      </c>
      <c r="C3411" t="s">
        <v>7165</v>
      </c>
      <c r="D3411" t="s">
        <v>988</v>
      </c>
      <c r="F3411">
        <v>1906437017</v>
      </c>
      <c r="G3411">
        <v>1484180850</v>
      </c>
      <c r="H3411">
        <v>1481215065</v>
      </c>
      <c r="I3411">
        <v>1511439970</v>
      </c>
      <c r="J3411">
        <v>1366513725</v>
      </c>
      <c r="K3411">
        <v>987038772</v>
      </c>
      <c r="L3411">
        <v>799809506</v>
      </c>
      <c r="M3411">
        <v>690217874</v>
      </c>
      <c r="N3411">
        <v>662806958</v>
      </c>
      <c r="O3411">
        <v>561086247</v>
      </c>
      <c r="P3411">
        <v>78</v>
      </c>
      <c r="Q3411" t="s">
        <v>7166</v>
      </c>
    </row>
    <row r="3412" spans="1:17" x14ac:dyDescent="0.3">
      <c r="A3412" t="s">
        <v>4729</v>
      </c>
      <c r="B3412" t="str">
        <f>"002687"</f>
        <v>002687</v>
      </c>
      <c r="C3412" t="s">
        <v>7167</v>
      </c>
      <c r="D3412" t="s">
        <v>255</v>
      </c>
      <c r="F3412">
        <v>1303657596</v>
      </c>
      <c r="G3412">
        <v>1088474341</v>
      </c>
      <c r="H3412">
        <v>1121067537</v>
      </c>
      <c r="I3412">
        <v>1004586587</v>
      </c>
      <c r="J3412">
        <v>786678992</v>
      </c>
      <c r="K3412">
        <v>702390539</v>
      </c>
      <c r="L3412">
        <v>671503506</v>
      </c>
      <c r="M3412">
        <v>658471283</v>
      </c>
      <c r="N3412">
        <v>582155899</v>
      </c>
      <c r="O3412">
        <v>640978467</v>
      </c>
      <c r="P3412">
        <v>127</v>
      </c>
      <c r="Q3412" t="s">
        <v>7168</v>
      </c>
    </row>
    <row r="3413" spans="1:17" x14ac:dyDescent="0.3">
      <c r="A3413" t="s">
        <v>4729</v>
      </c>
      <c r="B3413" t="str">
        <f>"002688"</f>
        <v>002688</v>
      </c>
      <c r="C3413" t="s">
        <v>7169</v>
      </c>
      <c r="D3413" t="s">
        <v>453</v>
      </c>
      <c r="F3413">
        <v>2077988730</v>
      </c>
      <c r="G3413">
        <v>1814638966</v>
      </c>
      <c r="H3413">
        <v>1782364082</v>
      </c>
      <c r="I3413">
        <v>1628890098</v>
      </c>
      <c r="J3413">
        <v>1457826360</v>
      </c>
      <c r="K3413">
        <v>1495686256</v>
      </c>
      <c r="L3413">
        <v>1250468534</v>
      </c>
      <c r="M3413">
        <v>839805807</v>
      </c>
      <c r="N3413">
        <v>741071199</v>
      </c>
      <c r="O3413">
        <v>770405139</v>
      </c>
      <c r="P3413">
        <v>167</v>
      </c>
      <c r="Q3413" t="s">
        <v>7170</v>
      </c>
    </row>
    <row r="3414" spans="1:17" x14ac:dyDescent="0.3">
      <c r="A3414" t="s">
        <v>4729</v>
      </c>
      <c r="B3414" t="str">
        <f>"002689"</f>
        <v>002689</v>
      </c>
      <c r="C3414" t="s">
        <v>7171</v>
      </c>
      <c r="D3414" t="s">
        <v>1691</v>
      </c>
      <c r="F3414">
        <v>969345687</v>
      </c>
      <c r="G3414">
        <v>915213968</v>
      </c>
      <c r="H3414">
        <v>809748619</v>
      </c>
      <c r="I3414">
        <v>1234810702</v>
      </c>
      <c r="J3414">
        <v>1179314586</v>
      </c>
      <c r="K3414">
        <v>1239718101</v>
      </c>
      <c r="L3414">
        <v>1593370137</v>
      </c>
      <c r="M3414">
        <v>1957990044</v>
      </c>
      <c r="N3414">
        <v>1652456137</v>
      </c>
      <c r="O3414">
        <v>1512176854</v>
      </c>
      <c r="P3414">
        <v>87</v>
      </c>
      <c r="Q3414" t="s">
        <v>7172</v>
      </c>
    </row>
    <row r="3415" spans="1:17" x14ac:dyDescent="0.3">
      <c r="A3415" t="s">
        <v>4729</v>
      </c>
      <c r="B3415" t="str">
        <f>"002690"</f>
        <v>002690</v>
      </c>
      <c r="C3415" t="s">
        <v>7173</v>
      </c>
      <c r="D3415" t="s">
        <v>741</v>
      </c>
      <c r="F3415">
        <v>1812878651</v>
      </c>
      <c r="G3415">
        <v>1495969217</v>
      </c>
      <c r="H3415">
        <v>1500778300</v>
      </c>
      <c r="I3415">
        <v>1239718223</v>
      </c>
      <c r="J3415">
        <v>1093940166</v>
      </c>
      <c r="K3415">
        <v>901173625</v>
      </c>
      <c r="L3415">
        <v>840910892</v>
      </c>
      <c r="M3415">
        <v>661175053</v>
      </c>
      <c r="N3415">
        <v>567554915</v>
      </c>
      <c r="O3415">
        <v>518122352</v>
      </c>
      <c r="P3415">
        <v>3630</v>
      </c>
      <c r="Q3415" t="s">
        <v>7174</v>
      </c>
    </row>
    <row r="3416" spans="1:17" x14ac:dyDescent="0.3">
      <c r="A3416" t="s">
        <v>4729</v>
      </c>
      <c r="B3416" t="str">
        <f>"002691"</f>
        <v>002691</v>
      </c>
      <c r="C3416" t="s">
        <v>7175</v>
      </c>
      <c r="D3416" t="s">
        <v>395</v>
      </c>
      <c r="F3416">
        <v>364908078</v>
      </c>
      <c r="G3416">
        <v>240867675</v>
      </c>
      <c r="H3416">
        <v>391269397</v>
      </c>
      <c r="I3416">
        <v>416629892</v>
      </c>
      <c r="J3416">
        <v>401862746</v>
      </c>
      <c r="K3416">
        <v>225093010</v>
      </c>
      <c r="L3416">
        <v>280100283</v>
      </c>
      <c r="M3416">
        <v>306753253</v>
      </c>
      <c r="N3416">
        <v>327909450</v>
      </c>
      <c r="O3416">
        <v>391578144</v>
      </c>
      <c r="P3416">
        <v>54</v>
      </c>
      <c r="Q3416" t="s">
        <v>7176</v>
      </c>
    </row>
    <row r="3417" spans="1:17" x14ac:dyDescent="0.3">
      <c r="A3417" t="s">
        <v>4729</v>
      </c>
      <c r="B3417" t="str">
        <f>"002692"</f>
        <v>002692</v>
      </c>
      <c r="C3417" t="s">
        <v>7177</v>
      </c>
      <c r="D3417" t="s">
        <v>1164</v>
      </c>
      <c r="F3417">
        <v>3001268960</v>
      </c>
      <c r="G3417">
        <v>2649773036</v>
      </c>
      <c r="H3417">
        <v>2792995485</v>
      </c>
      <c r="I3417">
        <v>3000003944</v>
      </c>
      <c r="J3417">
        <v>2572700903</v>
      </c>
      <c r="K3417">
        <v>2533087332</v>
      </c>
      <c r="L3417">
        <v>3052802103</v>
      </c>
      <c r="M3417">
        <v>2493806716</v>
      </c>
      <c r="N3417">
        <v>2718913240</v>
      </c>
      <c r="O3417">
        <v>2296507016</v>
      </c>
      <c r="P3417">
        <v>53</v>
      </c>
      <c r="Q3417" t="s">
        <v>7178</v>
      </c>
    </row>
    <row r="3418" spans="1:17" x14ac:dyDescent="0.3">
      <c r="A3418" t="s">
        <v>4729</v>
      </c>
      <c r="B3418" t="str">
        <f>"002693"</f>
        <v>002693</v>
      </c>
      <c r="C3418" t="s">
        <v>7179</v>
      </c>
      <c r="D3418" t="s">
        <v>1379</v>
      </c>
      <c r="F3418">
        <v>320293515</v>
      </c>
      <c r="G3418">
        <v>269441763</v>
      </c>
      <c r="H3418">
        <v>346648799</v>
      </c>
      <c r="I3418">
        <v>337242775</v>
      </c>
      <c r="J3418">
        <v>246769506</v>
      </c>
      <c r="K3418">
        <v>145135788</v>
      </c>
      <c r="L3418">
        <v>230970367</v>
      </c>
      <c r="M3418">
        <v>161197723</v>
      </c>
      <c r="N3418">
        <v>149604616</v>
      </c>
      <c r="O3418">
        <v>129664062</v>
      </c>
      <c r="P3418">
        <v>95</v>
      </c>
      <c r="Q3418" t="s">
        <v>7180</v>
      </c>
    </row>
    <row r="3419" spans="1:17" x14ac:dyDescent="0.3">
      <c r="A3419" t="s">
        <v>4729</v>
      </c>
      <c r="B3419" t="str">
        <f>"002694"</f>
        <v>002694</v>
      </c>
      <c r="C3419" t="s">
        <v>7181</v>
      </c>
      <c r="D3419" t="s">
        <v>3347</v>
      </c>
      <c r="F3419">
        <v>1492802177</v>
      </c>
      <c r="G3419">
        <v>1428821039</v>
      </c>
      <c r="H3419">
        <v>1640363486</v>
      </c>
      <c r="I3419">
        <v>1664377834</v>
      </c>
      <c r="J3419">
        <v>2062156882</v>
      </c>
      <c r="K3419">
        <v>1531157196</v>
      </c>
      <c r="L3419">
        <v>1771720451</v>
      </c>
      <c r="M3419">
        <v>1837272361</v>
      </c>
      <c r="N3419">
        <v>1763555843</v>
      </c>
      <c r="O3419">
        <v>1509031807</v>
      </c>
      <c r="P3419">
        <v>71</v>
      </c>
      <c r="Q3419" t="s">
        <v>7182</v>
      </c>
    </row>
    <row r="3420" spans="1:17" x14ac:dyDescent="0.3">
      <c r="A3420" t="s">
        <v>4729</v>
      </c>
      <c r="B3420" t="str">
        <f>"002695"</f>
        <v>002695</v>
      </c>
      <c r="C3420" t="s">
        <v>7183</v>
      </c>
      <c r="D3420" t="s">
        <v>2989</v>
      </c>
      <c r="F3420">
        <v>2338738028</v>
      </c>
      <c r="G3420">
        <v>2436379031</v>
      </c>
      <c r="H3420">
        <v>2116915653</v>
      </c>
      <c r="I3420">
        <v>1897578656</v>
      </c>
      <c r="J3420">
        <v>1477780160</v>
      </c>
      <c r="K3420">
        <v>1217821559</v>
      </c>
      <c r="L3420">
        <v>1151074788</v>
      </c>
      <c r="M3420">
        <v>983980418</v>
      </c>
      <c r="N3420">
        <v>893258187</v>
      </c>
      <c r="O3420">
        <v>889598739</v>
      </c>
      <c r="P3420">
        <v>623</v>
      </c>
      <c r="Q3420" t="s">
        <v>7184</v>
      </c>
    </row>
    <row r="3421" spans="1:17" x14ac:dyDescent="0.3">
      <c r="A3421" t="s">
        <v>4729</v>
      </c>
      <c r="B3421" t="str">
        <f>"002696"</f>
        <v>002696</v>
      </c>
      <c r="C3421" t="s">
        <v>7185</v>
      </c>
      <c r="D3421" t="s">
        <v>587</v>
      </c>
      <c r="F3421">
        <v>2905284846</v>
      </c>
      <c r="G3421">
        <v>2482574248</v>
      </c>
      <c r="H3421">
        <v>2844133735</v>
      </c>
      <c r="I3421">
        <v>3133583903</v>
      </c>
      <c r="J3421">
        <v>2394128758</v>
      </c>
      <c r="K3421">
        <v>2068525079</v>
      </c>
      <c r="L3421">
        <v>1863739460</v>
      </c>
      <c r="M3421">
        <v>1780815052</v>
      </c>
      <c r="N3421">
        <v>1349625915</v>
      </c>
      <c r="O3421">
        <v>1170783847</v>
      </c>
      <c r="P3421">
        <v>93</v>
      </c>
      <c r="Q3421" t="s">
        <v>7186</v>
      </c>
    </row>
    <row r="3422" spans="1:17" x14ac:dyDescent="0.3">
      <c r="A3422" t="s">
        <v>4729</v>
      </c>
      <c r="B3422" t="str">
        <f>"002697"</f>
        <v>002697</v>
      </c>
      <c r="C3422" t="s">
        <v>7187</v>
      </c>
      <c r="D3422" t="s">
        <v>798</v>
      </c>
      <c r="F3422">
        <v>9351070834</v>
      </c>
      <c r="G3422">
        <v>9053380332</v>
      </c>
      <c r="H3422">
        <v>7822778965</v>
      </c>
      <c r="I3422">
        <v>7220017614</v>
      </c>
      <c r="J3422">
        <v>6938944253</v>
      </c>
      <c r="K3422">
        <v>6321626791</v>
      </c>
      <c r="L3422">
        <v>5486179814</v>
      </c>
      <c r="M3422">
        <v>4764210870</v>
      </c>
      <c r="N3422">
        <v>4437042325</v>
      </c>
      <c r="O3422">
        <v>3905153016</v>
      </c>
      <c r="P3422">
        <v>503</v>
      </c>
      <c r="Q3422" t="s">
        <v>7188</v>
      </c>
    </row>
    <row r="3423" spans="1:17" x14ac:dyDescent="0.3">
      <c r="A3423" t="s">
        <v>4729</v>
      </c>
      <c r="B3423" t="str">
        <f>"002698"</f>
        <v>002698</v>
      </c>
      <c r="C3423" t="s">
        <v>7189</v>
      </c>
      <c r="D3423" t="s">
        <v>2938</v>
      </c>
      <c r="F3423">
        <v>2112954813</v>
      </c>
      <c r="G3423">
        <v>1827912893</v>
      </c>
      <c r="H3423">
        <v>1459741077</v>
      </c>
      <c r="I3423">
        <v>915574863</v>
      </c>
      <c r="J3423">
        <v>788072861</v>
      </c>
      <c r="K3423">
        <v>627755815</v>
      </c>
      <c r="L3423">
        <v>717389683</v>
      </c>
      <c r="M3423">
        <v>607674625</v>
      </c>
      <c r="N3423">
        <v>763620062</v>
      </c>
      <c r="O3423">
        <v>741550241</v>
      </c>
      <c r="P3423">
        <v>271</v>
      </c>
      <c r="Q3423" t="s">
        <v>7190</v>
      </c>
    </row>
    <row r="3424" spans="1:17" x14ac:dyDescent="0.3">
      <c r="A3424" t="s">
        <v>4729</v>
      </c>
      <c r="B3424" t="str">
        <f>"002699"</f>
        <v>002699</v>
      </c>
      <c r="C3424" t="s">
        <v>7191</v>
      </c>
      <c r="D3424" t="s">
        <v>113</v>
      </c>
      <c r="F3424">
        <v>1030310406</v>
      </c>
      <c r="G3424">
        <v>990470978</v>
      </c>
      <c r="H3424">
        <v>1379754927</v>
      </c>
      <c r="I3424">
        <v>777805657</v>
      </c>
      <c r="J3424">
        <v>912207963</v>
      </c>
      <c r="K3424">
        <v>633157304</v>
      </c>
      <c r="L3424">
        <v>408101150</v>
      </c>
      <c r="M3424">
        <v>455996687</v>
      </c>
      <c r="N3424">
        <v>231134163</v>
      </c>
      <c r="O3424">
        <v>205049311</v>
      </c>
      <c r="P3424">
        <v>157</v>
      </c>
      <c r="Q3424" t="s">
        <v>7192</v>
      </c>
    </row>
    <row r="3425" spans="1:17" x14ac:dyDescent="0.3">
      <c r="A3425" t="s">
        <v>4729</v>
      </c>
      <c r="B3425" t="str">
        <f>"002700"</f>
        <v>002700</v>
      </c>
      <c r="C3425" t="s">
        <v>7193</v>
      </c>
      <c r="D3425" t="s">
        <v>749</v>
      </c>
      <c r="F3425">
        <v>592302859</v>
      </c>
      <c r="G3425">
        <v>419032879</v>
      </c>
      <c r="H3425">
        <v>518740042</v>
      </c>
      <c r="I3425">
        <v>412032816</v>
      </c>
      <c r="J3425">
        <v>364687555</v>
      </c>
      <c r="K3425">
        <v>348072858</v>
      </c>
      <c r="L3425">
        <v>422425893</v>
      </c>
      <c r="M3425">
        <v>345448025</v>
      </c>
      <c r="N3425">
        <v>275010208</v>
      </c>
      <c r="O3425">
        <v>238272991</v>
      </c>
      <c r="P3425">
        <v>53</v>
      </c>
      <c r="Q3425" t="s">
        <v>7194</v>
      </c>
    </row>
    <row r="3426" spans="1:17" x14ac:dyDescent="0.3">
      <c r="A3426" t="s">
        <v>4729</v>
      </c>
      <c r="B3426" t="str">
        <f>"002701"</f>
        <v>002701</v>
      </c>
      <c r="C3426" t="s">
        <v>7195</v>
      </c>
      <c r="D3426" t="s">
        <v>2373</v>
      </c>
      <c r="F3426">
        <v>13884980323</v>
      </c>
      <c r="G3426">
        <v>10561012720</v>
      </c>
      <c r="H3426">
        <v>9369162549</v>
      </c>
      <c r="I3426">
        <v>8175388304</v>
      </c>
      <c r="J3426">
        <v>7342375851</v>
      </c>
      <c r="K3426">
        <v>7598651622</v>
      </c>
      <c r="L3426">
        <v>6662353093</v>
      </c>
      <c r="M3426">
        <v>5454631332</v>
      </c>
      <c r="N3426">
        <v>4567022558</v>
      </c>
      <c r="O3426">
        <v>3506432818</v>
      </c>
      <c r="P3426">
        <v>1656</v>
      </c>
      <c r="Q3426" t="s">
        <v>7196</v>
      </c>
    </row>
    <row r="3427" spans="1:17" x14ac:dyDescent="0.3">
      <c r="A3427" t="s">
        <v>4729</v>
      </c>
      <c r="B3427" t="str">
        <f>"002702"</f>
        <v>002702</v>
      </c>
      <c r="C3427" t="s">
        <v>7197</v>
      </c>
      <c r="D3427" t="s">
        <v>2865</v>
      </c>
      <c r="F3427">
        <v>1550297709</v>
      </c>
      <c r="G3427">
        <v>1605751408</v>
      </c>
      <c r="H3427">
        <v>1385183737</v>
      </c>
      <c r="I3427">
        <v>1144513009</v>
      </c>
      <c r="J3427">
        <v>967959596</v>
      </c>
      <c r="K3427">
        <v>924585046</v>
      </c>
      <c r="L3427">
        <v>814742962</v>
      </c>
      <c r="M3427">
        <v>855278186</v>
      </c>
      <c r="N3427">
        <v>754481421</v>
      </c>
      <c r="O3427">
        <v>737784431</v>
      </c>
      <c r="P3427">
        <v>186</v>
      </c>
      <c r="Q3427" t="s">
        <v>7198</v>
      </c>
    </row>
    <row r="3428" spans="1:17" x14ac:dyDescent="0.3">
      <c r="A3428" t="s">
        <v>4729</v>
      </c>
      <c r="B3428" t="str">
        <f>"002703"</f>
        <v>002703</v>
      </c>
      <c r="C3428" t="s">
        <v>7199</v>
      </c>
      <c r="D3428" t="s">
        <v>348</v>
      </c>
      <c r="F3428">
        <v>1177915846</v>
      </c>
      <c r="G3428">
        <v>1102127420</v>
      </c>
      <c r="H3428">
        <v>982370362</v>
      </c>
      <c r="I3428">
        <v>1133097730</v>
      </c>
      <c r="J3428">
        <v>1154256268</v>
      </c>
      <c r="K3428">
        <v>1136399278</v>
      </c>
      <c r="L3428">
        <v>837719326</v>
      </c>
      <c r="M3428">
        <v>811241906</v>
      </c>
      <c r="N3428">
        <v>674596300</v>
      </c>
      <c r="O3428">
        <v>548384676</v>
      </c>
      <c r="P3428">
        <v>76</v>
      </c>
      <c r="Q3428" t="s">
        <v>7200</v>
      </c>
    </row>
    <row r="3429" spans="1:17" x14ac:dyDescent="0.3">
      <c r="A3429" t="s">
        <v>4729</v>
      </c>
      <c r="B3429" t="str">
        <f>"002705"</f>
        <v>002705</v>
      </c>
      <c r="C3429" t="s">
        <v>7201</v>
      </c>
      <c r="D3429" t="s">
        <v>5799</v>
      </c>
      <c r="F3429">
        <v>14912387586</v>
      </c>
      <c r="G3429">
        <v>13191047853</v>
      </c>
      <c r="H3429">
        <v>9124532015</v>
      </c>
      <c r="I3429">
        <v>8444333003</v>
      </c>
      <c r="J3429">
        <v>8222302011</v>
      </c>
      <c r="K3429">
        <v>6985340694</v>
      </c>
      <c r="L3429">
        <v>6307515932</v>
      </c>
      <c r="M3429">
        <v>5668888463</v>
      </c>
      <c r="N3429">
        <v>5035546554</v>
      </c>
      <c r="O3429">
        <v>4923819156</v>
      </c>
      <c r="P3429">
        <v>1093</v>
      </c>
      <c r="Q3429" t="s">
        <v>7202</v>
      </c>
    </row>
    <row r="3430" spans="1:17" x14ac:dyDescent="0.3">
      <c r="A3430" t="s">
        <v>4729</v>
      </c>
      <c r="B3430" t="str">
        <f>"002706"</f>
        <v>002706</v>
      </c>
      <c r="C3430" t="s">
        <v>7203</v>
      </c>
      <c r="D3430" t="s">
        <v>657</v>
      </c>
      <c r="F3430">
        <v>4027154509</v>
      </c>
      <c r="G3430">
        <v>3016563222</v>
      </c>
      <c r="H3430">
        <v>2038513230</v>
      </c>
      <c r="I3430">
        <v>1573786707</v>
      </c>
      <c r="J3430">
        <v>1452048270</v>
      </c>
      <c r="K3430">
        <v>1225771405</v>
      </c>
      <c r="L3430">
        <v>1013049183</v>
      </c>
      <c r="M3430">
        <v>855705596</v>
      </c>
      <c r="N3430">
        <v>683849233</v>
      </c>
      <c r="O3430">
        <v>599906068</v>
      </c>
      <c r="P3430">
        <v>763</v>
      </c>
      <c r="Q3430" t="s">
        <v>7204</v>
      </c>
    </row>
    <row r="3431" spans="1:17" x14ac:dyDescent="0.3">
      <c r="A3431" t="s">
        <v>4729</v>
      </c>
      <c r="B3431" t="str">
        <f>"002707"</f>
        <v>002707</v>
      </c>
      <c r="C3431" t="s">
        <v>7205</v>
      </c>
      <c r="D3431" t="s">
        <v>1120</v>
      </c>
      <c r="F3431">
        <v>684066243</v>
      </c>
      <c r="G3431">
        <v>1561325696</v>
      </c>
      <c r="H3431">
        <v>12621711761</v>
      </c>
      <c r="I3431">
        <v>12171466619</v>
      </c>
      <c r="J3431">
        <v>12029753609</v>
      </c>
      <c r="K3431">
        <v>10092528071</v>
      </c>
      <c r="L3431">
        <v>8370070680</v>
      </c>
      <c r="M3431">
        <v>4217003083</v>
      </c>
      <c r="N3431">
        <v>3005255500</v>
      </c>
      <c r="O3431">
        <v>2149917516</v>
      </c>
      <c r="P3431">
        <v>295</v>
      </c>
      <c r="Q3431" t="s">
        <v>7206</v>
      </c>
    </row>
    <row r="3432" spans="1:17" x14ac:dyDescent="0.3">
      <c r="A3432" t="s">
        <v>4729</v>
      </c>
      <c r="B3432" t="str">
        <f>"002708"</f>
        <v>002708</v>
      </c>
      <c r="C3432" t="s">
        <v>7207</v>
      </c>
      <c r="D3432" t="s">
        <v>348</v>
      </c>
      <c r="F3432">
        <v>1622342223</v>
      </c>
      <c r="G3432">
        <v>1434256334</v>
      </c>
      <c r="H3432">
        <v>1309489076</v>
      </c>
      <c r="I3432">
        <v>1354809411</v>
      </c>
      <c r="J3432">
        <v>1460619153</v>
      </c>
      <c r="K3432">
        <v>1112322006</v>
      </c>
      <c r="L3432">
        <v>543928638</v>
      </c>
      <c r="M3432">
        <v>622171217</v>
      </c>
      <c r="N3432">
        <v>580556133</v>
      </c>
      <c r="O3432">
        <v>555619106</v>
      </c>
      <c r="P3432">
        <v>91</v>
      </c>
      <c r="Q3432" t="s">
        <v>7208</v>
      </c>
    </row>
    <row r="3433" spans="1:17" x14ac:dyDescent="0.3">
      <c r="A3433" t="s">
        <v>4729</v>
      </c>
      <c r="B3433" t="str">
        <f>"002709"</f>
        <v>002709</v>
      </c>
      <c r="C3433" t="s">
        <v>7209</v>
      </c>
      <c r="D3433" t="s">
        <v>1790</v>
      </c>
      <c r="F3433">
        <v>11090801693</v>
      </c>
      <c r="G3433">
        <v>4119046396</v>
      </c>
      <c r="H3433">
        <v>2754589625</v>
      </c>
      <c r="I3433">
        <v>2079846708</v>
      </c>
      <c r="J3433">
        <v>2057303096</v>
      </c>
      <c r="K3433">
        <v>1837246541</v>
      </c>
      <c r="L3433">
        <v>945804747</v>
      </c>
      <c r="M3433">
        <v>705686874</v>
      </c>
      <c r="N3433">
        <v>596059184</v>
      </c>
      <c r="O3433">
        <v>554124563</v>
      </c>
      <c r="P3433">
        <v>1068</v>
      </c>
      <c r="Q3433" t="s">
        <v>7210</v>
      </c>
    </row>
    <row r="3434" spans="1:17" x14ac:dyDescent="0.3">
      <c r="A3434" t="s">
        <v>4729</v>
      </c>
      <c r="B3434" t="str">
        <f>"002710"</f>
        <v>002710</v>
      </c>
      <c r="C3434" t="s">
        <v>7211</v>
      </c>
      <c r="D3434" t="s">
        <v>7212</v>
      </c>
      <c r="O3434">
        <v>671756898</v>
      </c>
      <c r="P3434">
        <v>8</v>
      </c>
      <c r="Q3434" t="s">
        <v>7213</v>
      </c>
    </row>
    <row r="3435" spans="1:17" x14ac:dyDescent="0.3">
      <c r="A3435" t="s">
        <v>4729</v>
      </c>
      <c r="B3435" t="str">
        <f>"002711"</f>
        <v>002711</v>
      </c>
      <c r="C3435" t="s">
        <v>7214</v>
      </c>
      <c r="G3435">
        <v>649846424</v>
      </c>
      <c r="H3435">
        <v>175904553</v>
      </c>
      <c r="I3435">
        <v>4888577746</v>
      </c>
      <c r="J3435">
        <v>6921865326</v>
      </c>
      <c r="K3435">
        <v>3088035957</v>
      </c>
      <c r="L3435">
        <v>1768478867</v>
      </c>
      <c r="M3435">
        <v>1774439598</v>
      </c>
      <c r="N3435">
        <v>616606500</v>
      </c>
      <c r="O3435">
        <v>624772166</v>
      </c>
      <c r="P3435">
        <v>74</v>
      </c>
      <c r="Q3435" t="s">
        <v>7215</v>
      </c>
    </row>
    <row r="3436" spans="1:17" x14ac:dyDescent="0.3">
      <c r="A3436" t="s">
        <v>4729</v>
      </c>
      <c r="B3436" t="str">
        <f>"002712"</f>
        <v>002712</v>
      </c>
      <c r="C3436" t="s">
        <v>7216</v>
      </c>
      <c r="D3436" t="s">
        <v>207</v>
      </c>
      <c r="F3436">
        <v>4450594972</v>
      </c>
      <c r="G3436">
        <v>3960546275</v>
      </c>
      <c r="H3436">
        <v>2997003821</v>
      </c>
      <c r="I3436">
        <v>5282529063</v>
      </c>
      <c r="J3436">
        <v>4187168251</v>
      </c>
      <c r="K3436">
        <v>3821738707</v>
      </c>
      <c r="L3436">
        <v>2493726294</v>
      </c>
      <c r="M3436">
        <v>2150761318</v>
      </c>
      <c r="N3436">
        <v>1638485096</v>
      </c>
      <c r="O3436">
        <v>1443974223</v>
      </c>
      <c r="P3436">
        <v>107</v>
      </c>
      <c r="Q3436" t="s">
        <v>7217</v>
      </c>
    </row>
    <row r="3437" spans="1:17" x14ac:dyDescent="0.3">
      <c r="A3437" t="s">
        <v>4729</v>
      </c>
      <c r="B3437" t="str">
        <f>"002713"</f>
        <v>002713</v>
      </c>
      <c r="C3437" t="s">
        <v>7218</v>
      </c>
      <c r="D3437" t="s">
        <v>450</v>
      </c>
      <c r="F3437">
        <v>4291926242</v>
      </c>
      <c r="G3437">
        <v>3446665287</v>
      </c>
      <c r="H3437">
        <v>3798966068</v>
      </c>
      <c r="I3437">
        <v>4203392412</v>
      </c>
      <c r="J3437">
        <v>3612493373</v>
      </c>
      <c r="K3437">
        <v>2998905933</v>
      </c>
      <c r="L3437">
        <v>2257325474</v>
      </c>
      <c r="M3437">
        <v>1880016947</v>
      </c>
      <c r="N3437">
        <v>1592015157</v>
      </c>
      <c r="O3437">
        <v>1376271549</v>
      </c>
      <c r="P3437">
        <v>268</v>
      </c>
      <c r="Q3437" t="s">
        <v>7219</v>
      </c>
    </row>
    <row r="3438" spans="1:17" x14ac:dyDescent="0.3">
      <c r="A3438" t="s">
        <v>4729</v>
      </c>
      <c r="B3438" t="str">
        <f>"002714"</f>
        <v>002714</v>
      </c>
      <c r="C3438" t="s">
        <v>7220</v>
      </c>
      <c r="D3438" t="s">
        <v>1900</v>
      </c>
      <c r="F3438">
        <v>78889870566</v>
      </c>
      <c r="G3438">
        <v>56277065608</v>
      </c>
      <c r="H3438">
        <v>20221332526</v>
      </c>
      <c r="I3438">
        <v>13388157686</v>
      </c>
      <c r="J3438">
        <v>10042415931</v>
      </c>
      <c r="K3438">
        <v>5605907003</v>
      </c>
      <c r="L3438">
        <v>3003474723</v>
      </c>
      <c r="M3438">
        <v>2604763390</v>
      </c>
      <c r="N3438">
        <v>2044402771</v>
      </c>
      <c r="O3438">
        <v>1490836425</v>
      </c>
      <c r="P3438">
        <v>4954</v>
      </c>
      <c r="Q3438" t="s">
        <v>7221</v>
      </c>
    </row>
    <row r="3439" spans="1:17" x14ac:dyDescent="0.3">
      <c r="A3439" t="s">
        <v>4729</v>
      </c>
      <c r="B3439" t="str">
        <f>"002715"</f>
        <v>002715</v>
      </c>
      <c r="C3439" t="s">
        <v>7222</v>
      </c>
      <c r="D3439" t="s">
        <v>348</v>
      </c>
      <c r="F3439">
        <v>485497959</v>
      </c>
      <c r="G3439">
        <v>372654176</v>
      </c>
      <c r="H3439">
        <v>335695250</v>
      </c>
      <c r="I3439">
        <v>354471217</v>
      </c>
      <c r="J3439">
        <v>341749912</v>
      </c>
      <c r="K3439">
        <v>287955876</v>
      </c>
      <c r="L3439">
        <v>239985028</v>
      </c>
      <c r="M3439">
        <v>296066770</v>
      </c>
      <c r="N3439">
        <v>303426849</v>
      </c>
      <c r="O3439">
        <v>305714173</v>
      </c>
      <c r="P3439">
        <v>61</v>
      </c>
      <c r="Q3439" t="s">
        <v>7223</v>
      </c>
    </row>
    <row r="3440" spans="1:17" x14ac:dyDescent="0.3">
      <c r="A3440" t="s">
        <v>4729</v>
      </c>
      <c r="B3440" t="str">
        <f>"002716"</f>
        <v>002716</v>
      </c>
      <c r="C3440" t="s">
        <v>7224</v>
      </c>
      <c r="D3440" t="s">
        <v>2081</v>
      </c>
      <c r="F3440">
        <v>1989359323</v>
      </c>
      <c r="G3440">
        <v>1205143833</v>
      </c>
      <c r="H3440">
        <v>6199198098</v>
      </c>
      <c r="I3440">
        <v>10656583961</v>
      </c>
      <c r="J3440">
        <v>11301766098</v>
      </c>
      <c r="K3440">
        <v>7852301664</v>
      </c>
      <c r="L3440">
        <v>5788750956</v>
      </c>
      <c r="M3440">
        <v>4297391911</v>
      </c>
      <c r="N3440">
        <v>3609650628</v>
      </c>
      <c r="O3440">
        <v>3694354741</v>
      </c>
      <c r="P3440">
        <v>129</v>
      </c>
      <c r="Q3440" t="s">
        <v>7225</v>
      </c>
    </row>
    <row r="3441" spans="1:17" x14ac:dyDescent="0.3">
      <c r="A3441" t="s">
        <v>4729</v>
      </c>
      <c r="B3441" t="str">
        <f>"002717"</f>
        <v>002717</v>
      </c>
      <c r="C3441" t="s">
        <v>7226</v>
      </c>
      <c r="D3441" t="s">
        <v>2417</v>
      </c>
      <c r="F3441">
        <v>4799436514</v>
      </c>
      <c r="G3441">
        <v>6651284619</v>
      </c>
      <c r="H3441">
        <v>7956638206</v>
      </c>
      <c r="I3441">
        <v>8842902042</v>
      </c>
      <c r="J3441">
        <v>4778740843</v>
      </c>
      <c r="K3441">
        <v>2567695762</v>
      </c>
      <c r="L3441">
        <v>1888861161</v>
      </c>
      <c r="M3441">
        <v>1088192851</v>
      </c>
      <c r="N3441">
        <v>805391016</v>
      </c>
      <c r="O3441">
        <v>702814512</v>
      </c>
      <c r="P3441">
        <v>394</v>
      </c>
      <c r="Q3441" t="s">
        <v>7227</v>
      </c>
    </row>
    <row r="3442" spans="1:17" x14ac:dyDescent="0.3">
      <c r="A3442" t="s">
        <v>4729</v>
      </c>
      <c r="B3442" t="str">
        <f>"002718"</f>
        <v>002718</v>
      </c>
      <c r="C3442" t="s">
        <v>7228</v>
      </c>
      <c r="D3442" t="s">
        <v>722</v>
      </c>
      <c r="F3442">
        <v>976530286</v>
      </c>
      <c r="G3442">
        <v>757452458</v>
      </c>
      <c r="H3442">
        <v>707049586</v>
      </c>
      <c r="I3442">
        <v>725313652</v>
      </c>
      <c r="J3442">
        <v>667843632</v>
      </c>
      <c r="K3442">
        <v>508102329</v>
      </c>
      <c r="L3442">
        <v>410708152</v>
      </c>
      <c r="M3442">
        <v>378621822</v>
      </c>
      <c r="N3442">
        <v>308640549</v>
      </c>
      <c r="O3442">
        <v>230376853</v>
      </c>
      <c r="P3442">
        <v>170</v>
      </c>
      <c r="Q3442" t="s">
        <v>7229</v>
      </c>
    </row>
    <row r="3443" spans="1:17" x14ac:dyDescent="0.3">
      <c r="A3443" t="s">
        <v>4729</v>
      </c>
      <c r="B3443" t="str">
        <f>"002719"</f>
        <v>002719</v>
      </c>
      <c r="C3443" t="s">
        <v>7230</v>
      </c>
      <c r="D3443" t="s">
        <v>900</v>
      </c>
      <c r="F3443">
        <v>1146225735</v>
      </c>
      <c r="G3443">
        <v>875419375</v>
      </c>
      <c r="H3443">
        <v>670570448</v>
      </c>
      <c r="I3443">
        <v>600205245</v>
      </c>
      <c r="J3443">
        <v>579578173</v>
      </c>
      <c r="K3443">
        <v>559802066</v>
      </c>
      <c r="L3443">
        <v>518144351</v>
      </c>
      <c r="M3443">
        <v>321362529</v>
      </c>
      <c r="N3443">
        <v>387649481</v>
      </c>
      <c r="O3443">
        <v>403191954</v>
      </c>
      <c r="P3443">
        <v>97</v>
      </c>
      <c r="Q3443" t="s">
        <v>7231</v>
      </c>
    </row>
    <row r="3444" spans="1:17" x14ac:dyDescent="0.3">
      <c r="A3444" t="s">
        <v>4729</v>
      </c>
      <c r="B3444" t="str">
        <f>"002720"</f>
        <v>002720</v>
      </c>
      <c r="C3444" t="s">
        <v>7232</v>
      </c>
      <c r="D3444" t="s">
        <v>2956</v>
      </c>
      <c r="O3444">
        <v>1048583169</v>
      </c>
      <c r="P3444">
        <v>11</v>
      </c>
      <c r="Q3444" t="s">
        <v>7233</v>
      </c>
    </row>
    <row r="3445" spans="1:17" x14ac:dyDescent="0.3">
      <c r="A3445" t="s">
        <v>4729</v>
      </c>
      <c r="B3445" t="str">
        <f>"002721"</f>
        <v>002721</v>
      </c>
      <c r="C3445" t="s">
        <v>7234</v>
      </c>
      <c r="D3445" t="s">
        <v>1238</v>
      </c>
      <c r="F3445">
        <v>2950792946</v>
      </c>
      <c r="G3445">
        <v>3896180390</v>
      </c>
      <c r="H3445">
        <v>10680541104</v>
      </c>
      <c r="I3445">
        <v>14757197479</v>
      </c>
      <c r="J3445">
        <v>15106777902</v>
      </c>
      <c r="K3445">
        <v>10773012645</v>
      </c>
      <c r="L3445">
        <v>7637131951</v>
      </c>
      <c r="M3445">
        <v>6016364243</v>
      </c>
      <c r="N3445">
        <v>3275782697</v>
      </c>
      <c r="O3445">
        <v>2930724825</v>
      </c>
      <c r="P3445">
        <v>89</v>
      </c>
      <c r="Q3445" t="s">
        <v>7235</v>
      </c>
    </row>
    <row r="3446" spans="1:17" x14ac:dyDescent="0.3">
      <c r="A3446" t="s">
        <v>4729</v>
      </c>
      <c r="B3446" t="str">
        <f>"002722"</f>
        <v>002722</v>
      </c>
      <c r="C3446" t="s">
        <v>7236</v>
      </c>
      <c r="D3446" t="s">
        <v>366</v>
      </c>
      <c r="F3446">
        <v>3149629670</v>
      </c>
      <c r="G3446">
        <v>2366805500</v>
      </c>
      <c r="H3446">
        <v>2413778366</v>
      </c>
      <c r="I3446">
        <v>2280614014</v>
      </c>
      <c r="J3446">
        <v>2094991038</v>
      </c>
      <c r="K3446">
        <v>1738141279</v>
      </c>
      <c r="L3446">
        <v>530559448</v>
      </c>
      <c r="M3446">
        <v>397922948</v>
      </c>
      <c r="N3446">
        <v>412601071</v>
      </c>
      <c r="O3446">
        <v>421579324</v>
      </c>
      <c r="P3446">
        <v>102</v>
      </c>
      <c r="Q3446" t="s">
        <v>7237</v>
      </c>
    </row>
    <row r="3447" spans="1:17" x14ac:dyDescent="0.3">
      <c r="A3447" t="s">
        <v>4729</v>
      </c>
      <c r="B3447" t="str">
        <f>"002723"</f>
        <v>002723</v>
      </c>
      <c r="C3447" t="s">
        <v>7238</v>
      </c>
      <c r="D3447" t="s">
        <v>598</v>
      </c>
      <c r="F3447">
        <v>1320523788</v>
      </c>
      <c r="G3447">
        <v>1089212931</v>
      </c>
      <c r="H3447">
        <v>1000817903</v>
      </c>
      <c r="I3447">
        <v>830502130</v>
      </c>
      <c r="J3447">
        <v>986645664</v>
      </c>
      <c r="K3447">
        <v>769913612</v>
      </c>
      <c r="L3447">
        <v>702501125</v>
      </c>
      <c r="M3447">
        <v>583179603</v>
      </c>
      <c r="N3447">
        <v>563313612</v>
      </c>
      <c r="O3447">
        <v>559111725</v>
      </c>
      <c r="P3447">
        <v>92</v>
      </c>
      <c r="Q3447" t="s">
        <v>7239</v>
      </c>
    </row>
    <row r="3448" spans="1:17" x14ac:dyDescent="0.3">
      <c r="A3448" t="s">
        <v>4729</v>
      </c>
      <c r="B3448" t="str">
        <f>"002724"</f>
        <v>002724</v>
      </c>
      <c r="C3448" t="s">
        <v>7240</v>
      </c>
      <c r="D3448" t="s">
        <v>651</v>
      </c>
      <c r="F3448">
        <v>2112617716</v>
      </c>
      <c r="G3448">
        <v>1704303042</v>
      </c>
      <c r="H3448">
        <v>1494580748</v>
      </c>
      <c r="I3448">
        <v>1253196501</v>
      </c>
      <c r="J3448">
        <v>1096955668</v>
      </c>
      <c r="K3448">
        <v>924892386</v>
      </c>
      <c r="L3448">
        <v>896374776</v>
      </c>
      <c r="M3448">
        <v>1056428518</v>
      </c>
      <c r="N3448">
        <v>1131310021</v>
      </c>
      <c r="O3448">
        <v>1098313066</v>
      </c>
      <c r="P3448">
        <v>141</v>
      </c>
      <c r="Q3448" t="s">
        <v>7241</v>
      </c>
    </row>
    <row r="3449" spans="1:17" x14ac:dyDescent="0.3">
      <c r="A3449" t="s">
        <v>4729</v>
      </c>
      <c r="B3449" t="str">
        <f>"002725"</f>
        <v>002725</v>
      </c>
      <c r="C3449" t="s">
        <v>7242</v>
      </c>
      <c r="D3449" t="s">
        <v>422</v>
      </c>
      <c r="F3449">
        <v>944029317</v>
      </c>
      <c r="G3449">
        <v>722218589</v>
      </c>
      <c r="H3449">
        <v>714905483</v>
      </c>
      <c r="I3449">
        <v>967304584</v>
      </c>
      <c r="J3449">
        <v>782546022</v>
      </c>
      <c r="K3449">
        <v>643119646</v>
      </c>
      <c r="L3449">
        <v>644063163</v>
      </c>
      <c r="M3449">
        <v>832637435</v>
      </c>
      <c r="N3449">
        <v>840794444</v>
      </c>
      <c r="O3449">
        <v>810516372</v>
      </c>
      <c r="P3449">
        <v>135</v>
      </c>
      <c r="Q3449" t="s">
        <v>7243</v>
      </c>
    </row>
    <row r="3450" spans="1:17" x14ac:dyDescent="0.3">
      <c r="A3450" t="s">
        <v>4729</v>
      </c>
      <c r="B3450" t="str">
        <f>"002726"</f>
        <v>002726</v>
      </c>
      <c r="C3450" t="s">
        <v>7244</v>
      </c>
      <c r="D3450" t="s">
        <v>170</v>
      </c>
      <c r="F3450">
        <v>19509959769</v>
      </c>
      <c r="G3450">
        <v>24101638774</v>
      </c>
      <c r="H3450">
        <v>16822362114</v>
      </c>
      <c r="I3450">
        <v>8778460856</v>
      </c>
      <c r="J3450">
        <v>6572625775</v>
      </c>
      <c r="K3450">
        <v>5450045828</v>
      </c>
      <c r="L3450">
        <v>4270489896</v>
      </c>
      <c r="M3450">
        <v>3546513728</v>
      </c>
      <c r="N3450">
        <v>3158334073</v>
      </c>
      <c r="O3450">
        <v>2539969381</v>
      </c>
      <c r="P3450">
        <v>1021</v>
      </c>
      <c r="Q3450" t="s">
        <v>7245</v>
      </c>
    </row>
    <row r="3451" spans="1:17" x14ac:dyDescent="0.3">
      <c r="A3451" t="s">
        <v>4729</v>
      </c>
      <c r="B3451" t="str">
        <f>"002727"</f>
        <v>002727</v>
      </c>
      <c r="C3451" t="s">
        <v>7246</v>
      </c>
      <c r="D3451" t="s">
        <v>1686</v>
      </c>
      <c r="F3451">
        <v>14587401324</v>
      </c>
      <c r="G3451">
        <v>12656284260</v>
      </c>
      <c r="H3451">
        <v>10479093106</v>
      </c>
      <c r="I3451">
        <v>9176269669</v>
      </c>
      <c r="J3451">
        <v>7751139414</v>
      </c>
      <c r="K3451">
        <v>6249335716</v>
      </c>
      <c r="L3451">
        <v>5321152331</v>
      </c>
      <c r="M3451">
        <v>4428409989</v>
      </c>
      <c r="N3451">
        <v>3546662062</v>
      </c>
      <c r="O3451">
        <v>2842139536</v>
      </c>
      <c r="P3451">
        <v>1246</v>
      </c>
      <c r="Q3451" t="s">
        <v>7247</v>
      </c>
    </row>
    <row r="3452" spans="1:17" x14ac:dyDescent="0.3">
      <c r="A3452" t="s">
        <v>4729</v>
      </c>
      <c r="B3452" t="str">
        <f>"002728"</f>
        <v>002728</v>
      </c>
      <c r="C3452" t="s">
        <v>7248</v>
      </c>
      <c r="D3452" t="s">
        <v>188</v>
      </c>
      <c r="F3452">
        <v>758160498</v>
      </c>
      <c r="G3452">
        <v>632695187</v>
      </c>
      <c r="H3452">
        <v>921122277</v>
      </c>
      <c r="I3452">
        <v>884975625</v>
      </c>
      <c r="J3452">
        <v>686943603</v>
      </c>
      <c r="K3452">
        <v>655856830</v>
      </c>
      <c r="L3452">
        <v>516540039</v>
      </c>
      <c r="M3452">
        <v>344748357</v>
      </c>
      <c r="N3452">
        <v>342720955</v>
      </c>
      <c r="O3452">
        <v>340827193</v>
      </c>
      <c r="P3452">
        <v>286</v>
      </c>
      <c r="Q3452" t="s">
        <v>7249</v>
      </c>
    </row>
    <row r="3453" spans="1:17" x14ac:dyDescent="0.3">
      <c r="A3453" t="s">
        <v>4729</v>
      </c>
      <c r="B3453" t="str">
        <f>"002729"</f>
        <v>002729</v>
      </c>
      <c r="C3453" t="s">
        <v>7250</v>
      </c>
      <c r="D3453" t="s">
        <v>651</v>
      </c>
      <c r="F3453">
        <v>222588257</v>
      </c>
      <c r="G3453">
        <v>169195011</v>
      </c>
      <c r="H3453">
        <v>178077304</v>
      </c>
      <c r="I3453">
        <v>176859629</v>
      </c>
      <c r="J3453">
        <v>169572009</v>
      </c>
      <c r="K3453">
        <v>153781872</v>
      </c>
      <c r="L3453">
        <v>156938259</v>
      </c>
      <c r="M3453">
        <v>173276557</v>
      </c>
      <c r="N3453">
        <v>206432608</v>
      </c>
      <c r="O3453">
        <v>171861038</v>
      </c>
      <c r="P3453">
        <v>71</v>
      </c>
      <c r="Q3453" t="s">
        <v>7251</v>
      </c>
    </row>
    <row r="3454" spans="1:17" x14ac:dyDescent="0.3">
      <c r="A3454" t="s">
        <v>4729</v>
      </c>
      <c r="B3454" t="str">
        <f>"002730"</f>
        <v>002730</v>
      </c>
      <c r="C3454" t="s">
        <v>7252</v>
      </c>
      <c r="D3454" t="s">
        <v>395</v>
      </c>
      <c r="F3454">
        <v>919208857</v>
      </c>
      <c r="G3454">
        <v>808127845</v>
      </c>
      <c r="H3454">
        <v>1002530716</v>
      </c>
      <c r="I3454">
        <v>938970243</v>
      </c>
      <c r="J3454">
        <v>811610831</v>
      </c>
      <c r="K3454">
        <v>618488789</v>
      </c>
      <c r="L3454">
        <v>528292702</v>
      </c>
      <c r="M3454">
        <v>575638873</v>
      </c>
      <c r="N3454">
        <v>660222300</v>
      </c>
      <c r="O3454">
        <v>759696786</v>
      </c>
      <c r="P3454">
        <v>82</v>
      </c>
      <c r="Q3454" t="s">
        <v>7253</v>
      </c>
    </row>
    <row r="3455" spans="1:17" x14ac:dyDescent="0.3">
      <c r="A3455" t="s">
        <v>4729</v>
      </c>
      <c r="B3455" t="str">
        <f>"002731"</f>
        <v>002731</v>
      </c>
      <c r="C3455" t="s">
        <v>7254</v>
      </c>
      <c r="D3455" t="s">
        <v>1238</v>
      </c>
      <c r="F3455">
        <v>3680079850</v>
      </c>
      <c r="G3455">
        <v>2109468699</v>
      </c>
      <c r="H3455">
        <v>2273646859</v>
      </c>
      <c r="I3455">
        <v>2692691287</v>
      </c>
      <c r="J3455">
        <v>2747008445</v>
      </c>
      <c r="K3455">
        <v>2218103355</v>
      </c>
      <c r="L3455">
        <v>2999941517</v>
      </c>
      <c r="M3455">
        <v>3308055168</v>
      </c>
      <c r="N3455">
        <v>3679153966</v>
      </c>
      <c r="O3455">
        <v>2820220311</v>
      </c>
      <c r="P3455">
        <v>81</v>
      </c>
      <c r="Q3455" t="s">
        <v>7255</v>
      </c>
    </row>
    <row r="3456" spans="1:17" x14ac:dyDescent="0.3">
      <c r="A3456" t="s">
        <v>4729</v>
      </c>
      <c r="B3456" t="str">
        <f>"002732"</f>
        <v>002732</v>
      </c>
      <c r="C3456" t="s">
        <v>7256</v>
      </c>
      <c r="D3456" t="s">
        <v>900</v>
      </c>
      <c r="F3456">
        <v>1984746938</v>
      </c>
      <c r="G3456">
        <v>1636997322</v>
      </c>
      <c r="H3456">
        <v>1470757199</v>
      </c>
      <c r="I3456">
        <v>1297195800</v>
      </c>
      <c r="J3456">
        <v>1239219233</v>
      </c>
      <c r="K3456">
        <v>1100742577</v>
      </c>
      <c r="L3456">
        <v>1032433862</v>
      </c>
      <c r="M3456">
        <v>949910341</v>
      </c>
      <c r="N3456">
        <v>877813013</v>
      </c>
      <c r="O3456">
        <v>773994388</v>
      </c>
      <c r="P3456">
        <v>349</v>
      </c>
      <c r="Q3456" t="s">
        <v>7257</v>
      </c>
    </row>
    <row r="3457" spans="1:17" x14ac:dyDescent="0.3">
      <c r="A3457" t="s">
        <v>4729</v>
      </c>
      <c r="B3457" t="str">
        <f>"002733"</f>
        <v>002733</v>
      </c>
      <c r="C3457" t="s">
        <v>7258</v>
      </c>
      <c r="D3457" t="s">
        <v>555</v>
      </c>
      <c r="F3457">
        <v>3110278798</v>
      </c>
      <c r="G3457">
        <v>2546623813</v>
      </c>
      <c r="H3457">
        <v>2931820344</v>
      </c>
      <c r="I3457">
        <v>2956164760</v>
      </c>
      <c r="J3457">
        <v>2656425362</v>
      </c>
      <c r="K3457">
        <v>2500855949</v>
      </c>
      <c r="L3457">
        <v>2417734882</v>
      </c>
      <c r="M3457">
        <v>1975404502</v>
      </c>
      <c r="N3457">
        <v>1650391320</v>
      </c>
      <c r="O3457">
        <v>1786039755</v>
      </c>
      <c r="P3457">
        <v>236</v>
      </c>
      <c r="Q3457" t="s">
        <v>7259</v>
      </c>
    </row>
    <row r="3458" spans="1:17" x14ac:dyDescent="0.3">
      <c r="A3458" t="s">
        <v>4729</v>
      </c>
      <c r="B3458" t="str">
        <f>"002734"</f>
        <v>002734</v>
      </c>
      <c r="C3458" t="s">
        <v>7260</v>
      </c>
      <c r="D3458" t="s">
        <v>853</v>
      </c>
      <c r="F3458">
        <v>4737565985</v>
      </c>
      <c r="G3458">
        <v>4388047898</v>
      </c>
      <c r="H3458">
        <v>2832674577</v>
      </c>
      <c r="I3458">
        <v>1519182042</v>
      </c>
      <c r="J3458">
        <v>1423420520</v>
      </c>
      <c r="K3458">
        <v>1160424639</v>
      </c>
      <c r="L3458">
        <v>834544052</v>
      </c>
      <c r="M3458">
        <v>757952978</v>
      </c>
      <c r="N3458">
        <v>665990621</v>
      </c>
      <c r="O3458">
        <v>610664631</v>
      </c>
      <c r="P3458">
        <v>261</v>
      </c>
      <c r="Q3458" t="s">
        <v>7261</v>
      </c>
    </row>
    <row r="3459" spans="1:17" x14ac:dyDescent="0.3">
      <c r="A3459" t="s">
        <v>4729</v>
      </c>
      <c r="B3459" t="str">
        <f>"002735"</f>
        <v>002735</v>
      </c>
      <c r="C3459" t="s">
        <v>7262</v>
      </c>
      <c r="D3459" t="s">
        <v>485</v>
      </c>
      <c r="F3459">
        <v>1735135654</v>
      </c>
      <c r="G3459">
        <v>1541627190</v>
      </c>
      <c r="H3459">
        <v>1325601187</v>
      </c>
      <c r="I3459">
        <v>911694056</v>
      </c>
      <c r="J3459">
        <v>598186943</v>
      </c>
      <c r="K3459">
        <v>473503720</v>
      </c>
      <c r="L3459">
        <v>441027403</v>
      </c>
      <c r="M3459">
        <v>479920940</v>
      </c>
      <c r="N3459">
        <v>476584255</v>
      </c>
      <c r="O3459">
        <v>498115976</v>
      </c>
      <c r="P3459">
        <v>71</v>
      </c>
      <c r="Q3459" t="s">
        <v>7263</v>
      </c>
    </row>
    <row r="3460" spans="1:17" x14ac:dyDescent="0.3">
      <c r="A3460" t="s">
        <v>4729</v>
      </c>
      <c r="B3460" t="str">
        <f>"002736"</f>
        <v>002736</v>
      </c>
      <c r="C3460" t="s">
        <v>7264</v>
      </c>
      <c r="D3460" t="s">
        <v>80</v>
      </c>
      <c r="F3460">
        <v>23818037004</v>
      </c>
      <c r="G3460">
        <v>18784071245</v>
      </c>
      <c r="H3460">
        <v>14092914616</v>
      </c>
      <c r="I3460">
        <v>10030931923</v>
      </c>
      <c r="J3460">
        <v>11923610193</v>
      </c>
      <c r="K3460">
        <v>12748903314</v>
      </c>
      <c r="L3460">
        <v>29139131599</v>
      </c>
      <c r="M3460">
        <v>11792322620</v>
      </c>
      <c r="N3460">
        <v>6775987292</v>
      </c>
      <c r="O3460">
        <v>6079415257</v>
      </c>
      <c r="P3460">
        <v>2389</v>
      </c>
      <c r="Q3460" t="s">
        <v>7265</v>
      </c>
    </row>
    <row r="3461" spans="1:17" x14ac:dyDescent="0.3">
      <c r="A3461" t="s">
        <v>4729</v>
      </c>
      <c r="B3461" t="str">
        <f>"002737"</f>
        <v>002737</v>
      </c>
      <c r="C3461" t="s">
        <v>7266</v>
      </c>
      <c r="D3461" t="s">
        <v>188</v>
      </c>
      <c r="F3461">
        <v>4460899865</v>
      </c>
      <c r="G3461">
        <v>3461888347</v>
      </c>
      <c r="H3461">
        <v>4371413642</v>
      </c>
      <c r="I3461">
        <v>4471756277</v>
      </c>
      <c r="J3461">
        <v>3855119812</v>
      </c>
      <c r="K3461">
        <v>3363581108</v>
      </c>
      <c r="L3461">
        <v>3034770484</v>
      </c>
      <c r="M3461">
        <v>2718760482</v>
      </c>
      <c r="N3461">
        <v>2180932095</v>
      </c>
      <c r="O3461">
        <v>1769952991</v>
      </c>
      <c r="P3461">
        <v>1116</v>
      </c>
      <c r="Q3461" t="s">
        <v>7267</v>
      </c>
    </row>
    <row r="3462" spans="1:17" x14ac:dyDescent="0.3">
      <c r="A3462" t="s">
        <v>4729</v>
      </c>
      <c r="B3462" t="str">
        <f>"002738"</f>
        <v>002738</v>
      </c>
      <c r="C3462" t="s">
        <v>7268</v>
      </c>
      <c r="D3462" t="s">
        <v>636</v>
      </c>
      <c r="F3462">
        <v>2394085800</v>
      </c>
      <c r="G3462">
        <v>1275709823</v>
      </c>
      <c r="H3462">
        <v>1164933485</v>
      </c>
      <c r="I3462">
        <v>867147621</v>
      </c>
      <c r="J3462">
        <v>540738188</v>
      </c>
      <c r="K3462">
        <v>359344881</v>
      </c>
      <c r="L3462">
        <v>344869233</v>
      </c>
      <c r="M3462">
        <v>308336093</v>
      </c>
      <c r="N3462">
        <v>329996287</v>
      </c>
      <c r="O3462">
        <v>298757789</v>
      </c>
      <c r="P3462">
        <v>190</v>
      </c>
      <c r="Q3462" t="s">
        <v>7269</v>
      </c>
    </row>
    <row r="3463" spans="1:17" x14ac:dyDescent="0.3">
      <c r="A3463" t="s">
        <v>4729</v>
      </c>
      <c r="B3463" t="str">
        <f>"002739"</f>
        <v>002739</v>
      </c>
      <c r="C3463" t="s">
        <v>7270</v>
      </c>
      <c r="D3463" t="s">
        <v>2573</v>
      </c>
      <c r="F3463">
        <v>12490346328</v>
      </c>
      <c r="G3463">
        <v>6295481617</v>
      </c>
      <c r="H3463">
        <v>15435362986</v>
      </c>
      <c r="I3463">
        <v>14088133742</v>
      </c>
      <c r="J3463">
        <v>13229380320</v>
      </c>
      <c r="K3463">
        <v>11209323679</v>
      </c>
      <c r="L3463">
        <v>8000733795</v>
      </c>
      <c r="M3463">
        <v>5338992065</v>
      </c>
      <c r="N3463">
        <v>4022557517</v>
      </c>
      <c r="O3463">
        <v>3031112656</v>
      </c>
      <c r="P3463">
        <v>911</v>
      </c>
      <c r="Q3463" t="s">
        <v>7271</v>
      </c>
    </row>
    <row r="3464" spans="1:17" x14ac:dyDescent="0.3">
      <c r="A3464" t="s">
        <v>4729</v>
      </c>
      <c r="B3464" t="str">
        <f>"002740"</f>
        <v>002740</v>
      </c>
      <c r="C3464" t="s">
        <v>7272</v>
      </c>
      <c r="D3464" t="s">
        <v>1238</v>
      </c>
      <c r="F3464">
        <v>841981877</v>
      </c>
      <c r="G3464">
        <v>1514315524</v>
      </c>
      <c r="H3464">
        <v>1941109415</v>
      </c>
      <c r="I3464">
        <v>1876700829</v>
      </c>
      <c r="J3464">
        <v>1843269598</v>
      </c>
      <c r="K3464">
        <v>1184346088</v>
      </c>
      <c r="L3464">
        <v>839515616</v>
      </c>
      <c r="M3464">
        <v>884901700</v>
      </c>
      <c r="N3464">
        <v>798964318</v>
      </c>
      <c r="O3464">
        <v>727723099</v>
      </c>
      <c r="P3464">
        <v>78</v>
      </c>
      <c r="Q3464" t="s">
        <v>7273</v>
      </c>
    </row>
    <row r="3465" spans="1:17" x14ac:dyDescent="0.3">
      <c r="A3465" t="s">
        <v>4729</v>
      </c>
      <c r="B3465" t="str">
        <f>"002741"</f>
        <v>002741</v>
      </c>
      <c r="C3465" t="s">
        <v>7274</v>
      </c>
      <c r="D3465" t="s">
        <v>2408</v>
      </c>
      <c r="F3465">
        <v>2580095761</v>
      </c>
      <c r="G3465">
        <v>2014264550</v>
      </c>
      <c r="H3465">
        <v>1713623496</v>
      </c>
      <c r="I3465">
        <v>1520220087</v>
      </c>
      <c r="J3465">
        <v>1299191410</v>
      </c>
      <c r="K3465">
        <v>991714332</v>
      </c>
      <c r="L3465">
        <v>862850016</v>
      </c>
      <c r="M3465">
        <v>773581728</v>
      </c>
      <c r="N3465">
        <v>666879476</v>
      </c>
      <c r="O3465">
        <v>602583747</v>
      </c>
      <c r="P3465">
        <v>187</v>
      </c>
      <c r="Q3465" t="s">
        <v>7275</v>
      </c>
    </row>
    <row r="3466" spans="1:17" x14ac:dyDescent="0.3">
      <c r="A3466" t="s">
        <v>4729</v>
      </c>
      <c r="B3466" t="str">
        <f>"002742"</f>
        <v>002742</v>
      </c>
      <c r="C3466" t="s">
        <v>7276</v>
      </c>
      <c r="D3466" t="s">
        <v>3098</v>
      </c>
      <c r="F3466">
        <v>2489145222</v>
      </c>
      <c r="G3466">
        <v>2549509858</v>
      </c>
      <c r="H3466">
        <v>3180117050</v>
      </c>
      <c r="I3466">
        <v>2865241754</v>
      </c>
      <c r="J3466">
        <v>1902471917</v>
      </c>
      <c r="K3466">
        <v>1512803855</v>
      </c>
      <c r="L3466">
        <v>1410854368</v>
      </c>
      <c r="M3466">
        <v>1270806393</v>
      </c>
      <c r="N3466">
        <v>1173970225</v>
      </c>
      <c r="O3466">
        <v>1061736986</v>
      </c>
      <c r="P3466">
        <v>67</v>
      </c>
      <c r="Q3466" t="s">
        <v>7277</v>
      </c>
    </row>
    <row r="3467" spans="1:17" x14ac:dyDescent="0.3">
      <c r="A3467" t="s">
        <v>4729</v>
      </c>
      <c r="B3467" t="str">
        <f>"002743"</f>
        <v>002743</v>
      </c>
      <c r="C3467" t="s">
        <v>7278</v>
      </c>
      <c r="D3467" t="s">
        <v>978</v>
      </c>
      <c r="F3467">
        <v>5737485934</v>
      </c>
      <c r="G3467">
        <v>4074415981</v>
      </c>
      <c r="H3467">
        <v>3739840077</v>
      </c>
      <c r="I3467">
        <v>3531671824</v>
      </c>
      <c r="J3467">
        <v>2812928014</v>
      </c>
      <c r="K3467">
        <v>2381502233</v>
      </c>
      <c r="L3467">
        <v>1494747339</v>
      </c>
      <c r="M3467">
        <v>1834814561</v>
      </c>
      <c r="N3467">
        <v>1873300336</v>
      </c>
      <c r="O3467">
        <v>1622324270</v>
      </c>
      <c r="P3467">
        <v>77</v>
      </c>
      <c r="Q3467" t="s">
        <v>7279</v>
      </c>
    </row>
    <row r="3468" spans="1:17" x14ac:dyDescent="0.3">
      <c r="A3468" t="s">
        <v>4729</v>
      </c>
      <c r="B3468" t="str">
        <f>"002745"</f>
        <v>002745</v>
      </c>
      <c r="C3468" t="s">
        <v>7280</v>
      </c>
      <c r="D3468" t="s">
        <v>803</v>
      </c>
      <c r="F3468">
        <v>18614613547</v>
      </c>
      <c r="G3468">
        <v>17381307066</v>
      </c>
      <c r="H3468">
        <v>18972686221</v>
      </c>
      <c r="I3468">
        <v>17951855718</v>
      </c>
      <c r="J3468">
        <v>8168725597</v>
      </c>
      <c r="K3468">
        <v>5520495889</v>
      </c>
      <c r="L3468">
        <v>3881608744</v>
      </c>
      <c r="M3468">
        <v>4001667872</v>
      </c>
      <c r="N3468">
        <v>2873646579</v>
      </c>
      <c r="O3468">
        <v>1785591685</v>
      </c>
      <c r="P3468">
        <v>324</v>
      </c>
      <c r="Q3468" t="s">
        <v>7281</v>
      </c>
    </row>
    <row r="3469" spans="1:17" x14ac:dyDescent="0.3">
      <c r="A3469" t="s">
        <v>4729</v>
      </c>
      <c r="B3469" t="str">
        <f>"002746"</f>
        <v>002746</v>
      </c>
      <c r="C3469" t="s">
        <v>7282</v>
      </c>
      <c r="D3469" t="s">
        <v>6260</v>
      </c>
      <c r="F3469">
        <v>3311775721</v>
      </c>
      <c r="G3469">
        <v>3188320694</v>
      </c>
      <c r="H3469">
        <v>3533387137</v>
      </c>
      <c r="I3469">
        <v>2577797692</v>
      </c>
      <c r="J3469">
        <v>2164000030</v>
      </c>
      <c r="K3469">
        <v>2095018759</v>
      </c>
      <c r="L3469">
        <v>1755788003</v>
      </c>
      <c r="M3469">
        <v>1734689382</v>
      </c>
      <c r="N3469">
        <v>1773071970</v>
      </c>
      <c r="O3469">
        <v>2007121373</v>
      </c>
      <c r="P3469">
        <v>457</v>
      </c>
      <c r="Q3469" t="s">
        <v>7283</v>
      </c>
    </row>
    <row r="3470" spans="1:17" x14ac:dyDescent="0.3">
      <c r="A3470" t="s">
        <v>4729</v>
      </c>
      <c r="B3470" t="str">
        <f>"002747"</f>
        <v>002747</v>
      </c>
      <c r="C3470" t="s">
        <v>7284</v>
      </c>
      <c r="D3470" t="s">
        <v>2938</v>
      </c>
      <c r="F3470">
        <v>3020377353</v>
      </c>
      <c r="G3470">
        <v>2510166561</v>
      </c>
      <c r="H3470">
        <v>1421459715</v>
      </c>
      <c r="I3470">
        <v>1461024578</v>
      </c>
      <c r="J3470">
        <v>1076503103</v>
      </c>
      <c r="K3470">
        <v>678349722</v>
      </c>
      <c r="L3470">
        <v>483144103</v>
      </c>
      <c r="M3470">
        <v>511866727</v>
      </c>
      <c r="N3470">
        <v>450126803</v>
      </c>
      <c r="O3470">
        <v>398065636</v>
      </c>
      <c r="P3470">
        <v>474</v>
      </c>
      <c r="Q3470" t="s">
        <v>7285</v>
      </c>
    </row>
    <row r="3471" spans="1:17" x14ac:dyDescent="0.3">
      <c r="A3471" t="s">
        <v>4729</v>
      </c>
      <c r="B3471" t="str">
        <f>"002748"</f>
        <v>002748</v>
      </c>
      <c r="C3471" t="s">
        <v>7286</v>
      </c>
      <c r="D3471" t="s">
        <v>175</v>
      </c>
      <c r="F3471">
        <v>2174593115</v>
      </c>
      <c r="G3471">
        <v>1571596892</v>
      </c>
      <c r="H3471">
        <v>1849512179</v>
      </c>
      <c r="I3471">
        <v>1484846983</v>
      </c>
      <c r="J3471">
        <v>1201491857</v>
      </c>
      <c r="K3471">
        <v>1000825200</v>
      </c>
      <c r="L3471">
        <v>874853677</v>
      </c>
      <c r="M3471">
        <v>1047887996</v>
      </c>
      <c r="N3471">
        <v>1079789510</v>
      </c>
      <c r="O3471">
        <v>1052057358</v>
      </c>
      <c r="P3471">
        <v>77</v>
      </c>
      <c r="Q3471" t="s">
        <v>7287</v>
      </c>
    </row>
    <row r="3472" spans="1:17" x14ac:dyDescent="0.3">
      <c r="A3472" t="s">
        <v>4729</v>
      </c>
      <c r="B3472" t="str">
        <f>"002749"</f>
        <v>002749</v>
      </c>
      <c r="C3472" t="s">
        <v>7288</v>
      </c>
      <c r="D3472" t="s">
        <v>853</v>
      </c>
      <c r="F3472">
        <v>1358479188</v>
      </c>
      <c r="G3472">
        <v>1160043314</v>
      </c>
      <c r="H3472">
        <v>1014280693</v>
      </c>
      <c r="I3472">
        <v>865419720</v>
      </c>
      <c r="J3472">
        <v>737323133</v>
      </c>
      <c r="K3472">
        <v>614263000</v>
      </c>
      <c r="L3472">
        <v>605019988</v>
      </c>
      <c r="M3472">
        <v>583514720</v>
      </c>
      <c r="N3472">
        <v>602421492</v>
      </c>
      <c r="O3472">
        <v>531096710</v>
      </c>
      <c r="P3472">
        <v>9783</v>
      </c>
      <c r="Q3472" t="s">
        <v>7289</v>
      </c>
    </row>
    <row r="3473" spans="1:17" x14ac:dyDescent="0.3">
      <c r="A3473" t="s">
        <v>4729</v>
      </c>
      <c r="B3473" t="str">
        <f>"002750"</f>
        <v>002750</v>
      </c>
      <c r="C3473" t="s">
        <v>7290</v>
      </c>
      <c r="D3473" t="s">
        <v>188</v>
      </c>
      <c r="F3473">
        <v>702518675</v>
      </c>
      <c r="G3473">
        <v>254026718</v>
      </c>
      <c r="H3473">
        <v>275292322</v>
      </c>
      <c r="I3473">
        <v>335984895</v>
      </c>
      <c r="J3473">
        <v>304447656</v>
      </c>
      <c r="K3473">
        <v>223631230</v>
      </c>
      <c r="L3473">
        <v>181428198</v>
      </c>
      <c r="M3473">
        <v>187402083</v>
      </c>
      <c r="N3473">
        <v>178852941</v>
      </c>
      <c r="O3473">
        <v>182133218</v>
      </c>
      <c r="P3473">
        <v>142</v>
      </c>
      <c r="Q3473" t="s">
        <v>7291</v>
      </c>
    </row>
    <row r="3474" spans="1:17" x14ac:dyDescent="0.3">
      <c r="A3474" t="s">
        <v>4729</v>
      </c>
      <c r="B3474" t="str">
        <f>"002751"</f>
        <v>002751</v>
      </c>
      <c r="C3474" t="s">
        <v>7292</v>
      </c>
      <c r="D3474" t="s">
        <v>1673</v>
      </c>
      <c r="F3474">
        <v>803661364</v>
      </c>
      <c r="G3474">
        <v>1024272655</v>
      </c>
      <c r="H3474">
        <v>1045536332</v>
      </c>
      <c r="I3474">
        <v>1124034641</v>
      </c>
      <c r="J3474">
        <v>732427695</v>
      </c>
      <c r="K3474">
        <v>640466361</v>
      </c>
      <c r="L3474">
        <v>537177624</v>
      </c>
      <c r="M3474">
        <v>434208403</v>
      </c>
      <c r="N3474">
        <v>370086050</v>
      </c>
      <c r="O3474">
        <v>352443702</v>
      </c>
      <c r="P3474">
        <v>145</v>
      </c>
      <c r="Q3474" t="s">
        <v>7293</v>
      </c>
    </row>
    <row r="3475" spans="1:17" x14ac:dyDescent="0.3">
      <c r="A3475" t="s">
        <v>4729</v>
      </c>
      <c r="B3475" t="str">
        <f>"002752"</f>
        <v>002752</v>
      </c>
      <c r="C3475" t="s">
        <v>7294</v>
      </c>
      <c r="D3475" t="s">
        <v>2373</v>
      </c>
      <c r="F3475">
        <v>5166116308</v>
      </c>
      <c r="G3475">
        <v>2903006465</v>
      </c>
      <c r="H3475">
        <v>2549482502</v>
      </c>
      <c r="I3475">
        <v>2098304494</v>
      </c>
      <c r="J3475">
        <v>2055122170</v>
      </c>
      <c r="K3475">
        <v>2159076932</v>
      </c>
      <c r="L3475">
        <v>2040259316</v>
      </c>
      <c r="M3475">
        <v>1870470221</v>
      </c>
      <c r="N3475">
        <v>1735889693</v>
      </c>
      <c r="O3475">
        <v>1313625411</v>
      </c>
      <c r="P3475">
        <v>79</v>
      </c>
      <c r="Q3475" t="s">
        <v>7295</v>
      </c>
    </row>
    <row r="3476" spans="1:17" x14ac:dyDescent="0.3">
      <c r="A3476" t="s">
        <v>4729</v>
      </c>
      <c r="B3476" t="str">
        <f>"002753"</f>
        <v>002753</v>
      </c>
      <c r="C3476" t="s">
        <v>7296</v>
      </c>
      <c r="D3476" t="s">
        <v>3646</v>
      </c>
      <c r="F3476">
        <v>3759016833</v>
      </c>
      <c r="G3476">
        <v>2391239921</v>
      </c>
      <c r="H3476">
        <v>2856035739</v>
      </c>
      <c r="I3476">
        <v>2587091753</v>
      </c>
      <c r="J3476">
        <v>1985337878</v>
      </c>
      <c r="K3476">
        <v>1096262402</v>
      </c>
      <c r="L3476">
        <v>865344078</v>
      </c>
      <c r="M3476">
        <v>848356947</v>
      </c>
      <c r="N3476">
        <v>823962959</v>
      </c>
      <c r="O3476">
        <v>724962544</v>
      </c>
      <c r="P3476">
        <v>170</v>
      </c>
      <c r="Q3476" t="s">
        <v>7297</v>
      </c>
    </row>
    <row r="3477" spans="1:17" x14ac:dyDescent="0.3">
      <c r="A3477" t="s">
        <v>4729</v>
      </c>
      <c r="B3477" t="str">
        <f>"002755"</f>
        <v>002755</v>
      </c>
      <c r="C3477" t="s">
        <v>7298</v>
      </c>
      <c r="D3477" t="s">
        <v>143</v>
      </c>
      <c r="F3477">
        <v>3106666569</v>
      </c>
      <c r="G3477">
        <v>3782688912</v>
      </c>
      <c r="H3477">
        <v>4518631692</v>
      </c>
      <c r="I3477">
        <v>3931881727</v>
      </c>
      <c r="J3477">
        <v>365933931</v>
      </c>
      <c r="K3477">
        <v>178357925</v>
      </c>
      <c r="L3477">
        <v>278157189</v>
      </c>
      <c r="M3477">
        <v>470869197</v>
      </c>
      <c r="N3477">
        <v>500424756</v>
      </c>
      <c r="O3477">
        <v>494258426</v>
      </c>
      <c r="P3477">
        <v>307</v>
      </c>
      <c r="Q3477" t="s">
        <v>7299</v>
      </c>
    </row>
    <row r="3478" spans="1:17" x14ac:dyDescent="0.3">
      <c r="A3478" t="s">
        <v>4729</v>
      </c>
      <c r="B3478" t="str">
        <f>"002756"</f>
        <v>002756</v>
      </c>
      <c r="C3478" t="s">
        <v>7300</v>
      </c>
      <c r="D3478" t="s">
        <v>281</v>
      </c>
      <c r="F3478">
        <v>7199256428</v>
      </c>
      <c r="G3478">
        <v>4973126242</v>
      </c>
      <c r="H3478">
        <v>4909422346</v>
      </c>
      <c r="I3478">
        <v>4794349604</v>
      </c>
      <c r="J3478">
        <v>4031240287</v>
      </c>
      <c r="K3478">
        <v>3163257004</v>
      </c>
      <c r="L3478">
        <v>3360083608</v>
      </c>
      <c r="M3478">
        <v>4018821979</v>
      </c>
      <c r="N3478">
        <v>3769498186</v>
      </c>
      <c r="O3478">
        <v>4803535345</v>
      </c>
      <c r="P3478">
        <v>305</v>
      </c>
      <c r="Q3478" t="s">
        <v>7301</v>
      </c>
    </row>
    <row r="3479" spans="1:17" x14ac:dyDescent="0.3">
      <c r="A3479" t="s">
        <v>4729</v>
      </c>
      <c r="B3479" t="str">
        <f>"002757"</f>
        <v>002757</v>
      </c>
      <c r="C3479" t="s">
        <v>7302</v>
      </c>
      <c r="D3479" t="s">
        <v>741</v>
      </c>
      <c r="F3479">
        <v>2776783416</v>
      </c>
      <c r="G3479">
        <v>2132920290</v>
      </c>
      <c r="H3479">
        <v>1519972766</v>
      </c>
      <c r="I3479">
        <v>1125867750</v>
      </c>
      <c r="J3479">
        <v>781179934</v>
      </c>
      <c r="K3479">
        <v>502747975</v>
      </c>
      <c r="L3479">
        <v>464401948</v>
      </c>
      <c r="M3479">
        <v>543110640</v>
      </c>
      <c r="N3479">
        <v>474452929</v>
      </c>
      <c r="O3479">
        <v>363407811</v>
      </c>
      <c r="P3479">
        <v>267</v>
      </c>
      <c r="Q3479" t="s">
        <v>7303</v>
      </c>
    </row>
    <row r="3480" spans="1:17" x14ac:dyDescent="0.3">
      <c r="A3480" t="s">
        <v>4729</v>
      </c>
      <c r="B3480" t="str">
        <f>"002758"</f>
        <v>002758</v>
      </c>
      <c r="C3480" t="s">
        <v>7304</v>
      </c>
      <c r="D3480" t="s">
        <v>125</v>
      </c>
      <c r="F3480">
        <v>35143834633</v>
      </c>
      <c r="G3480">
        <v>28747252789</v>
      </c>
      <c r="H3480">
        <v>1679074959</v>
      </c>
      <c r="I3480">
        <v>1522689101</v>
      </c>
      <c r="J3480">
        <v>1369098128</v>
      </c>
      <c r="K3480">
        <v>1257977044</v>
      </c>
      <c r="L3480">
        <v>1219935572</v>
      </c>
      <c r="M3480">
        <v>1143890049</v>
      </c>
      <c r="N3480">
        <v>1048455317</v>
      </c>
      <c r="O3480">
        <v>952966502</v>
      </c>
      <c r="P3480">
        <v>180</v>
      </c>
      <c r="Q3480" t="s">
        <v>7305</v>
      </c>
    </row>
    <row r="3481" spans="1:17" x14ac:dyDescent="0.3">
      <c r="A3481" t="s">
        <v>4729</v>
      </c>
      <c r="B3481" t="str">
        <f>"002759"</f>
        <v>002759</v>
      </c>
      <c r="C3481" t="s">
        <v>7306</v>
      </c>
      <c r="D3481" t="s">
        <v>1790</v>
      </c>
      <c r="F3481">
        <v>2252564971</v>
      </c>
      <c r="G3481">
        <v>742829811</v>
      </c>
      <c r="H3481">
        <v>774320228</v>
      </c>
      <c r="I3481">
        <v>860637591</v>
      </c>
      <c r="J3481">
        <v>853371821</v>
      </c>
      <c r="K3481">
        <v>498883144</v>
      </c>
      <c r="L3481">
        <v>412077390</v>
      </c>
      <c r="M3481">
        <v>400610259</v>
      </c>
      <c r="N3481">
        <v>370078295</v>
      </c>
      <c r="O3481">
        <v>330295913</v>
      </c>
      <c r="P3481">
        <v>251</v>
      </c>
      <c r="Q3481" t="s">
        <v>7307</v>
      </c>
    </row>
    <row r="3482" spans="1:17" x14ac:dyDescent="0.3">
      <c r="A3482" t="s">
        <v>4729</v>
      </c>
      <c r="B3482" t="str">
        <f>"002760"</f>
        <v>002760</v>
      </c>
      <c r="C3482" t="s">
        <v>7308</v>
      </c>
      <c r="D3482" t="s">
        <v>404</v>
      </c>
      <c r="F3482">
        <v>945042595</v>
      </c>
      <c r="G3482">
        <v>704424279</v>
      </c>
      <c r="H3482">
        <v>610567644</v>
      </c>
      <c r="I3482">
        <v>468736699</v>
      </c>
      <c r="J3482">
        <v>367581885</v>
      </c>
      <c r="K3482">
        <v>306964966</v>
      </c>
      <c r="L3482">
        <v>417161095</v>
      </c>
      <c r="M3482">
        <v>522204562</v>
      </c>
      <c r="N3482">
        <v>576679342</v>
      </c>
      <c r="O3482">
        <v>659262267</v>
      </c>
      <c r="P3482">
        <v>72</v>
      </c>
      <c r="Q3482" t="s">
        <v>7309</v>
      </c>
    </row>
    <row r="3483" spans="1:17" x14ac:dyDescent="0.3">
      <c r="A3483" t="s">
        <v>4729</v>
      </c>
      <c r="B3483" t="str">
        <f>"002761"</f>
        <v>002761</v>
      </c>
      <c r="C3483" t="s">
        <v>7310</v>
      </c>
      <c r="D3483" t="s">
        <v>398</v>
      </c>
      <c r="F3483">
        <v>95334954933</v>
      </c>
      <c r="G3483">
        <v>79549653110</v>
      </c>
      <c r="H3483">
        <v>75649475026</v>
      </c>
      <c r="I3483">
        <v>902825221</v>
      </c>
      <c r="J3483">
        <v>680825128</v>
      </c>
      <c r="K3483">
        <v>670123205</v>
      </c>
      <c r="L3483">
        <v>596485118</v>
      </c>
      <c r="M3483">
        <v>672111009</v>
      </c>
      <c r="N3483">
        <v>812530908</v>
      </c>
      <c r="O3483">
        <v>798483705</v>
      </c>
      <c r="P3483">
        <v>195</v>
      </c>
      <c r="Q3483" t="s">
        <v>7311</v>
      </c>
    </row>
    <row r="3484" spans="1:17" x14ac:dyDescent="0.3">
      <c r="A3484" t="s">
        <v>4729</v>
      </c>
      <c r="B3484" t="str">
        <f>"002762"</f>
        <v>002762</v>
      </c>
      <c r="C3484" t="s">
        <v>7312</v>
      </c>
      <c r="D3484" t="s">
        <v>255</v>
      </c>
      <c r="F3484">
        <v>299319917</v>
      </c>
      <c r="G3484">
        <v>313130138</v>
      </c>
      <c r="H3484">
        <v>438279493</v>
      </c>
      <c r="I3484">
        <v>453769351</v>
      </c>
      <c r="J3484">
        <v>430144653</v>
      </c>
      <c r="K3484">
        <v>385411383</v>
      </c>
      <c r="L3484">
        <v>363624012</v>
      </c>
      <c r="M3484">
        <v>406916576</v>
      </c>
      <c r="N3484">
        <v>380379742</v>
      </c>
      <c r="O3484">
        <v>333271349</v>
      </c>
      <c r="P3484">
        <v>128</v>
      </c>
      <c r="Q3484" t="s">
        <v>7313</v>
      </c>
    </row>
    <row r="3485" spans="1:17" x14ac:dyDescent="0.3">
      <c r="A3485" t="s">
        <v>4729</v>
      </c>
      <c r="B3485" t="str">
        <f>"002763"</f>
        <v>002763</v>
      </c>
      <c r="C3485" t="s">
        <v>7314</v>
      </c>
      <c r="D3485" t="s">
        <v>330</v>
      </c>
      <c r="F3485">
        <v>2733174948</v>
      </c>
      <c r="G3485">
        <v>2372856867</v>
      </c>
      <c r="H3485">
        <v>2585324792</v>
      </c>
      <c r="I3485">
        <v>2354780015</v>
      </c>
      <c r="J3485">
        <v>2136340569</v>
      </c>
      <c r="K3485">
        <v>2048772091</v>
      </c>
      <c r="L3485">
        <v>1887547145</v>
      </c>
      <c r="M3485">
        <v>1653882568</v>
      </c>
      <c r="N3485">
        <v>1481181775</v>
      </c>
      <c r="O3485">
        <v>1344900241</v>
      </c>
      <c r="P3485">
        <v>293</v>
      </c>
      <c r="Q3485" t="s">
        <v>7315</v>
      </c>
    </row>
    <row r="3486" spans="1:17" x14ac:dyDescent="0.3">
      <c r="A3486" t="s">
        <v>4729</v>
      </c>
      <c r="B3486" t="str">
        <f>"002765"</f>
        <v>002765</v>
      </c>
      <c r="C3486" t="s">
        <v>7316</v>
      </c>
      <c r="D3486" t="s">
        <v>1117</v>
      </c>
      <c r="F3486">
        <v>3139490003</v>
      </c>
      <c r="G3486">
        <v>2454688922</v>
      </c>
      <c r="H3486">
        <v>1136464220</v>
      </c>
      <c r="I3486">
        <v>867220786</v>
      </c>
      <c r="J3486">
        <v>1215091244</v>
      </c>
      <c r="K3486">
        <v>1160642412</v>
      </c>
      <c r="L3486">
        <v>783370101</v>
      </c>
      <c r="M3486">
        <v>780694115</v>
      </c>
      <c r="N3486">
        <v>655384017</v>
      </c>
      <c r="O3486">
        <v>698510891</v>
      </c>
      <c r="P3486">
        <v>118</v>
      </c>
      <c r="Q3486" t="s">
        <v>7317</v>
      </c>
    </row>
    <row r="3487" spans="1:17" x14ac:dyDescent="0.3">
      <c r="A3487" t="s">
        <v>4729</v>
      </c>
      <c r="B3487" t="str">
        <f>"002766"</f>
        <v>002766</v>
      </c>
      <c r="C3487" t="s">
        <v>7318</v>
      </c>
      <c r="D3487" t="s">
        <v>1415</v>
      </c>
      <c r="F3487">
        <v>761957592</v>
      </c>
      <c r="G3487">
        <v>1026450918</v>
      </c>
      <c r="H3487">
        <v>939418974</v>
      </c>
      <c r="I3487">
        <v>1007521154</v>
      </c>
      <c r="J3487">
        <v>1151406640</v>
      </c>
      <c r="K3487">
        <v>545331503</v>
      </c>
      <c r="L3487">
        <v>808528236</v>
      </c>
      <c r="M3487">
        <v>770776208</v>
      </c>
      <c r="N3487">
        <v>746098869</v>
      </c>
      <c r="O3487">
        <v>814877773</v>
      </c>
      <c r="P3487">
        <v>85</v>
      </c>
      <c r="Q3487" t="s">
        <v>7319</v>
      </c>
    </row>
    <row r="3488" spans="1:17" x14ac:dyDescent="0.3">
      <c r="A3488" t="s">
        <v>4729</v>
      </c>
      <c r="B3488" t="str">
        <f>"002767"</f>
        <v>002767</v>
      </c>
      <c r="C3488" t="s">
        <v>7320</v>
      </c>
      <c r="D3488" t="s">
        <v>2566</v>
      </c>
      <c r="F3488">
        <v>475539032</v>
      </c>
      <c r="G3488">
        <v>354441163</v>
      </c>
      <c r="H3488">
        <v>317748395</v>
      </c>
      <c r="I3488">
        <v>289022574</v>
      </c>
      <c r="J3488">
        <v>309809917</v>
      </c>
      <c r="K3488">
        <v>292912487</v>
      </c>
      <c r="L3488">
        <v>291147404</v>
      </c>
      <c r="M3488">
        <v>306724273</v>
      </c>
      <c r="N3488">
        <v>299425536</v>
      </c>
      <c r="O3488">
        <v>267158112</v>
      </c>
      <c r="P3488">
        <v>72</v>
      </c>
      <c r="Q3488" t="s">
        <v>7321</v>
      </c>
    </row>
    <row r="3489" spans="1:17" x14ac:dyDescent="0.3">
      <c r="A3489" t="s">
        <v>4729</v>
      </c>
      <c r="B3489" t="str">
        <f>"002768"</f>
        <v>002768</v>
      </c>
      <c r="C3489" t="s">
        <v>7322</v>
      </c>
      <c r="D3489" t="s">
        <v>341</v>
      </c>
      <c r="F3489">
        <v>9765988976</v>
      </c>
      <c r="G3489">
        <v>7181295031</v>
      </c>
      <c r="H3489">
        <v>5069353665</v>
      </c>
      <c r="I3489">
        <v>3724265518</v>
      </c>
      <c r="J3489">
        <v>2046932550</v>
      </c>
      <c r="K3489">
        <v>1282759501</v>
      </c>
      <c r="L3489">
        <v>750033994</v>
      </c>
      <c r="M3489">
        <v>682788445</v>
      </c>
      <c r="N3489">
        <v>573387898</v>
      </c>
      <c r="O3489">
        <v>423898285</v>
      </c>
      <c r="P3489">
        <v>595</v>
      </c>
      <c r="Q3489" t="s">
        <v>7323</v>
      </c>
    </row>
    <row r="3490" spans="1:17" x14ac:dyDescent="0.3">
      <c r="A3490" t="s">
        <v>4729</v>
      </c>
      <c r="B3490" t="str">
        <f>"002769"</f>
        <v>002769</v>
      </c>
      <c r="C3490" t="s">
        <v>7324</v>
      </c>
      <c r="D3490" t="s">
        <v>3125</v>
      </c>
      <c r="F3490">
        <v>2572254464</v>
      </c>
      <c r="G3490">
        <v>3255111387</v>
      </c>
      <c r="H3490">
        <v>6512430900</v>
      </c>
      <c r="I3490">
        <v>5772278518</v>
      </c>
      <c r="J3490">
        <v>5380662496</v>
      </c>
      <c r="K3490">
        <v>3595007734</v>
      </c>
      <c r="L3490">
        <v>3710546152</v>
      </c>
      <c r="M3490">
        <v>3132578589</v>
      </c>
      <c r="N3490">
        <v>4413975284</v>
      </c>
      <c r="O3490">
        <v>4976572254</v>
      </c>
      <c r="P3490">
        <v>96</v>
      </c>
      <c r="Q3490" t="s">
        <v>7325</v>
      </c>
    </row>
    <row r="3491" spans="1:17" x14ac:dyDescent="0.3">
      <c r="A3491" t="s">
        <v>4729</v>
      </c>
      <c r="B3491" t="str">
        <f>"002770"</f>
        <v>002770</v>
      </c>
      <c r="C3491" t="s">
        <v>7326</v>
      </c>
      <c r="D3491" t="s">
        <v>900</v>
      </c>
      <c r="F3491">
        <v>591126729</v>
      </c>
      <c r="G3491">
        <v>475869678</v>
      </c>
      <c r="H3491">
        <v>565522501</v>
      </c>
      <c r="I3491">
        <v>1285038781</v>
      </c>
      <c r="J3491">
        <v>1238707704</v>
      </c>
      <c r="K3491">
        <v>804758572</v>
      </c>
      <c r="L3491">
        <v>683064114</v>
      </c>
      <c r="M3491">
        <v>666207064</v>
      </c>
      <c r="N3491">
        <v>638795276</v>
      </c>
      <c r="O3491">
        <v>606471996</v>
      </c>
      <c r="P3491">
        <v>163</v>
      </c>
      <c r="Q3491" t="s">
        <v>7327</v>
      </c>
    </row>
    <row r="3492" spans="1:17" x14ac:dyDescent="0.3">
      <c r="A3492" t="s">
        <v>4729</v>
      </c>
      <c r="B3492" t="str">
        <f>"002771"</f>
        <v>002771</v>
      </c>
      <c r="C3492" t="s">
        <v>7328</v>
      </c>
      <c r="D3492" t="s">
        <v>316</v>
      </c>
      <c r="F3492">
        <v>641012099</v>
      </c>
      <c r="G3492">
        <v>661899574</v>
      </c>
      <c r="H3492">
        <v>745179638</v>
      </c>
      <c r="I3492">
        <v>874189568</v>
      </c>
      <c r="J3492">
        <v>818572605</v>
      </c>
      <c r="K3492">
        <v>794486374</v>
      </c>
      <c r="L3492">
        <v>708715520</v>
      </c>
      <c r="M3492">
        <v>581777952</v>
      </c>
      <c r="N3492">
        <v>650799975</v>
      </c>
      <c r="O3492">
        <v>608907969</v>
      </c>
      <c r="P3492">
        <v>95</v>
      </c>
      <c r="Q3492" t="s">
        <v>7329</v>
      </c>
    </row>
    <row r="3493" spans="1:17" x14ac:dyDescent="0.3">
      <c r="A3493" t="s">
        <v>4729</v>
      </c>
      <c r="B3493" t="str">
        <f>"002772"</f>
        <v>002772</v>
      </c>
      <c r="C3493" t="s">
        <v>7330</v>
      </c>
      <c r="D3493" t="s">
        <v>7331</v>
      </c>
      <c r="F3493">
        <v>1556146725</v>
      </c>
      <c r="G3493">
        <v>1483178492</v>
      </c>
      <c r="H3493">
        <v>1155832460</v>
      </c>
      <c r="I3493">
        <v>926432057</v>
      </c>
      <c r="J3493">
        <v>739792783</v>
      </c>
      <c r="K3493">
        <v>585018459</v>
      </c>
      <c r="L3493">
        <v>479520220</v>
      </c>
      <c r="M3493">
        <v>383497278</v>
      </c>
      <c r="N3493">
        <v>263940603</v>
      </c>
      <c r="O3493">
        <v>190401694</v>
      </c>
      <c r="P3493">
        <v>202</v>
      </c>
      <c r="Q3493" t="s">
        <v>7332</v>
      </c>
    </row>
    <row r="3494" spans="1:17" x14ac:dyDescent="0.3">
      <c r="A3494" t="s">
        <v>4729</v>
      </c>
      <c r="B3494" t="str">
        <f>"002773"</f>
        <v>002773</v>
      </c>
      <c r="C3494" t="s">
        <v>7333</v>
      </c>
      <c r="D3494" t="s">
        <v>143</v>
      </c>
      <c r="F3494">
        <v>3605346553</v>
      </c>
      <c r="G3494">
        <v>3295430120</v>
      </c>
      <c r="H3494">
        <v>3257430098</v>
      </c>
      <c r="I3494">
        <v>2917445132</v>
      </c>
      <c r="J3494">
        <v>2786497001</v>
      </c>
      <c r="K3494">
        <v>2540031522</v>
      </c>
      <c r="L3494">
        <v>2074352062</v>
      </c>
      <c r="M3494">
        <v>1674518541</v>
      </c>
      <c r="N3494">
        <v>1476627528</v>
      </c>
      <c r="O3494">
        <v>1331374425</v>
      </c>
      <c r="P3494">
        <v>5281</v>
      </c>
      <c r="Q3494" t="s">
        <v>7334</v>
      </c>
    </row>
    <row r="3495" spans="1:17" x14ac:dyDescent="0.3">
      <c r="A3495" t="s">
        <v>4729</v>
      </c>
      <c r="B3495" t="str">
        <f>"002774"</f>
        <v>002774</v>
      </c>
      <c r="C3495" t="s">
        <v>7335</v>
      </c>
      <c r="D3495" t="s">
        <v>1691</v>
      </c>
      <c r="F3495">
        <v>1984244674</v>
      </c>
      <c r="G3495">
        <v>939331821</v>
      </c>
      <c r="H3495">
        <v>821580990</v>
      </c>
      <c r="I3495">
        <v>876714304</v>
      </c>
      <c r="J3495">
        <v>749025500</v>
      </c>
      <c r="K3495">
        <v>782291011</v>
      </c>
      <c r="L3495">
        <v>747290062</v>
      </c>
      <c r="M3495">
        <v>828716729</v>
      </c>
      <c r="P3495">
        <v>79</v>
      </c>
      <c r="Q3495" t="s">
        <v>7336</v>
      </c>
    </row>
    <row r="3496" spans="1:17" x14ac:dyDescent="0.3">
      <c r="A3496" t="s">
        <v>4729</v>
      </c>
      <c r="B3496" t="str">
        <f>"002775"</f>
        <v>002775</v>
      </c>
      <c r="C3496" t="s">
        <v>7337</v>
      </c>
      <c r="D3496" t="s">
        <v>2417</v>
      </c>
      <c r="F3496">
        <v>1926291131</v>
      </c>
      <c r="G3496">
        <v>2520203790</v>
      </c>
      <c r="H3496">
        <v>2898628462</v>
      </c>
      <c r="I3496">
        <v>2849204885</v>
      </c>
      <c r="J3496">
        <v>2565440641</v>
      </c>
      <c r="K3496">
        <v>1517126768</v>
      </c>
      <c r="L3496">
        <v>1045943813</v>
      </c>
      <c r="M3496">
        <v>944704103</v>
      </c>
      <c r="N3496">
        <v>849179087</v>
      </c>
      <c r="O3496">
        <v>705438504</v>
      </c>
      <c r="P3496">
        <v>218</v>
      </c>
      <c r="Q3496" t="s">
        <v>7338</v>
      </c>
    </row>
    <row r="3497" spans="1:17" x14ac:dyDescent="0.3">
      <c r="A3497" t="s">
        <v>4729</v>
      </c>
      <c r="B3497" t="str">
        <f>"002776"</f>
        <v>002776</v>
      </c>
      <c r="C3497" t="s">
        <v>7339</v>
      </c>
      <c r="D3497" t="s">
        <v>255</v>
      </c>
      <c r="G3497">
        <v>723203587</v>
      </c>
      <c r="H3497">
        <v>960995680</v>
      </c>
      <c r="I3497">
        <v>1049706687</v>
      </c>
      <c r="J3497">
        <v>841454757</v>
      </c>
      <c r="K3497">
        <v>654694888</v>
      </c>
      <c r="L3497">
        <v>606673942</v>
      </c>
      <c r="M3497">
        <v>549917297</v>
      </c>
      <c r="N3497">
        <v>516212239</v>
      </c>
      <c r="O3497">
        <v>436408285</v>
      </c>
      <c r="P3497">
        <v>125</v>
      </c>
      <c r="Q3497" t="s">
        <v>7340</v>
      </c>
    </row>
    <row r="3498" spans="1:17" x14ac:dyDescent="0.3">
      <c r="A3498" t="s">
        <v>4729</v>
      </c>
      <c r="B3498" t="str">
        <f>"002777"</f>
        <v>002777</v>
      </c>
      <c r="C3498" t="s">
        <v>7341</v>
      </c>
      <c r="D3498" t="s">
        <v>316</v>
      </c>
      <c r="F3498">
        <v>1305907211</v>
      </c>
      <c r="G3498">
        <v>1153540813</v>
      </c>
      <c r="H3498">
        <v>1016378797</v>
      </c>
      <c r="I3498">
        <v>864138783</v>
      </c>
      <c r="J3498">
        <v>690447977</v>
      </c>
      <c r="K3498">
        <v>527433146</v>
      </c>
      <c r="L3498">
        <v>449817898</v>
      </c>
      <c r="M3498">
        <v>365710363</v>
      </c>
      <c r="N3498">
        <v>296835262</v>
      </c>
      <c r="O3498">
        <v>294218605</v>
      </c>
      <c r="P3498">
        <v>372</v>
      </c>
      <c r="Q3498" t="s">
        <v>7342</v>
      </c>
    </row>
    <row r="3499" spans="1:17" x14ac:dyDescent="0.3">
      <c r="A3499" t="s">
        <v>4729</v>
      </c>
      <c r="B3499" t="str">
        <f>"002778"</f>
        <v>002778</v>
      </c>
      <c r="C3499" t="s">
        <v>7343</v>
      </c>
      <c r="D3499" t="s">
        <v>1617</v>
      </c>
      <c r="F3499">
        <v>1031666930</v>
      </c>
      <c r="G3499">
        <v>980924298</v>
      </c>
      <c r="H3499">
        <v>718364511</v>
      </c>
      <c r="I3499">
        <v>688922643</v>
      </c>
      <c r="J3499">
        <v>574575436</v>
      </c>
      <c r="K3499">
        <v>553132384</v>
      </c>
      <c r="L3499">
        <v>577016885</v>
      </c>
      <c r="M3499">
        <v>904412785</v>
      </c>
      <c r="N3499">
        <v>887250705</v>
      </c>
      <c r="O3499">
        <v>964298893</v>
      </c>
      <c r="P3499">
        <v>75</v>
      </c>
      <c r="Q3499" t="s">
        <v>7344</v>
      </c>
    </row>
    <row r="3500" spans="1:17" x14ac:dyDescent="0.3">
      <c r="A3500" t="s">
        <v>4729</v>
      </c>
      <c r="B3500" t="str">
        <f>"002779"</f>
        <v>002779</v>
      </c>
      <c r="C3500" t="s">
        <v>7345</v>
      </c>
      <c r="D3500" t="s">
        <v>741</v>
      </c>
      <c r="F3500">
        <v>540168566</v>
      </c>
      <c r="G3500">
        <v>394879383</v>
      </c>
      <c r="H3500">
        <v>395179830</v>
      </c>
      <c r="I3500">
        <v>416027151</v>
      </c>
      <c r="J3500">
        <v>440922766</v>
      </c>
      <c r="K3500">
        <v>411584093</v>
      </c>
      <c r="L3500">
        <v>460850631</v>
      </c>
      <c r="M3500">
        <v>509912266</v>
      </c>
      <c r="N3500">
        <v>421346284</v>
      </c>
      <c r="O3500">
        <v>414465778</v>
      </c>
      <c r="P3500">
        <v>54</v>
      </c>
      <c r="Q3500" t="s">
        <v>7346</v>
      </c>
    </row>
    <row r="3501" spans="1:17" x14ac:dyDescent="0.3">
      <c r="A3501" t="s">
        <v>4729</v>
      </c>
      <c r="B3501" t="str">
        <f>"002780"</f>
        <v>002780</v>
      </c>
      <c r="C3501" t="s">
        <v>7347</v>
      </c>
      <c r="D3501" t="s">
        <v>3017</v>
      </c>
      <c r="F3501">
        <v>555537570</v>
      </c>
      <c r="G3501">
        <v>467487848</v>
      </c>
      <c r="H3501">
        <v>402286878</v>
      </c>
      <c r="I3501">
        <v>420334023</v>
      </c>
      <c r="J3501">
        <v>351395708</v>
      </c>
      <c r="K3501">
        <v>353254800</v>
      </c>
      <c r="L3501">
        <v>327570305</v>
      </c>
      <c r="M3501">
        <v>291504600</v>
      </c>
      <c r="N3501">
        <v>283969929</v>
      </c>
      <c r="O3501">
        <v>235871992</v>
      </c>
      <c r="P3501">
        <v>85</v>
      </c>
      <c r="Q3501" t="s">
        <v>7348</v>
      </c>
    </row>
    <row r="3502" spans="1:17" x14ac:dyDescent="0.3">
      <c r="A3502" t="s">
        <v>4729</v>
      </c>
      <c r="B3502" t="str">
        <f>"002781"</f>
        <v>002781</v>
      </c>
      <c r="C3502" t="s">
        <v>7349</v>
      </c>
      <c r="D3502" t="s">
        <v>450</v>
      </c>
      <c r="F3502">
        <v>1453424061</v>
      </c>
      <c r="G3502">
        <v>2109572607</v>
      </c>
      <c r="H3502">
        <v>4014476168</v>
      </c>
      <c r="I3502">
        <v>4999370467</v>
      </c>
      <c r="J3502">
        <v>3916080464</v>
      </c>
      <c r="K3502">
        <v>3289669733</v>
      </c>
      <c r="L3502">
        <v>3340194220</v>
      </c>
      <c r="M3502">
        <v>3205880981</v>
      </c>
      <c r="N3502">
        <v>2579959661</v>
      </c>
      <c r="O3502">
        <v>2233009863</v>
      </c>
      <c r="P3502">
        <v>68</v>
      </c>
      <c r="Q3502" t="s">
        <v>7350</v>
      </c>
    </row>
    <row r="3503" spans="1:17" x14ac:dyDescent="0.3">
      <c r="A3503" t="s">
        <v>4729</v>
      </c>
      <c r="B3503" t="str">
        <f>"002782"</f>
        <v>002782</v>
      </c>
      <c r="C3503" t="s">
        <v>7351</v>
      </c>
      <c r="D3503" t="s">
        <v>313</v>
      </c>
      <c r="F3503">
        <v>1648921738</v>
      </c>
      <c r="G3503">
        <v>1279890651</v>
      </c>
      <c r="H3503">
        <v>1109472660</v>
      </c>
      <c r="I3503">
        <v>1093559105</v>
      </c>
      <c r="J3503">
        <v>924180242</v>
      </c>
      <c r="K3503">
        <v>830640332</v>
      </c>
      <c r="L3503">
        <v>743978449</v>
      </c>
      <c r="M3503">
        <v>742725138</v>
      </c>
      <c r="N3503">
        <v>654767637</v>
      </c>
      <c r="O3503">
        <v>693310884</v>
      </c>
      <c r="P3503">
        <v>167</v>
      </c>
      <c r="Q3503" t="s">
        <v>7352</v>
      </c>
    </row>
    <row r="3504" spans="1:17" x14ac:dyDescent="0.3">
      <c r="A3504" t="s">
        <v>4729</v>
      </c>
      <c r="B3504" t="str">
        <f>"002783"</f>
        <v>002783</v>
      </c>
      <c r="C3504" t="s">
        <v>7353</v>
      </c>
      <c r="D3504" t="s">
        <v>2736</v>
      </c>
      <c r="F3504">
        <v>2741290852</v>
      </c>
      <c r="G3504">
        <v>2010941156</v>
      </c>
      <c r="H3504">
        <v>1891371944</v>
      </c>
      <c r="I3504">
        <v>1865209867</v>
      </c>
      <c r="J3504">
        <v>1358950370</v>
      </c>
      <c r="K3504">
        <v>953713190</v>
      </c>
      <c r="L3504">
        <v>890604851</v>
      </c>
      <c r="M3504">
        <v>884275005</v>
      </c>
      <c r="N3504">
        <v>895938605</v>
      </c>
      <c r="O3504">
        <v>918987487</v>
      </c>
      <c r="P3504">
        <v>112</v>
      </c>
      <c r="Q3504" t="s">
        <v>7354</v>
      </c>
    </row>
    <row r="3505" spans="1:17" x14ac:dyDescent="0.3">
      <c r="A3505" t="s">
        <v>4729</v>
      </c>
      <c r="B3505" t="str">
        <f>"002785"</f>
        <v>002785</v>
      </c>
      <c r="C3505" t="s">
        <v>7355</v>
      </c>
      <c r="D3505" t="s">
        <v>722</v>
      </c>
      <c r="F3505">
        <v>1155380405</v>
      </c>
      <c r="G3505">
        <v>949875152</v>
      </c>
      <c r="H3505">
        <v>1022456185</v>
      </c>
      <c r="I3505">
        <v>1148699197</v>
      </c>
      <c r="J3505">
        <v>923275140</v>
      </c>
      <c r="K3505">
        <v>873443922</v>
      </c>
      <c r="L3505">
        <v>642610230</v>
      </c>
      <c r="M3505">
        <v>630910396</v>
      </c>
      <c r="N3505">
        <v>765624941</v>
      </c>
      <c r="O3505">
        <v>781570095</v>
      </c>
      <c r="P3505">
        <v>57</v>
      </c>
      <c r="Q3505" t="s">
        <v>7356</v>
      </c>
    </row>
    <row r="3506" spans="1:17" x14ac:dyDescent="0.3">
      <c r="A3506" t="s">
        <v>4729</v>
      </c>
      <c r="B3506" t="str">
        <f>"002786"</f>
        <v>002786</v>
      </c>
      <c r="C3506" t="s">
        <v>7357</v>
      </c>
      <c r="D3506" t="s">
        <v>741</v>
      </c>
      <c r="F3506">
        <v>2674048398</v>
      </c>
      <c r="G3506">
        <v>3242156268</v>
      </c>
      <c r="H3506">
        <v>2779183852</v>
      </c>
      <c r="I3506">
        <v>3010018231</v>
      </c>
      <c r="J3506">
        <v>2904735300</v>
      </c>
      <c r="K3506">
        <v>2821770945</v>
      </c>
      <c r="L3506">
        <v>2401828046</v>
      </c>
      <c r="M3506">
        <v>1887300735</v>
      </c>
      <c r="N3506">
        <v>1441305728</v>
      </c>
      <c r="O3506">
        <v>1012881531</v>
      </c>
      <c r="P3506">
        <v>176</v>
      </c>
      <c r="Q3506" t="s">
        <v>7358</v>
      </c>
    </row>
    <row r="3507" spans="1:17" x14ac:dyDescent="0.3">
      <c r="A3507" t="s">
        <v>4729</v>
      </c>
      <c r="B3507" t="str">
        <f>"002787"</f>
        <v>002787</v>
      </c>
      <c r="C3507" t="s">
        <v>7359</v>
      </c>
      <c r="D3507" t="s">
        <v>2373</v>
      </c>
      <c r="F3507">
        <v>2348067370</v>
      </c>
      <c r="G3507">
        <v>1781800109</v>
      </c>
      <c r="H3507">
        <v>1666184270</v>
      </c>
      <c r="I3507">
        <v>1383749944</v>
      </c>
      <c r="J3507">
        <v>1149377290</v>
      </c>
      <c r="K3507">
        <v>1006551361</v>
      </c>
      <c r="L3507">
        <v>909795360</v>
      </c>
      <c r="M3507">
        <v>831898298</v>
      </c>
      <c r="N3507">
        <v>708373713</v>
      </c>
      <c r="O3507">
        <v>543134298</v>
      </c>
      <c r="P3507">
        <v>102</v>
      </c>
      <c r="Q3507" t="s">
        <v>7360</v>
      </c>
    </row>
    <row r="3508" spans="1:17" x14ac:dyDescent="0.3">
      <c r="A3508" t="s">
        <v>4729</v>
      </c>
      <c r="B3508" t="str">
        <f>"002788"</f>
        <v>002788</v>
      </c>
      <c r="C3508" t="s">
        <v>7361</v>
      </c>
      <c r="D3508" t="s">
        <v>125</v>
      </c>
      <c r="F3508">
        <v>17545397268</v>
      </c>
      <c r="G3508">
        <v>15531278462</v>
      </c>
      <c r="H3508">
        <v>15008876119</v>
      </c>
      <c r="I3508">
        <v>11500890955</v>
      </c>
      <c r="J3508">
        <v>8338232824</v>
      </c>
      <c r="K3508">
        <v>6982884984</v>
      </c>
      <c r="L3508">
        <v>6625719875</v>
      </c>
      <c r="M3508">
        <v>6299801694</v>
      </c>
      <c r="N3508">
        <v>5519752155</v>
      </c>
      <c r="O3508">
        <v>4687352437</v>
      </c>
      <c r="P3508">
        <v>162</v>
      </c>
      <c r="Q3508" t="s">
        <v>7362</v>
      </c>
    </row>
    <row r="3509" spans="1:17" x14ac:dyDescent="0.3">
      <c r="A3509" t="s">
        <v>4729</v>
      </c>
      <c r="B3509" t="str">
        <f>"002789"</f>
        <v>002789</v>
      </c>
      <c r="C3509" t="s">
        <v>7363</v>
      </c>
      <c r="D3509" t="s">
        <v>450</v>
      </c>
      <c r="F3509">
        <v>1947823404</v>
      </c>
      <c r="G3509">
        <v>2269386976</v>
      </c>
      <c r="H3509">
        <v>3014873284</v>
      </c>
      <c r="I3509">
        <v>2963612620</v>
      </c>
      <c r="J3509">
        <v>2445048632</v>
      </c>
      <c r="K3509">
        <v>2126903624</v>
      </c>
      <c r="L3509">
        <v>1853468319</v>
      </c>
      <c r="M3509">
        <v>1809663321</v>
      </c>
      <c r="N3509">
        <v>1708741906</v>
      </c>
      <c r="O3509">
        <v>1539825000</v>
      </c>
      <c r="P3509">
        <v>57</v>
      </c>
      <c r="Q3509" t="s">
        <v>7364</v>
      </c>
    </row>
    <row r="3510" spans="1:17" x14ac:dyDescent="0.3">
      <c r="A3510" t="s">
        <v>4729</v>
      </c>
      <c r="B3510" t="str">
        <f>"002790"</f>
        <v>002790</v>
      </c>
      <c r="C3510" t="s">
        <v>7365</v>
      </c>
      <c r="D3510" t="s">
        <v>2912</v>
      </c>
      <c r="F3510">
        <v>1868289949</v>
      </c>
      <c r="G3510">
        <v>1284195762</v>
      </c>
      <c r="H3510">
        <v>1109444022</v>
      </c>
      <c r="I3510">
        <v>993785233</v>
      </c>
      <c r="J3510">
        <v>917320051</v>
      </c>
      <c r="K3510">
        <v>817138491</v>
      </c>
      <c r="L3510">
        <v>815135219</v>
      </c>
      <c r="M3510">
        <v>764298453</v>
      </c>
      <c r="N3510">
        <v>680279125</v>
      </c>
      <c r="O3510">
        <v>592035034</v>
      </c>
      <c r="P3510">
        <v>138</v>
      </c>
      <c r="Q3510" t="s">
        <v>7366</v>
      </c>
    </row>
    <row r="3511" spans="1:17" x14ac:dyDescent="0.3">
      <c r="A3511" t="s">
        <v>4729</v>
      </c>
      <c r="B3511" t="str">
        <f>"002791"</f>
        <v>002791</v>
      </c>
      <c r="C3511" t="s">
        <v>7367</v>
      </c>
      <c r="D3511" t="s">
        <v>722</v>
      </c>
      <c r="F3511">
        <v>8806825399</v>
      </c>
      <c r="G3511">
        <v>6737030537</v>
      </c>
      <c r="H3511">
        <v>5255131407</v>
      </c>
      <c r="I3511">
        <v>3853480246</v>
      </c>
      <c r="J3511">
        <v>3179005067</v>
      </c>
      <c r="K3511">
        <v>2708163074</v>
      </c>
      <c r="L3511">
        <v>2326730346</v>
      </c>
      <c r="M3511">
        <v>2025335060</v>
      </c>
      <c r="N3511">
        <v>1749334862</v>
      </c>
      <c r="O3511">
        <v>1413302865</v>
      </c>
      <c r="P3511">
        <v>554</v>
      </c>
      <c r="Q3511" t="s">
        <v>7368</v>
      </c>
    </row>
    <row r="3512" spans="1:17" x14ac:dyDescent="0.3">
      <c r="A3512" t="s">
        <v>4729</v>
      </c>
      <c r="B3512" t="str">
        <f>"002792"</f>
        <v>002792</v>
      </c>
      <c r="C3512" t="s">
        <v>7369</v>
      </c>
      <c r="D3512" t="s">
        <v>1019</v>
      </c>
      <c r="F3512">
        <v>1386729250</v>
      </c>
      <c r="G3512">
        <v>1509463141</v>
      </c>
      <c r="H3512">
        <v>1637984253</v>
      </c>
      <c r="I3512">
        <v>1264853047</v>
      </c>
      <c r="J3512">
        <v>1535304739</v>
      </c>
      <c r="K3512">
        <v>1218751410</v>
      </c>
      <c r="L3512">
        <v>1328549322</v>
      </c>
      <c r="M3512">
        <v>1500132718</v>
      </c>
      <c r="N3512">
        <v>608805405</v>
      </c>
      <c r="O3512">
        <v>518128556</v>
      </c>
      <c r="P3512">
        <v>343</v>
      </c>
      <c r="Q3512" t="s">
        <v>7370</v>
      </c>
    </row>
    <row r="3513" spans="1:17" x14ac:dyDescent="0.3">
      <c r="A3513" t="s">
        <v>4729</v>
      </c>
      <c r="B3513" t="str">
        <f>"002793"</f>
        <v>002793</v>
      </c>
      <c r="C3513" t="s">
        <v>7371</v>
      </c>
      <c r="D3513" t="s">
        <v>143</v>
      </c>
      <c r="F3513">
        <v>6477932590</v>
      </c>
      <c r="G3513">
        <v>6095945568</v>
      </c>
      <c r="H3513">
        <v>7588790577</v>
      </c>
      <c r="I3513">
        <v>935445821</v>
      </c>
      <c r="J3513">
        <v>828044036</v>
      </c>
      <c r="K3513">
        <v>637397259</v>
      </c>
      <c r="L3513">
        <v>584211860</v>
      </c>
      <c r="M3513">
        <v>537325776</v>
      </c>
      <c r="N3513">
        <v>474174428</v>
      </c>
      <c r="P3513">
        <v>213</v>
      </c>
      <c r="Q3513" t="s">
        <v>7372</v>
      </c>
    </row>
    <row r="3514" spans="1:17" x14ac:dyDescent="0.3">
      <c r="A3514" t="s">
        <v>4729</v>
      </c>
      <c r="B3514" t="str">
        <f>"002795"</f>
        <v>002795</v>
      </c>
      <c r="C3514" t="s">
        <v>7373</v>
      </c>
      <c r="D3514" t="s">
        <v>274</v>
      </c>
      <c r="F3514">
        <v>1008508895</v>
      </c>
      <c r="G3514">
        <v>647691189</v>
      </c>
      <c r="H3514">
        <v>592058027</v>
      </c>
      <c r="I3514">
        <v>644368479</v>
      </c>
      <c r="J3514">
        <v>546912362</v>
      </c>
      <c r="K3514">
        <v>455992961</v>
      </c>
      <c r="L3514">
        <v>477914695</v>
      </c>
      <c r="M3514">
        <v>520464388</v>
      </c>
      <c r="N3514">
        <v>458693155</v>
      </c>
      <c r="P3514">
        <v>73</v>
      </c>
      <c r="Q3514" t="s">
        <v>7374</v>
      </c>
    </row>
    <row r="3515" spans="1:17" x14ac:dyDescent="0.3">
      <c r="A3515" t="s">
        <v>4729</v>
      </c>
      <c r="B3515" t="str">
        <f>"002796"</f>
        <v>002796</v>
      </c>
      <c r="C3515" t="s">
        <v>7375</v>
      </c>
      <c r="D3515" t="s">
        <v>1691</v>
      </c>
      <c r="F3515">
        <v>1298180014</v>
      </c>
      <c r="G3515">
        <v>1640945850</v>
      </c>
      <c r="H3515">
        <v>1871298847</v>
      </c>
      <c r="I3515">
        <v>1279907776</v>
      </c>
      <c r="J3515">
        <v>576692686</v>
      </c>
      <c r="K3515">
        <v>497125557</v>
      </c>
      <c r="L3515">
        <v>462401259</v>
      </c>
      <c r="M3515">
        <v>443266200</v>
      </c>
      <c r="N3515">
        <v>409519071</v>
      </c>
      <c r="P3515">
        <v>248</v>
      </c>
      <c r="Q3515" t="s">
        <v>7376</v>
      </c>
    </row>
    <row r="3516" spans="1:17" x14ac:dyDescent="0.3">
      <c r="A3516" t="s">
        <v>4729</v>
      </c>
      <c r="B3516" t="str">
        <f>"002797"</f>
        <v>002797</v>
      </c>
      <c r="C3516" t="s">
        <v>7377</v>
      </c>
      <c r="D3516" t="s">
        <v>80</v>
      </c>
      <c r="F3516">
        <v>3254716906</v>
      </c>
      <c r="G3516">
        <v>3119815364</v>
      </c>
      <c r="H3516">
        <v>2583271531</v>
      </c>
      <c r="I3516">
        <v>1769901855</v>
      </c>
      <c r="J3516">
        <v>1951668680</v>
      </c>
      <c r="K3516">
        <v>2027620143</v>
      </c>
      <c r="L3516">
        <v>3010161636</v>
      </c>
      <c r="M3516">
        <v>1858951780</v>
      </c>
      <c r="N3516">
        <v>1031723403</v>
      </c>
      <c r="O3516">
        <v>1038446151.6799999</v>
      </c>
      <c r="P3516">
        <v>838</v>
      </c>
      <c r="Q3516" t="s">
        <v>7378</v>
      </c>
    </row>
    <row r="3517" spans="1:17" x14ac:dyDescent="0.3">
      <c r="A3517" t="s">
        <v>4729</v>
      </c>
      <c r="B3517" t="str">
        <f>"002798"</f>
        <v>002798</v>
      </c>
      <c r="C3517" t="s">
        <v>7379</v>
      </c>
      <c r="D3517" t="s">
        <v>178</v>
      </c>
      <c r="F3517">
        <v>6147025768</v>
      </c>
      <c r="G3517">
        <v>5637039169</v>
      </c>
      <c r="H3517">
        <v>5570243243</v>
      </c>
      <c r="I3517">
        <v>4308344474</v>
      </c>
      <c r="J3517">
        <v>533667158</v>
      </c>
      <c r="K3517">
        <v>427457291</v>
      </c>
      <c r="L3517">
        <v>386932775</v>
      </c>
      <c r="M3517">
        <v>450904054</v>
      </c>
      <c r="N3517">
        <v>387932474</v>
      </c>
      <c r="P3517">
        <v>374</v>
      </c>
      <c r="Q3517" t="s">
        <v>7380</v>
      </c>
    </row>
    <row r="3518" spans="1:17" x14ac:dyDescent="0.3">
      <c r="A3518" t="s">
        <v>4729</v>
      </c>
      <c r="B3518" t="str">
        <f>"002799"</f>
        <v>002799</v>
      </c>
      <c r="C3518" t="s">
        <v>7381</v>
      </c>
      <c r="D3518" t="s">
        <v>2165</v>
      </c>
      <c r="F3518">
        <v>2936304793</v>
      </c>
      <c r="G3518">
        <v>1875342224</v>
      </c>
      <c r="H3518">
        <v>1247341573</v>
      </c>
      <c r="I3518">
        <v>555124333</v>
      </c>
      <c r="J3518">
        <v>438211497</v>
      </c>
      <c r="K3518">
        <v>387502467</v>
      </c>
      <c r="L3518">
        <v>400003694</v>
      </c>
      <c r="M3518">
        <v>391815232</v>
      </c>
      <c r="N3518">
        <v>359970362</v>
      </c>
      <c r="P3518">
        <v>109</v>
      </c>
      <c r="Q3518" t="s">
        <v>7382</v>
      </c>
    </row>
    <row r="3519" spans="1:17" x14ac:dyDescent="0.3">
      <c r="A3519" t="s">
        <v>4729</v>
      </c>
      <c r="B3519" t="str">
        <f>"002800"</f>
        <v>002800</v>
      </c>
      <c r="C3519" t="s">
        <v>7383</v>
      </c>
      <c r="D3519" t="s">
        <v>2503</v>
      </c>
      <c r="F3519">
        <v>1302199988</v>
      </c>
      <c r="G3519">
        <v>1131446263</v>
      </c>
      <c r="H3519">
        <v>1199992467</v>
      </c>
      <c r="I3519">
        <v>948554390</v>
      </c>
      <c r="J3519">
        <v>1017140994</v>
      </c>
      <c r="K3519">
        <v>549905675</v>
      </c>
      <c r="L3519">
        <v>487018083</v>
      </c>
      <c r="M3519">
        <v>557636396</v>
      </c>
      <c r="N3519">
        <v>547084219</v>
      </c>
      <c r="P3519">
        <v>86</v>
      </c>
      <c r="Q3519" t="s">
        <v>7384</v>
      </c>
    </row>
    <row r="3520" spans="1:17" x14ac:dyDescent="0.3">
      <c r="A3520" t="s">
        <v>4729</v>
      </c>
      <c r="B3520" t="str">
        <f>"002801"</f>
        <v>002801</v>
      </c>
      <c r="C3520" t="s">
        <v>7385</v>
      </c>
      <c r="D3520" t="s">
        <v>1171</v>
      </c>
      <c r="F3520">
        <v>1111608015</v>
      </c>
      <c r="G3520">
        <v>798194759</v>
      </c>
      <c r="H3520">
        <v>794243592</v>
      </c>
      <c r="I3520">
        <v>646653218</v>
      </c>
      <c r="J3520">
        <v>568743456</v>
      </c>
      <c r="K3520">
        <v>441075302</v>
      </c>
      <c r="L3520">
        <v>397031060</v>
      </c>
      <c r="M3520">
        <v>394244984</v>
      </c>
      <c r="N3520">
        <v>351381640</v>
      </c>
      <c r="P3520">
        <v>201</v>
      </c>
      <c r="Q3520" t="s">
        <v>7386</v>
      </c>
    </row>
    <row r="3521" spans="1:17" x14ac:dyDescent="0.3">
      <c r="A3521" t="s">
        <v>4729</v>
      </c>
      <c r="B3521" t="str">
        <f>"002802"</f>
        <v>002802</v>
      </c>
      <c r="C3521" t="s">
        <v>7387</v>
      </c>
      <c r="D3521" t="s">
        <v>386</v>
      </c>
      <c r="F3521">
        <v>749260783</v>
      </c>
      <c r="G3521">
        <v>544715995</v>
      </c>
      <c r="H3521">
        <v>537970971</v>
      </c>
      <c r="I3521">
        <v>518306951</v>
      </c>
      <c r="J3521">
        <v>388500123</v>
      </c>
      <c r="K3521">
        <v>314728171</v>
      </c>
      <c r="L3521">
        <v>292532365</v>
      </c>
      <c r="M3521">
        <v>305536005</v>
      </c>
      <c r="N3521">
        <v>290703628</v>
      </c>
      <c r="P3521">
        <v>102</v>
      </c>
      <c r="Q3521" t="s">
        <v>7388</v>
      </c>
    </row>
    <row r="3522" spans="1:17" x14ac:dyDescent="0.3">
      <c r="A3522" t="s">
        <v>4729</v>
      </c>
      <c r="B3522" t="str">
        <f>"002803"</f>
        <v>002803</v>
      </c>
      <c r="C3522" t="s">
        <v>7389</v>
      </c>
      <c r="D3522" t="s">
        <v>2020</v>
      </c>
      <c r="F3522">
        <v>5177657129</v>
      </c>
      <c r="G3522">
        <v>4410213459</v>
      </c>
      <c r="H3522">
        <v>3009252727</v>
      </c>
      <c r="I3522">
        <v>2269045472</v>
      </c>
      <c r="J3522">
        <v>1132613258</v>
      </c>
      <c r="K3522">
        <v>569901638</v>
      </c>
      <c r="L3522">
        <v>521865300</v>
      </c>
      <c r="M3522">
        <v>385927476</v>
      </c>
      <c r="N3522">
        <v>387255904</v>
      </c>
      <c r="P3522">
        <v>601</v>
      </c>
      <c r="Q3522" t="s">
        <v>7390</v>
      </c>
    </row>
    <row r="3523" spans="1:17" x14ac:dyDescent="0.3">
      <c r="A3523" t="s">
        <v>4729</v>
      </c>
      <c r="B3523" t="str">
        <f>"002805"</f>
        <v>002805</v>
      </c>
      <c r="C3523" t="s">
        <v>7391</v>
      </c>
      <c r="D3523" t="s">
        <v>1233</v>
      </c>
      <c r="F3523">
        <v>803047711</v>
      </c>
      <c r="G3523">
        <v>357263904</v>
      </c>
      <c r="H3523">
        <v>457965973</v>
      </c>
      <c r="I3523">
        <v>264810857</v>
      </c>
      <c r="J3523">
        <v>320909161</v>
      </c>
      <c r="K3523">
        <v>256426080</v>
      </c>
      <c r="L3523">
        <v>295105672</v>
      </c>
      <c r="M3523">
        <v>301284462</v>
      </c>
      <c r="N3523">
        <v>239864697</v>
      </c>
      <c r="P3523">
        <v>113</v>
      </c>
      <c r="Q3523" t="s">
        <v>7392</v>
      </c>
    </row>
    <row r="3524" spans="1:17" x14ac:dyDescent="0.3">
      <c r="A3524" t="s">
        <v>4729</v>
      </c>
      <c r="B3524" t="str">
        <f>"002806"</f>
        <v>002806</v>
      </c>
      <c r="C3524" t="s">
        <v>7393</v>
      </c>
      <c r="D3524" t="s">
        <v>504</v>
      </c>
      <c r="F3524">
        <v>688113675</v>
      </c>
      <c r="G3524">
        <v>440268108</v>
      </c>
      <c r="H3524">
        <v>706221423</v>
      </c>
      <c r="I3524">
        <v>649938134</v>
      </c>
      <c r="J3524">
        <v>439484144</v>
      </c>
      <c r="K3524">
        <v>371720219</v>
      </c>
      <c r="L3524">
        <v>299650927</v>
      </c>
      <c r="M3524">
        <v>298405364</v>
      </c>
      <c r="N3524">
        <v>304340075</v>
      </c>
      <c r="P3524">
        <v>99</v>
      </c>
      <c r="Q3524" t="s">
        <v>7394</v>
      </c>
    </row>
    <row r="3525" spans="1:17" x14ac:dyDescent="0.3">
      <c r="A3525" t="s">
        <v>4729</v>
      </c>
      <c r="B3525" t="str">
        <f>"002807"</f>
        <v>002807</v>
      </c>
      <c r="C3525" t="s">
        <v>7395</v>
      </c>
      <c r="D3525" t="s">
        <v>1831</v>
      </c>
      <c r="F3525">
        <v>3366710000</v>
      </c>
      <c r="G3525">
        <v>3351289000</v>
      </c>
      <c r="H3525">
        <v>3404346000</v>
      </c>
      <c r="I3525">
        <v>3185907000</v>
      </c>
      <c r="J3525">
        <v>2506809000</v>
      </c>
      <c r="K3525">
        <v>2469411000</v>
      </c>
      <c r="L3525">
        <v>2504301000</v>
      </c>
      <c r="M3525">
        <v>2362205000</v>
      </c>
      <c r="N3525">
        <v>2288585000</v>
      </c>
      <c r="O3525">
        <v>2365213000</v>
      </c>
      <c r="P3525">
        <v>571</v>
      </c>
      <c r="Q3525" t="s">
        <v>7396</v>
      </c>
    </row>
    <row r="3526" spans="1:17" x14ac:dyDescent="0.3">
      <c r="A3526" t="s">
        <v>4729</v>
      </c>
      <c r="B3526" t="str">
        <f>"002808"</f>
        <v>002808</v>
      </c>
      <c r="C3526" t="s">
        <v>7397</v>
      </c>
      <c r="D3526" t="s">
        <v>164</v>
      </c>
      <c r="F3526">
        <v>237676537</v>
      </c>
      <c r="G3526">
        <v>486773481</v>
      </c>
      <c r="H3526">
        <v>316379061</v>
      </c>
      <c r="I3526">
        <v>318813646</v>
      </c>
      <c r="J3526">
        <v>286359848</v>
      </c>
      <c r="K3526">
        <v>274682192</v>
      </c>
      <c r="L3526">
        <v>226802030</v>
      </c>
      <c r="M3526">
        <v>215165045</v>
      </c>
      <c r="N3526">
        <v>201464279</v>
      </c>
      <c r="P3526">
        <v>73</v>
      </c>
      <c r="Q3526" t="s">
        <v>7398</v>
      </c>
    </row>
    <row r="3527" spans="1:17" x14ac:dyDescent="0.3">
      <c r="A3527" t="s">
        <v>4729</v>
      </c>
      <c r="B3527" t="str">
        <f>"002809"</f>
        <v>002809</v>
      </c>
      <c r="C3527" t="s">
        <v>7399</v>
      </c>
      <c r="D3527" t="s">
        <v>386</v>
      </c>
      <c r="F3527">
        <v>1551678650</v>
      </c>
      <c r="G3527">
        <v>1336561305</v>
      </c>
      <c r="H3527">
        <v>1157745276</v>
      </c>
      <c r="I3527">
        <v>931735127</v>
      </c>
      <c r="J3527">
        <v>630986495</v>
      </c>
      <c r="K3527">
        <v>436923437</v>
      </c>
      <c r="L3527">
        <v>448950891</v>
      </c>
      <c r="M3527">
        <v>543453328</v>
      </c>
      <c r="N3527">
        <v>529982088</v>
      </c>
      <c r="P3527">
        <v>99</v>
      </c>
      <c r="Q3527" t="s">
        <v>7400</v>
      </c>
    </row>
    <row r="3528" spans="1:17" x14ac:dyDescent="0.3">
      <c r="A3528" t="s">
        <v>4729</v>
      </c>
      <c r="B3528" t="str">
        <f>"002810"</f>
        <v>002810</v>
      </c>
      <c r="C3528" t="s">
        <v>7401</v>
      </c>
      <c r="D3528" t="s">
        <v>386</v>
      </c>
      <c r="F3528">
        <v>1560494123</v>
      </c>
      <c r="G3528">
        <v>1308887973</v>
      </c>
      <c r="H3528">
        <v>1112844778</v>
      </c>
      <c r="I3528">
        <v>913114502</v>
      </c>
      <c r="J3528">
        <v>651401582</v>
      </c>
      <c r="K3528">
        <v>570170395</v>
      </c>
      <c r="L3528">
        <v>495657676</v>
      </c>
      <c r="M3528">
        <v>518743609</v>
      </c>
      <c r="N3528">
        <v>459175116</v>
      </c>
      <c r="P3528">
        <v>421</v>
      </c>
      <c r="Q3528" t="s">
        <v>7402</v>
      </c>
    </row>
    <row r="3529" spans="1:17" x14ac:dyDescent="0.3">
      <c r="A3529" t="s">
        <v>4729</v>
      </c>
      <c r="B3529" t="str">
        <f>"002811"</f>
        <v>002811</v>
      </c>
      <c r="C3529" t="s">
        <v>7403</v>
      </c>
      <c r="D3529" t="s">
        <v>450</v>
      </c>
      <c r="F3529">
        <v>1904897545</v>
      </c>
      <c r="G3529">
        <v>1893152109</v>
      </c>
      <c r="H3529">
        <v>2511416237</v>
      </c>
      <c r="I3529">
        <v>2300545769</v>
      </c>
      <c r="J3529">
        <v>1825031248</v>
      </c>
      <c r="K3529">
        <v>1663850236</v>
      </c>
      <c r="L3529">
        <v>1805667017</v>
      </c>
      <c r="M3529">
        <v>1790001114</v>
      </c>
      <c r="N3529">
        <v>1565525143</v>
      </c>
      <c r="P3529">
        <v>95</v>
      </c>
      <c r="Q3529" t="s">
        <v>7404</v>
      </c>
    </row>
    <row r="3530" spans="1:17" x14ac:dyDescent="0.3">
      <c r="A3530" t="s">
        <v>4729</v>
      </c>
      <c r="B3530" t="str">
        <f>"002812"</f>
        <v>002812</v>
      </c>
      <c r="C3530" t="s">
        <v>7405</v>
      </c>
      <c r="D3530" t="s">
        <v>1790</v>
      </c>
      <c r="F3530">
        <v>7982426811</v>
      </c>
      <c r="G3530">
        <v>4283007589</v>
      </c>
      <c r="H3530">
        <v>3159561555</v>
      </c>
      <c r="I3530">
        <v>2457492826</v>
      </c>
      <c r="J3530">
        <v>1220269978</v>
      </c>
      <c r="K3530">
        <v>1146169799</v>
      </c>
      <c r="L3530">
        <v>1131489047</v>
      </c>
      <c r="M3530">
        <v>1216968691</v>
      </c>
      <c r="N3530">
        <v>1127363571</v>
      </c>
      <c r="P3530">
        <v>1583</v>
      </c>
      <c r="Q3530" t="s">
        <v>7406</v>
      </c>
    </row>
    <row r="3531" spans="1:17" x14ac:dyDescent="0.3">
      <c r="A3531" t="s">
        <v>4729</v>
      </c>
      <c r="B3531" t="str">
        <f>"002813"</f>
        <v>002813</v>
      </c>
      <c r="C3531" t="s">
        <v>7407</v>
      </c>
      <c r="D3531" t="s">
        <v>1415</v>
      </c>
      <c r="F3531">
        <v>410355964</v>
      </c>
      <c r="G3531">
        <v>492663143</v>
      </c>
      <c r="H3531">
        <v>770225997</v>
      </c>
      <c r="I3531">
        <v>756978190</v>
      </c>
      <c r="J3531">
        <v>773936726</v>
      </c>
      <c r="K3531">
        <v>721956722</v>
      </c>
      <c r="L3531">
        <v>778542891</v>
      </c>
      <c r="M3531">
        <v>982589397</v>
      </c>
      <c r="N3531">
        <v>967678069</v>
      </c>
      <c r="P3531">
        <v>113</v>
      </c>
      <c r="Q3531" t="s">
        <v>7408</v>
      </c>
    </row>
    <row r="3532" spans="1:17" x14ac:dyDescent="0.3">
      <c r="A3532" t="s">
        <v>4729</v>
      </c>
      <c r="B3532" t="str">
        <f>"002815"</f>
        <v>002815</v>
      </c>
      <c r="C3532" t="s">
        <v>7409</v>
      </c>
      <c r="D3532" t="s">
        <v>425</v>
      </c>
      <c r="F3532">
        <v>5995769518</v>
      </c>
      <c r="G3532">
        <v>4367714600</v>
      </c>
      <c r="H3532">
        <v>3727450770</v>
      </c>
      <c r="I3532">
        <v>3656090737</v>
      </c>
      <c r="J3532">
        <v>3102644639</v>
      </c>
      <c r="K3532">
        <v>2246611859</v>
      </c>
      <c r="L3532">
        <v>1756941800</v>
      </c>
      <c r="M3532">
        <v>1590860249</v>
      </c>
      <c r="N3532">
        <v>1245767938</v>
      </c>
      <c r="P3532">
        <v>919</v>
      </c>
      <c r="Q3532" t="s">
        <v>7410</v>
      </c>
    </row>
    <row r="3533" spans="1:17" x14ac:dyDescent="0.3">
      <c r="A3533" t="s">
        <v>4729</v>
      </c>
      <c r="B3533" t="str">
        <f>"002816"</f>
        <v>002816</v>
      </c>
      <c r="C3533" t="s">
        <v>7411</v>
      </c>
      <c r="D3533" t="s">
        <v>741</v>
      </c>
      <c r="F3533">
        <v>200191296</v>
      </c>
      <c r="G3533">
        <v>150424927</v>
      </c>
      <c r="H3533">
        <v>143942396</v>
      </c>
      <c r="I3533">
        <v>344653913</v>
      </c>
      <c r="J3533">
        <v>347660693</v>
      </c>
      <c r="K3533">
        <v>349744160</v>
      </c>
      <c r="L3533">
        <v>367462260</v>
      </c>
      <c r="M3533">
        <v>359723564</v>
      </c>
      <c r="N3533">
        <v>397701544</v>
      </c>
      <c r="P3533">
        <v>46</v>
      </c>
      <c r="Q3533" t="s">
        <v>7412</v>
      </c>
    </row>
    <row r="3534" spans="1:17" x14ac:dyDescent="0.3">
      <c r="A3534" t="s">
        <v>4729</v>
      </c>
      <c r="B3534" t="str">
        <f>"002817"</f>
        <v>002817</v>
      </c>
      <c r="C3534" t="s">
        <v>7413</v>
      </c>
      <c r="D3534" t="s">
        <v>1077</v>
      </c>
      <c r="F3534">
        <v>379891009</v>
      </c>
      <c r="G3534">
        <v>319426288</v>
      </c>
      <c r="H3534">
        <v>325557296</v>
      </c>
      <c r="I3534">
        <v>294709587</v>
      </c>
      <c r="J3534">
        <v>285955869</v>
      </c>
      <c r="K3534">
        <v>283435099</v>
      </c>
      <c r="L3534">
        <v>253790898</v>
      </c>
      <c r="M3534">
        <v>273413372</v>
      </c>
      <c r="N3534">
        <v>268953188</v>
      </c>
      <c r="P3534">
        <v>126</v>
      </c>
      <c r="Q3534" t="s">
        <v>7414</v>
      </c>
    </row>
    <row r="3535" spans="1:17" x14ac:dyDescent="0.3">
      <c r="A3535" t="s">
        <v>4729</v>
      </c>
      <c r="B3535" t="str">
        <f>"002818"</f>
        <v>002818</v>
      </c>
      <c r="C3535" t="s">
        <v>7415</v>
      </c>
      <c r="D3535" t="s">
        <v>271</v>
      </c>
      <c r="F3535">
        <v>1536806895</v>
      </c>
      <c r="G3535">
        <v>1327599763</v>
      </c>
      <c r="H3535">
        <v>1619488068</v>
      </c>
      <c r="I3535">
        <v>1421102516</v>
      </c>
      <c r="J3535">
        <v>1258457216</v>
      </c>
      <c r="K3535">
        <v>1221064240</v>
      </c>
      <c r="L3535">
        <v>1040846746</v>
      </c>
      <c r="M3535">
        <v>771566267</v>
      </c>
      <c r="N3535">
        <v>735662289</v>
      </c>
      <c r="P3535">
        <v>868</v>
      </c>
      <c r="Q3535" t="s">
        <v>7416</v>
      </c>
    </row>
    <row r="3536" spans="1:17" x14ac:dyDescent="0.3">
      <c r="A3536" t="s">
        <v>4729</v>
      </c>
      <c r="B3536" t="str">
        <f>"002819"</f>
        <v>002819</v>
      </c>
      <c r="C3536" t="s">
        <v>7417</v>
      </c>
      <c r="D3536" t="s">
        <v>2566</v>
      </c>
      <c r="F3536">
        <v>1848389467</v>
      </c>
      <c r="G3536">
        <v>1129966213</v>
      </c>
      <c r="H3536">
        <v>1029812067</v>
      </c>
      <c r="I3536">
        <v>925979784</v>
      </c>
      <c r="J3536">
        <v>739499511</v>
      </c>
      <c r="K3536">
        <v>665895747</v>
      </c>
      <c r="L3536">
        <v>603959873</v>
      </c>
      <c r="M3536">
        <v>502384794</v>
      </c>
      <c r="N3536">
        <v>526959947</v>
      </c>
      <c r="P3536">
        <v>139</v>
      </c>
      <c r="Q3536" t="s">
        <v>7418</v>
      </c>
    </row>
    <row r="3537" spans="1:17" x14ac:dyDescent="0.3">
      <c r="A3537" t="s">
        <v>4729</v>
      </c>
      <c r="B3537" t="str">
        <f>"002820"</f>
        <v>002820</v>
      </c>
      <c r="C3537" t="s">
        <v>7419</v>
      </c>
      <c r="D3537" t="s">
        <v>2488</v>
      </c>
      <c r="F3537">
        <v>405124207</v>
      </c>
      <c r="G3537">
        <v>348707210</v>
      </c>
      <c r="H3537">
        <v>507496462</v>
      </c>
      <c r="I3537">
        <v>480729655</v>
      </c>
      <c r="J3537">
        <v>486195749</v>
      </c>
      <c r="K3537">
        <v>457554812</v>
      </c>
      <c r="L3537">
        <v>457165725</v>
      </c>
      <c r="M3537">
        <v>460191551</v>
      </c>
      <c r="N3537">
        <v>462372199</v>
      </c>
      <c r="P3537">
        <v>146</v>
      </c>
      <c r="Q3537" t="s">
        <v>7420</v>
      </c>
    </row>
    <row r="3538" spans="1:17" x14ac:dyDescent="0.3">
      <c r="A3538" t="s">
        <v>4729</v>
      </c>
      <c r="B3538" t="str">
        <f>"002821"</f>
        <v>002821</v>
      </c>
      <c r="C3538" t="s">
        <v>7421</v>
      </c>
      <c r="D3538" t="s">
        <v>1461</v>
      </c>
      <c r="F3538">
        <v>4638834178</v>
      </c>
      <c r="G3538">
        <v>3149689676</v>
      </c>
      <c r="H3538">
        <v>2459985534</v>
      </c>
      <c r="I3538">
        <v>1834877624</v>
      </c>
      <c r="J3538">
        <v>1423033413</v>
      </c>
      <c r="K3538">
        <v>1103194952</v>
      </c>
      <c r="L3538">
        <v>830607694</v>
      </c>
      <c r="M3538">
        <v>716207194</v>
      </c>
      <c r="N3538">
        <v>542757594</v>
      </c>
      <c r="P3538">
        <v>2405</v>
      </c>
      <c r="Q3538" t="s">
        <v>7422</v>
      </c>
    </row>
    <row r="3539" spans="1:17" x14ac:dyDescent="0.3">
      <c r="A3539" t="s">
        <v>4729</v>
      </c>
      <c r="B3539" t="str">
        <f>"002822"</f>
        <v>002822</v>
      </c>
      <c r="C3539" t="s">
        <v>7423</v>
      </c>
      <c r="D3539" t="s">
        <v>450</v>
      </c>
      <c r="F3539">
        <v>6278172604</v>
      </c>
      <c r="G3539">
        <v>5581448927</v>
      </c>
      <c r="H3539">
        <v>4859107862</v>
      </c>
      <c r="I3539">
        <v>4145695272</v>
      </c>
      <c r="J3539">
        <v>3172996288</v>
      </c>
      <c r="K3539">
        <v>2691714150</v>
      </c>
      <c r="L3539">
        <v>2598806004</v>
      </c>
      <c r="M3539">
        <v>2442089313</v>
      </c>
      <c r="N3539">
        <v>2242529615</v>
      </c>
      <c r="P3539">
        <v>134</v>
      </c>
      <c r="Q3539" t="s">
        <v>7424</v>
      </c>
    </row>
    <row r="3540" spans="1:17" x14ac:dyDescent="0.3">
      <c r="A3540" t="s">
        <v>4729</v>
      </c>
      <c r="B3540" t="str">
        <f>"002823"</f>
        <v>002823</v>
      </c>
      <c r="C3540" t="s">
        <v>7425</v>
      </c>
      <c r="D3540" t="s">
        <v>1171</v>
      </c>
      <c r="F3540">
        <v>2447356203</v>
      </c>
      <c r="G3540">
        <v>1920648565</v>
      </c>
      <c r="H3540">
        <v>2023574349</v>
      </c>
      <c r="I3540">
        <v>1669727060</v>
      </c>
      <c r="J3540">
        <v>1384091448</v>
      </c>
      <c r="K3540">
        <v>1115804643</v>
      </c>
      <c r="L3540">
        <v>879924584</v>
      </c>
      <c r="M3540">
        <v>829966538</v>
      </c>
      <c r="N3540">
        <v>731635649</v>
      </c>
      <c r="P3540">
        <v>158</v>
      </c>
      <c r="Q3540" t="s">
        <v>7426</v>
      </c>
    </row>
    <row r="3541" spans="1:17" x14ac:dyDescent="0.3">
      <c r="A3541" t="s">
        <v>4729</v>
      </c>
      <c r="B3541" t="str">
        <f>"002824"</f>
        <v>002824</v>
      </c>
      <c r="C3541" t="s">
        <v>7427</v>
      </c>
      <c r="D3541" t="s">
        <v>504</v>
      </c>
      <c r="F3541">
        <v>2410228581</v>
      </c>
      <c r="G3541">
        <v>1484493576</v>
      </c>
      <c r="H3541">
        <v>1333115571</v>
      </c>
      <c r="I3541">
        <v>1064659201</v>
      </c>
      <c r="J3541">
        <v>841028860</v>
      </c>
      <c r="K3541">
        <v>766651594</v>
      </c>
      <c r="L3541">
        <v>703246465</v>
      </c>
      <c r="M3541">
        <v>695105678</v>
      </c>
      <c r="N3541">
        <v>656835232</v>
      </c>
      <c r="P3541">
        <v>169</v>
      </c>
      <c r="Q3541" t="s">
        <v>7428</v>
      </c>
    </row>
    <row r="3542" spans="1:17" x14ac:dyDescent="0.3">
      <c r="A3542" t="s">
        <v>4729</v>
      </c>
      <c r="B3542" t="str">
        <f>"002825"</f>
        <v>002825</v>
      </c>
      <c r="C3542" t="s">
        <v>7429</v>
      </c>
      <c r="D3542" t="s">
        <v>1192</v>
      </c>
      <c r="F3542">
        <v>1758700466</v>
      </c>
      <c r="G3542">
        <v>1253716068</v>
      </c>
      <c r="H3542">
        <v>1017191015</v>
      </c>
      <c r="I3542">
        <v>788518296</v>
      </c>
      <c r="J3542">
        <v>642853218</v>
      </c>
      <c r="K3542">
        <v>549081908</v>
      </c>
      <c r="L3542">
        <v>526894407</v>
      </c>
      <c r="M3542">
        <v>575875876</v>
      </c>
      <c r="N3542">
        <v>471998388</v>
      </c>
      <c r="P3542">
        <v>100</v>
      </c>
      <c r="Q3542" t="s">
        <v>7430</v>
      </c>
    </row>
    <row r="3543" spans="1:17" x14ac:dyDescent="0.3">
      <c r="A3543" t="s">
        <v>4729</v>
      </c>
      <c r="B3543" t="str">
        <f>"002826"</f>
        <v>002826</v>
      </c>
      <c r="C3543" t="s">
        <v>7431</v>
      </c>
      <c r="D3543" t="s">
        <v>143</v>
      </c>
      <c r="F3543">
        <v>725459075</v>
      </c>
      <c r="G3543">
        <v>602619264</v>
      </c>
      <c r="H3543">
        <v>553255391</v>
      </c>
      <c r="I3543">
        <v>488774207</v>
      </c>
      <c r="J3543">
        <v>380292645</v>
      </c>
      <c r="K3543">
        <v>451922477</v>
      </c>
      <c r="L3543">
        <v>346995394</v>
      </c>
      <c r="M3543">
        <v>290726213</v>
      </c>
      <c r="N3543">
        <v>221107829</v>
      </c>
      <c r="P3543">
        <v>127</v>
      </c>
      <c r="Q3543" t="s">
        <v>7432</v>
      </c>
    </row>
    <row r="3544" spans="1:17" x14ac:dyDescent="0.3">
      <c r="A3544" t="s">
        <v>4729</v>
      </c>
      <c r="B3544" t="str">
        <f>"002827"</f>
        <v>002827</v>
      </c>
      <c r="C3544" t="s">
        <v>7433</v>
      </c>
      <c r="D3544" t="s">
        <v>2736</v>
      </c>
      <c r="F3544">
        <v>932664898</v>
      </c>
      <c r="G3544">
        <v>755657736</v>
      </c>
      <c r="H3544">
        <v>363520451</v>
      </c>
      <c r="I3544">
        <v>358213383</v>
      </c>
      <c r="J3544">
        <v>450386399</v>
      </c>
      <c r="K3544">
        <v>423008067</v>
      </c>
      <c r="L3544">
        <v>245626458</v>
      </c>
      <c r="M3544">
        <v>229049703</v>
      </c>
      <c r="N3544">
        <v>192652664</v>
      </c>
      <c r="P3544">
        <v>89</v>
      </c>
      <c r="Q3544" t="s">
        <v>7434</v>
      </c>
    </row>
    <row r="3545" spans="1:17" x14ac:dyDescent="0.3">
      <c r="A3545" t="s">
        <v>4729</v>
      </c>
      <c r="B3545" t="str">
        <f>"002828"</f>
        <v>002828</v>
      </c>
      <c r="C3545" t="s">
        <v>7435</v>
      </c>
      <c r="D3545" t="s">
        <v>1762</v>
      </c>
      <c r="F3545">
        <v>1143382773</v>
      </c>
      <c r="G3545">
        <v>935753631</v>
      </c>
      <c r="H3545">
        <v>1408054624</v>
      </c>
      <c r="I3545">
        <v>904426085</v>
      </c>
      <c r="J3545">
        <v>649367599</v>
      </c>
      <c r="K3545">
        <v>428036742</v>
      </c>
      <c r="L3545">
        <v>729941010</v>
      </c>
      <c r="M3545">
        <v>663652131</v>
      </c>
      <c r="N3545">
        <v>1052538158</v>
      </c>
      <c r="P3545">
        <v>73</v>
      </c>
      <c r="Q3545" t="s">
        <v>7436</v>
      </c>
    </row>
    <row r="3546" spans="1:17" x14ac:dyDescent="0.3">
      <c r="A3546" t="s">
        <v>4729</v>
      </c>
      <c r="B3546" t="str">
        <f>"002829"</f>
        <v>002829</v>
      </c>
      <c r="C3546" t="s">
        <v>7437</v>
      </c>
      <c r="D3546" t="s">
        <v>284</v>
      </c>
      <c r="F3546">
        <v>768071937</v>
      </c>
      <c r="G3546">
        <v>685407528</v>
      </c>
      <c r="H3546">
        <v>398731282</v>
      </c>
      <c r="I3546">
        <v>402320357</v>
      </c>
      <c r="J3546">
        <v>409570543</v>
      </c>
      <c r="K3546">
        <v>277407574</v>
      </c>
      <c r="L3546">
        <v>237119580</v>
      </c>
      <c r="M3546">
        <v>260941107</v>
      </c>
      <c r="N3546">
        <v>247100857</v>
      </c>
      <c r="P3546">
        <v>132</v>
      </c>
      <c r="Q3546" t="s">
        <v>7438</v>
      </c>
    </row>
    <row r="3547" spans="1:17" x14ac:dyDescent="0.3">
      <c r="A3547" t="s">
        <v>4729</v>
      </c>
      <c r="B3547" t="str">
        <f>"002830"</f>
        <v>002830</v>
      </c>
      <c r="C3547" t="s">
        <v>7439</v>
      </c>
      <c r="D3547" t="s">
        <v>450</v>
      </c>
      <c r="F3547">
        <v>884470710</v>
      </c>
      <c r="G3547">
        <v>867205584</v>
      </c>
      <c r="H3547">
        <v>898142579</v>
      </c>
      <c r="I3547">
        <v>763949608</v>
      </c>
      <c r="J3547">
        <v>744281954</v>
      </c>
      <c r="K3547">
        <v>690973276</v>
      </c>
      <c r="L3547">
        <v>673452517</v>
      </c>
      <c r="M3547">
        <v>704860717</v>
      </c>
      <c r="N3547">
        <v>662401004</v>
      </c>
      <c r="P3547">
        <v>77</v>
      </c>
      <c r="Q3547" t="s">
        <v>7440</v>
      </c>
    </row>
    <row r="3548" spans="1:17" x14ac:dyDescent="0.3">
      <c r="A3548" t="s">
        <v>4729</v>
      </c>
      <c r="B3548" t="str">
        <f>"002831"</f>
        <v>002831</v>
      </c>
      <c r="C3548" t="s">
        <v>7441</v>
      </c>
      <c r="D3548" t="s">
        <v>2165</v>
      </c>
      <c r="F3548">
        <v>14850127634</v>
      </c>
      <c r="G3548">
        <v>11788937056</v>
      </c>
      <c r="H3548">
        <v>9844874986</v>
      </c>
      <c r="I3548">
        <v>8578243781</v>
      </c>
      <c r="J3548">
        <v>6947740684</v>
      </c>
      <c r="K3548">
        <v>5542362620</v>
      </c>
      <c r="L3548">
        <v>4289630575</v>
      </c>
      <c r="M3548">
        <v>3665439341</v>
      </c>
      <c r="N3548">
        <v>2594196728</v>
      </c>
      <c r="P3548">
        <v>663</v>
      </c>
      <c r="Q3548" t="s">
        <v>7442</v>
      </c>
    </row>
    <row r="3549" spans="1:17" x14ac:dyDescent="0.3">
      <c r="A3549" t="s">
        <v>4729</v>
      </c>
      <c r="B3549" t="str">
        <f>"002832"</f>
        <v>002832</v>
      </c>
      <c r="C3549" t="s">
        <v>7443</v>
      </c>
      <c r="D3549" t="s">
        <v>255</v>
      </c>
      <c r="F3549">
        <v>2719989257</v>
      </c>
      <c r="G3549">
        <v>1937598468</v>
      </c>
      <c r="H3549">
        <v>1825516845</v>
      </c>
      <c r="I3549">
        <v>1475747149</v>
      </c>
      <c r="J3549">
        <v>1054428156</v>
      </c>
      <c r="K3549">
        <v>842007435</v>
      </c>
      <c r="L3549">
        <v>753613908</v>
      </c>
      <c r="M3549">
        <v>649682653</v>
      </c>
      <c r="N3549">
        <v>567276092</v>
      </c>
      <c r="P3549">
        <v>636</v>
      </c>
      <c r="Q3549" t="s">
        <v>7444</v>
      </c>
    </row>
    <row r="3550" spans="1:17" x14ac:dyDescent="0.3">
      <c r="A3550" t="s">
        <v>4729</v>
      </c>
      <c r="B3550" t="str">
        <f>"002833"</f>
        <v>002833</v>
      </c>
      <c r="C3550" t="s">
        <v>7445</v>
      </c>
      <c r="D3550" t="s">
        <v>741</v>
      </c>
      <c r="F3550">
        <v>2370694540</v>
      </c>
      <c r="G3550">
        <v>1689291862</v>
      </c>
      <c r="H3550">
        <v>1311010240</v>
      </c>
      <c r="I3550">
        <v>1194487779</v>
      </c>
      <c r="J3550">
        <v>820460365</v>
      </c>
      <c r="K3550">
        <v>534138099</v>
      </c>
      <c r="L3550">
        <v>375825033</v>
      </c>
      <c r="M3550">
        <v>415757091</v>
      </c>
      <c r="N3550">
        <v>292951533</v>
      </c>
      <c r="P3550">
        <v>2868</v>
      </c>
      <c r="Q3550" t="s">
        <v>7446</v>
      </c>
    </row>
    <row r="3551" spans="1:17" x14ac:dyDescent="0.3">
      <c r="A3551" t="s">
        <v>4729</v>
      </c>
      <c r="B3551" t="str">
        <f>"002835"</f>
        <v>002835</v>
      </c>
      <c r="C3551" t="s">
        <v>7447</v>
      </c>
      <c r="D3551" t="s">
        <v>2980</v>
      </c>
      <c r="F3551">
        <v>1003753115</v>
      </c>
      <c r="G3551">
        <v>788394128</v>
      </c>
      <c r="H3551">
        <v>636044012</v>
      </c>
      <c r="I3551">
        <v>609800534</v>
      </c>
      <c r="J3551">
        <v>522212039</v>
      </c>
      <c r="K3551">
        <v>526684646</v>
      </c>
      <c r="L3551">
        <v>493602547</v>
      </c>
      <c r="M3551">
        <v>394637508</v>
      </c>
      <c r="N3551">
        <v>419164418</v>
      </c>
      <c r="P3551">
        <v>94</v>
      </c>
      <c r="Q3551" t="s">
        <v>7448</v>
      </c>
    </row>
    <row r="3552" spans="1:17" x14ac:dyDescent="0.3">
      <c r="A3552" t="s">
        <v>4729</v>
      </c>
      <c r="B3552" t="str">
        <f>"002836"</f>
        <v>002836</v>
      </c>
      <c r="C3552" t="s">
        <v>7449</v>
      </c>
      <c r="D3552" t="s">
        <v>2165</v>
      </c>
      <c r="F3552">
        <v>144420823</v>
      </c>
      <c r="G3552">
        <v>212913001</v>
      </c>
      <c r="H3552">
        <v>423447787</v>
      </c>
      <c r="I3552">
        <v>280488030</v>
      </c>
      <c r="J3552">
        <v>269338270</v>
      </c>
      <c r="K3552">
        <v>268312233</v>
      </c>
      <c r="L3552">
        <v>243800198</v>
      </c>
      <c r="M3552">
        <v>276524742</v>
      </c>
      <c r="N3552">
        <v>338643494</v>
      </c>
      <c r="P3552">
        <v>63</v>
      </c>
      <c r="Q3552" t="s">
        <v>7450</v>
      </c>
    </row>
    <row r="3553" spans="1:17" x14ac:dyDescent="0.3">
      <c r="A3553" t="s">
        <v>4729</v>
      </c>
      <c r="B3553" t="str">
        <f>"002837"</f>
        <v>002837</v>
      </c>
      <c r="C3553" t="s">
        <v>7451</v>
      </c>
      <c r="D3553" t="s">
        <v>741</v>
      </c>
      <c r="F3553">
        <v>2228220908</v>
      </c>
      <c r="G3553">
        <v>1703335763</v>
      </c>
      <c r="H3553">
        <v>1337544862</v>
      </c>
      <c r="I3553">
        <v>1070353253</v>
      </c>
      <c r="J3553">
        <v>786987377</v>
      </c>
      <c r="K3553">
        <v>518244872</v>
      </c>
      <c r="L3553">
        <v>421303110</v>
      </c>
      <c r="M3553">
        <v>275421727</v>
      </c>
      <c r="N3553">
        <v>218539649</v>
      </c>
      <c r="P3553">
        <v>396</v>
      </c>
      <c r="Q3553" t="s">
        <v>7452</v>
      </c>
    </row>
    <row r="3554" spans="1:17" x14ac:dyDescent="0.3">
      <c r="A3554" t="s">
        <v>4729</v>
      </c>
      <c r="B3554" t="str">
        <f>"002838"</f>
        <v>002838</v>
      </c>
      <c r="C3554" t="s">
        <v>7453</v>
      </c>
      <c r="D3554" t="s">
        <v>341</v>
      </c>
      <c r="F3554">
        <v>4261139721</v>
      </c>
      <c r="G3554">
        <v>4422330227</v>
      </c>
      <c r="H3554">
        <v>2735440802</v>
      </c>
      <c r="I3554">
        <v>1362533228</v>
      </c>
      <c r="J3554">
        <v>934085268</v>
      </c>
      <c r="K3554">
        <v>799684969</v>
      </c>
      <c r="L3554">
        <v>626230799</v>
      </c>
      <c r="M3554">
        <v>580759404</v>
      </c>
      <c r="N3554">
        <v>500147301</v>
      </c>
      <c r="P3554">
        <v>614</v>
      </c>
      <c r="Q3554" t="s">
        <v>7454</v>
      </c>
    </row>
    <row r="3555" spans="1:17" x14ac:dyDescent="0.3">
      <c r="A3555" t="s">
        <v>4729</v>
      </c>
      <c r="B3555" t="str">
        <f>"002839"</f>
        <v>002839</v>
      </c>
      <c r="C3555" t="s">
        <v>7455</v>
      </c>
      <c r="D3555" t="s">
        <v>1831</v>
      </c>
      <c r="F3555">
        <v>4616386536</v>
      </c>
      <c r="G3555">
        <v>4194692041</v>
      </c>
      <c r="H3555">
        <v>3852844596</v>
      </c>
      <c r="I3555">
        <v>2992439505</v>
      </c>
      <c r="J3555">
        <v>2413577975</v>
      </c>
      <c r="K3555">
        <v>2429429340</v>
      </c>
      <c r="L3555">
        <v>2405784224</v>
      </c>
      <c r="M3555">
        <v>2363929938</v>
      </c>
      <c r="N3555">
        <v>2215658395</v>
      </c>
      <c r="O3555">
        <v>2091897300</v>
      </c>
      <c r="P3555">
        <v>474</v>
      </c>
      <c r="Q3555" t="s">
        <v>7456</v>
      </c>
    </row>
    <row r="3556" spans="1:17" x14ac:dyDescent="0.3">
      <c r="A3556" t="s">
        <v>4729</v>
      </c>
      <c r="B3556" t="str">
        <f>"002840"</f>
        <v>002840</v>
      </c>
      <c r="C3556" t="s">
        <v>7457</v>
      </c>
      <c r="D3556" t="s">
        <v>170</v>
      </c>
      <c r="F3556">
        <v>8342248673</v>
      </c>
      <c r="G3556">
        <v>8836356750</v>
      </c>
      <c r="H3556">
        <v>7705776975</v>
      </c>
      <c r="I3556">
        <v>5118042889</v>
      </c>
      <c r="J3556">
        <v>4715431945</v>
      </c>
      <c r="K3556">
        <v>3992121272</v>
      </c>
      <c r="L3556">
        <v>1943697587</v>
      </c>
      <c r="M3556">
        <v>1630397001</v>
      </c>
      <c r="N3556">
        <v>1502977926</v>
      </c>
      <c r="P3556">
        <v>600</v>
      </c>
      <c r="Q3556" t="s">
        <v>7458</v>
      </c>
    </row>
    <row r="3557" spans="1:17" x14ac:dyDescent="0.3">
      <c r="A3557" t="s">
        <v>4729</v>
      </c>
      <c r="B3557" t="str">
        <f>"002841"</f>
        <v>002841</v>
      </c>
      <c r="C3557" t="s">
        <v>7459</v>
      </c>
      <c r="D3557" t="s">
        <v>1285</v>
      </c>
      <c r="F3557">
        <v>21225711767</v>
      </c>
      <c r="G3557">
        <v>17129315322</v>
      </c>
      <c r="H3557">
        <v>17052701668</v>
      </c>
      <c r="I3557">
        <v>16983689830</v>
      </c>
      <c r="J3557">
        <v>10867607975</v>
      </c>
      <c r="K3557">
        <v>8237941602</v>
      </c>
      <c r="L3557">
        <v>5996057484</v>
      </c>
      <c r="M3557">
        <v>4309101325</v>
      </c>
      <c r="N3557">
        <v>3264377734</v>
      </c>
      <c r="P3557">
        <v>3099</v>
      </c>
      <c r="Q3557" t="s">
        <v>7460</v>
      </c>
    </row>
    <row r="3558" spans="1:17" x14ac:dyDescent="0.3">
      <c r="A3558" t="s">
        <v>4729</v>
      </c>
      <c r="B3558" t="str">
        <f>"002842"</f>
        <v>002842</v>
      </c>
      <c r="C3558" t="s">
        <v>7461</v>
      </c>
      <c r="D3558" t="s">
        <v>1110</v>
      </c>
      <c r="F3558">
        <v>1524401033</v>
      </c>
      <c r="G3558">
        <v>1290408756</v>
      </c>
      <c r="H3558">
        <v>1479785364</v>
      </c>
      <c r="I3558">
        <v>1675155248</v>
      </c>
      <c r="J3558">
        <v>975824182</v>
      </c>
      <c r="K3558">
        <v>714754265</v>
      </c>
      <c r="L3558">
        <v>728645397</v>
      </c>
      <c r="M3558">
        <v>740553425</v>
      </c>
      <c r="N3558">
        <v>699754449</v>
      </c>
      <c r="P3558">
        <v>99</v>
      </c>
      <c r="Q3558" t="s">
        <v>7462</v>
      </c>
    </row>
    <row r="3559" spans="1:17" x14ac:dyDescent="0.3">
      <c r="A3559" t="s">
        <v>4729</v>
      </c>
      <c r="B3559" t="str">
        <f>"002843"</f>
        <v>002843</v>
      </c>
      <c r="C3559" t="s">
        <v>7463</v>
      </c>
      <c r="D3559" t="s">
        <v>274</v>
      </c>
      <c r="F3559">
        <v>526700015</v>
      </c>
      <c r="G3559">
        <v>403179759</v>
      </c>
      <c r="H3559">
        <v>398116574</v>
      </c>
      <c r="I3559">
        <v>353123870</v>
      </c>
      <c r="J3559">
        <v>300261989</v>
      </c>
      <c r="K3559">
        <v>249148836</v>
      </c>
      <c r="L3559">
        <v>244792172</v>
      </c>
      <c r="M3559">
        <v>300103466</v>
      </c>
      <c r="N3559">
        <v>277216267</v>
      </c>
      <c r="P3559">
        <v>74</v>
      </c>
      <c r="Q3559" t="s">
        <v>7464</v>
      </c>
    </row>
    <row r="3560" spans="1:17" x14ac:dyDescent="0.3">
      <c r="A3560" t="s">
        <v>4729</v>
      </c>
      <c r="B3560" t="str">
        <f>"002845"</f>
        <v>002845</v>
      </c>
      <c r="C3560" t="s">
        <v>7465</v>
      </c>
      <c r="D3560" t="s">
        <v>1117</v>
      </c>
      <c r="F3560">
        <v>12860424158</v>
      </c>
      <c r="G3560">
        <v>10601084868</v>
      </c>
      <c r="H3560">
        <v>6195959819</v>
      </c>
      <c r="I3560">
        <v>4095390345</v>
      </c>
      <c r="J3560">
        <v>3663651804</v>
      </c>
      <c r="K3560">
        <v>2800766967</v>
      </c>
      <c r="L3560">
        <v>2019076972</v>
      </c>
      <c r="M3560">
        <v>2225440832</v>
      </c>
      <c r="N3560">
        <v>1541868002</v>
      </c>
      <c r="P3560">
        <v>222</v>
      </c>
      <c r="Q3560" t="s">
        <v>7466</v>
      </c>
    </row>
    <row r="3561" spans="1:17" x14ac:dyDescent="0.3">
      <c r="A3561" t="s">
        <v>4729</v>
      </c>
      <c r="B3561" t="str">
        <f>"002846"</f>
        <v>002846</v>
      </c>
      <c r="C3561" t="s">
        <v>7467</v>
      </c>
      <c r="D3561" t="s">
        <v>2373</v>
      </c>
      <c r="F3561">
        <v>1829544711</v>
      </c>
      <c r="G3561">
        <v>1332182835</v>
      </c>
      <c r="H3561">
        <v>1170391278</v>
      </c>
      <c r="I3561">
        <v>818956458</v>
      </c>
      <c r="J3561">
        <v>457897966</v>
      </c>
      <c r="K3561">
        <v>339658279</v>
      </c>
      <c r="L3561">
        <v>294276662</v>
      </c>
      <c r="M3561">
        <v>267534423</v>
      </c>
      <c r="N3561">
        <v>224165934</v>
      </c>
      <c r="P3561">
        <v>109</v>
      </c>
      <c r="Q3561" t="s">
        <v>7468</v>
      </c>
    </row>
    <row r="3562" spans="1:17" x14ac:dyDescent="0.3">
      <c r="A3562" t="s">
        <v>4729</v>
      </c>
      <c r="B3562" t="str">
        <f>"002847"</f>
        <v>002847</v>
      </c>
      <c r="C3562" t="s">
        <v>7469</v>
      </c>
      <c r="D3562" t="s">
        <v>3194</v>
      </c>
      <c r="F3562">
        <v>2281504302</v>
      </c>
      <c r="G3562">
        <v>1958851487</v>
      </c>
      <c r="H3562">
        <v>1399275041</v>
      </c>
      <c r="I3562">
        <v>1107553943</v>
      </c>
      <c r="J3562">
        <v>754425767</v>
      </c>
      <c r="K3562">
        <v>683484276</v>
      </c>
      <c r="L3562">
        <v>583704340</v>
      </c>
      <c r="M3562">
        <v>510399544</v>
      </c>
      <c r="N3562">
        <v>452176935</v>
      </c>
      <c r="P3562">
        <v>742</v>
      </c>
      <c r="Q3562" t="s">
        <v>7470</v>
      </c>
    </row>
    <row r="3563" spans="1:17" x14ac:dyDescent="0.3">
      <c r="A3563" t="s">
        <v>4729</v>
      </c>
      <c r="B3563" t="str">
        <f>"002848"</f>
        <v>002848</v>
      </c>
      <c r="C3563" t="s">
        <v>7471</v>
      </c>
      <c r="D3563" t="s">
        <v>4467</v>
      </c>
      <c r="F3563">
        <v>576731747</v>
      </c>
      <c r="G3563">
        <v>417914225</v>
      </c>
      <c r="H3563">
        <v>631005687</v>
      </c>
      <c r="I3563">
        <v>790957049</v>
      </c>
      <c r="J3563">
        <v>1078131837</v>
      </c>
      <c r="K3563">
        <v>944950065</v>
      </c>
      <c r="L3563">
        <v>843364076</v>
      </c>
      <c r="M3563">
        <v>840068583</v>
      </c>
      <c r="N3563">
        <v>996484333</v>
      </c>
      <c r="P3563">
        <v>189</v>
      </c>
      <c r="Q3563" t="s">
        <v>7472</v>
      </c>
    </row>
    <row r="3564" spans="1:17" x14ac:dyDescent="0.3">
      <c r="A3564" t="s">
        <v>4729</v>
      </c>
      <c r="B3564" t="str">
        <f>"002849"</f>
        <v>002849</v>
      </c>
      <c r="C3564" t="s">
        <v>7473</v>
      </c>
      <c r="D3564" t="s">
        <v>2566</v>
      </c>
      <c r="F3564">
        <v>1145480608</v>
      </c>
      <c r="G3564">
        <v>1198144721</v>
      </c>
      <c r="H3564">
        <v>1074105621</v>
      </c>
      <c r="I3564">
        <v>788547410</v>
      </c>
      <c r="J3564">
        <v>501500787</v>
      </c>
      <c r="K3564">
        <v>389942168</v>
      </c>
      <c r="L3564">
        <v>269550559</v>
      </c>
      <c r="M3564">
        <v>217776531</v>
      </c>
      <c r="P3564">
        <v>176</v>
      </c>
      <c r="Q3564" t="s">
        <v>7474</v>
      </c>
    </row>
    <row r="3565" spans="1:17" x14ac:dyDescent="0.3">
      <c r="A3565" t="s">
        <v>4729</v>
      </c>
      <c r="B3565" t="str">
        <f>"002850"</f>
        <v>002850</v>
      </c>
      <c r="C3565" t="s">
        <v>7475</v>
      </c>
      <c r="D3565" t="s">
        <v>359</v>
      </c>
      <c r="F3565">
        <v>4467580436</v>
      </c>
      <c r="G3565">
        <v>1985066896</v>
      </c>
      <c r="H3565">
        <v>2229912176</v>
      </c>
      <c r="I3565">
        <v>2000342994</v>
      </c>
      <c r="J3565">
        <v>1451651681</v>
      </c>
      <c r="K3565">
        <v>1455307373</v>
      </c>
      <c r="L3565">
        <v>1132970542</v>
      </c>
      <c r="M3565">
        <v>674285685</v>
      </c>
      <c r="P3565">
        <v>381</v>
      </c>
      <c r="Q3565" t="s">
        <v>7476</v>
      </c>
    </row>
    <row r="3566" spans="1:17" x14ac:dyDescent="0.3">
      <c r="A3566" t="s">
        <v>4729</v>
      </c>
      <c r="B3566" t="str">
        <f>"002851"</f>
        <v>002851</v>
      </c>
      <c r="C3566" t="s">
        <v>7477</v>
      </c>
      <c r="D3566" t="s">
        <v>880</v>
      </c>
      <c r="F3566">
        <v>4155737651</v>
      </c>
      <c r="G3566">
        <v>3376442661</v>
      </c>
      <c r="H3566">
        <v>3559587190</v>
      </c>
      <c r="I3566">
        <v>2393654738</v>
      </c>
      <c r="J3566">
        <v>1494449391</v>
      </c>
      <c r="K3566">
        <v>1154188252</v>
      </c>
      <c r="L3566">
        <v>812945439</v>
      </c>
      <c r="M3566">
        <v>634517421</v>
      </c>
      <c r="P3566">
        <v>565</v>
      </c>
      <c r="Q3566" t="s">
        <v>7478</v>
      </c>
    </row>
    <row r="3567" spans="1:17" x14ac:dyDescent="0.3">
      <c r="A3567" t="s">
        <v>4729</v>
      </c>
      <c r="B3567" t="str">
        <f>"002852"</f>
        <v>002852</v>
      </c>
      <c r="C3567" t="s">
        <v>7479</v>
      </c>
      <c r="D3567" t="s">
        <v>306</v>
      </c>
      <c r="F3567">
        <v>5449474452</v>
      </c>
      <c r="G3567">
        <v>5287320473</v>
      </c>
      <c r="H3567">
        <v>4116731901</v>
      </c>
      <c r="I3567">
        <v>3600495171</v>
      </c>
      <c r="J3567">
        <v>3301935062</v>
      </c>
      <c r="K3567">
        <v>2690979870</v>
      </c>
      <c r="L3567">
        <v>2186173876</v>
      </c>
      <c r="M3567">
        <v>2028403373</v>
      </c>
      <c r="P3567">
        <v>141</v>
      </c>
      <c r="Q3567" t="s">
        <v>7480</v>
      </c>
    </row>
    <row r="3568" spans="1:17" x14ac:dyDescent="0.3">
      <c r="A3568" t="s">
        <v>4729</v>
      </c>
      <c r="B3568" t="str">
        <f>"002853"</f>
        <v>002853</v>
      </c>
      <c r="C3568" t="s">
        <v>7481</v>
      </c>
      <c r="D3568" t="s">
        <v>2664</v>
      </c>
      <c r="F3568">
        <v>1823656242</v>
      </c>
      <c r="G3568">
        <v>1493622448</v>
      </c>
      <c r="H3568">
        <v>1471444133</v>
      </c>
      <c r="I3568">
        <v>1110266707</v>
      </c>
      <c r="J3568">
        <v>826468271</v>
      </c>
      <c r="K3568">
        <v>630382823</v>
      </c>
      <c r="L3568">
        <v>512010285</v>
      </c>
      <c r="M3568">
        <v>502932457</v>
      </c>
      <c r="P3568">
        <v>379</v>
      </c>
      <c r="Q3568" t="s">
        <v>7482</v>
      </c>
    </row>
    <row r="3569" spans="1:17" x14ac:dyDescent="0.3">
      <c r="A3569" t="s">
        <v>4729</v>
      </c>
      <c r="B3569" t="str">
        <f>"002855"</f>
        <v>002855</v>
      </c>
      <c r="C3569" t="s">
        <v>7483</v>
      </c>
      <c r="D3569" t="s">
        <v>313</v>
      </c>
      <c r="F3569">
        <v>3091816896</v>
      </c>
      <c r="G3569">
        <v>2822937926</v>
      </c>
      <c r="H3569">
        <v>2778984354</v>
      </c>
      <c r="I3569">
        <v>2202951713</v>
      </c>
      <c r="J3569">
        <v>1519638331</v>
      </c>
      <c r="K3569">
        <v>1835866403</v>
      </c>
      <c r="L3569">
        <v>2319403539</v>
      </c>
      <c r="M3569">
        <v>2685510354</v>
      </c>
      <c r="P3569">
        <v>138</v>
      </c>
      <c r="Q3569" t="s">
        <v>7484</v>
      </c>
    </row>
    <row r="3570" spans="1:17" x14ac:dyDescent="0.3">
      <c r="A3570" t="s">
        <v>4729</v>
      </c>
      <c r="B3570" t="str">
        <f>"002856"</f>
        <v>002856</v>
      </c>
      <c r="C3570" t="s">
        <v>7485</v>
      </c>
      <c r="D3570" t="s">
        <v>450</v>
      </c>
      <c r="F3570">
        <v>587913090</v>
      </c>
      <c r="G3570">
        <v>1248532271</v>
      </c>
      <c r="H3570">
        <v>910519039</v>
      </c>
      <c r="I3570">
        <v>956513232</v>
      </c>
      <c r="J3570">
        <v>944354042</v>
      </c>
      <c r="K3570">
        <v>949891143</v>
      </c>
      <c r="L3570">
        <v>1062607717</v>
      </c>
      <c r="M3570">
        <v>827883385</v>
      </c>
      <c r="P3570">
        <v>51</v>
      </c>
      <c r="Q3570" t="s">
        <v>7486</v>
      </c>
    </row>
    <row r="3571" spans="1:17" x14ac:dyDescent="0.3">
      <c r="A3571" t="s">
        <v>4729</v>
      </c>
      <c r="B3571" t="str">
        <f>"002857"</f>
        <v>002857</v>
      </c>
      <c r="C3571" t="s">
        <v>7487</v>
      </c>
      <c r="D3571" t="s">
        <v>2180</v>
      </c>
      <c r="F3571">
        <v>219504975</v>
      </c>
      <c r="G3571">
        <v>211728011</v>
      </c>
      <c r="H3571">
        <v>266430855</v>
      </c>
      <c r="I3571">
        <v>231420762</v>
      </c>
      <c r="J3571">
        <v>204207325</v>
      </c>
      <c r="K3571">
        <v>200800448</v>
      </c>
      <c r="L3571">
        <v>209778641</v>
      </c>
      <c r="M3571">
        <v>211034029</v>
      </c>
      <c r="N3571">
        <v>159995385</v>
      </c>
      <c r="P3571">
        <v>45</v>
      </c>
      <c r="Q3571" t="s">
        <v>7488</v>
      </c>
    </row>
    <row r="3572" spans="1:17" x14ac:dyDescent="0.3">
      <c r="A3572" t="s">
        <v>4729</v>
      </c>
      <c r="B3572" t="str">
        <f>"002858"</f>
        <v>002858</v>
      </c>
      <c r="C3572" t="s">
        <v>7489</v>
      </c>
      <c r="D3572" t="s">
        <v>327</v>
      </c>
      <c r="F3572">
        <v>280885992</v>
      </c>
      <c r="G3572">
        <v>200097574</v>
      </c>
      <c r="H3572">
        <v>440135435</v>
      </c>
      <c r="I3572">
        <v>375091438</v>
      </c>
      <c r="J3572">
        <v>282301272</v>
      </c>
      <c r="K3572">
        <v>240975053</v>
      </c>
      <c r="L3572">
        <v>219729166</v>
      </c>
      <c r="M3572">
        <v>208901368</v>
      </c>
      <c r="P3572">
        <v>75</v>
      </c>
      <c r="Q3572" t="s">
        <v>7490</v>
      </c>
    </row>
    <row r="3573" spans="1:17" x14ac:dyDescent="0.3">
      <c r="A3573" t="s">
        <v>4729</v>
      </c>
      <c r="B3573" t="str">
        <f>"002859"</f>
        <v>002859</v>
      </c>
      <c r="C3573" t="s">
        <v>7491</v>
      </c>
      <c r="D3573" t="s">
        <v>651</v>
      </c>
      <c r="F3573">
        <v>1861403829</v>
      </c>
      <c r="G3573">
        <v>1425518878</v>
      </c>
      <c r="H3573">
        <v>948519530</v>
      </c>
      <c r="I3573">
        <v>1311103977</v>
      </c>
      <c r="J3573">
        <v>996411464</v>
      </c>
      <c r="K3573">
        <v>753373949</v>
      </c>
      <c r="L3573">
        <v>590155449</v>
      </c>
      <c r="M3573">
        <v>519348362</v>
      </c>
      <c r="P3573">
        <v>2969</v>
      </c>
      <c r="Q3573" t="s">
        <v>7492</v>
      </c>
    </row>
    <row r="3574" spans="1:17" x14ac:dyDescent="0.3">
      <c r="A3574" t="s">
        <v>4729</v>
      </c>
      <c r="B3574" t="str">
        <f>"002860"</f>
        <v>002860</v>
      </c>
      <c r="C3574" t="s">
        <v>7493</v>
      </c>
      <c r="D3574" t="s">
        <v>1253</v>
      </c>
      <c r="F3574">
        <v>1368591964</v>
      </c>
      <c r="G3574">
        <v>926979909</v>
      </c>
      <c r="H3574">
        <v>708198952</v>
      </c>
      <c r="I3574">
        <v>409179038</v>
      </c>
      <c r="J3574">
        <v>354798548</v>
      </c>
      <c r="K3574">
        <v>294485324</v>
      </c>
      <c r="L3574">
        <v>253327799</v>
      </c>
      <c r="M3574">
        <v>270791829</v>
      </c>
      <c r="P3574">
        <v>249</v>
      </c>
      <c r="Q3574" t="s">
        <v>7494</v>
      </c>
    </row>
    <row r="3575" spans="1:17" x14ac:dyDescent="0.3">
      <c r="A3575" t="s">
        <v>4729</v>
      </c>
      <c r="B3575" t="str">
        <f>"002861"</f>
        <v>002861</v>
      </c>
      <c r="C3575" t="s">
        <v>7495</v>
      </c>
      <c r="D3575" t="s">
        <v>313</v>
      </c>
      <c r="F3575">
        <v>1046656308</v>
      </c>
      <c r="G3575">
        <v>1207882607</v>
      </c>
      <c r="H3575">
        <v>1107809325</v>
      </c>
      <c r="I3575">
        <v>896448420</v>
      </c>
      <c r="J3575">
        <v>721688401</v>
      </c>
      <c r="K3575">
        <v>605675852</v>
      </c>
      <c r="L3575">
        <v>769749388</v>
      </c>
      <c r="M3575">
        <v>620205542</v>
      </c>
      <c r="P3575">
        <v>155</v>
      </c>
      <c r="Q3575" t="s">
        <v>7496</v>
      </c>
    </row>
    <row r="3576" spans="1:17" x14ac:dyDescent="0.3">
      <c r="A3576" t="s">
        <v>4729</v>
      </c>
      <c r="B3576" t="str">
        <f>"002862"</f>
        <v>002862</v>
      </c>
      <c r="C3576" t="s">
        <v>7497</v>
      </c>
      <c r="D3576" t="s">
        <v>2931</v>
      </c>
      <c r="F3576">
        <v>365391138</v>
      </c>
      <c r="G3576">
        <v>251054802</v>
      </c>
      <c r="H3576">
        <v>388051043</v>
      </c>
      <c r="I3576">
        <v>397957343</v>
      </c>
      <c r="J3576">
        <v>436647981</v>
      </c>
      <c r="K3576">
        <v>405267623</v>
      </c>
      <c r="L3576">
        <v>418574385</v>
      </c>
      <c r="M3576">
        <v>376299511</v>
      </c>
      <c r="P3576">
        <v>66</v>
      </c>
      <c r="Q3576" t="s">
        <v>7498</v>
      </c>
    </row>
    <row r="3577" spans="1:17" x14ac:dyDescent="0.3">
      <c r="A3577" t="s">
        <v>4729</v>
      </c>
      <c r="B3577" t="str">
        <f>"002863"</f>
        <v>002863</v>
      </c>
      <c r="C3577" t="s">
        <v>7499</v>
      </c>
      <c r="D3577" t="s">
        <v>422</v>
      </c>
      <c r="F3577">
        <v>3955378211</v>
      </c>
      <c r="G3577">
        <v>3114711848</v>
      </c>
      <c r="H3577">
        <v>2945858861</v>
      </c>
      <c r="I3577">
        <v>2877999476</v>
      </c>
      <c r="J3577">
        <v>2580295132</v>
      </c>
      <c r="K3577">
        <v>2294193122</v>
      </c>
      <c r="L3577">
        <v>2131757418</v>
      </c>
      <c r="M3577">
        <v>2144253257</v>
      </c>
      <c r="P3577">
        <v>104</v>
      </c>
      <c r="Q3577" t="s">
        <v>7500</v>
      </c>
    </row>
    <row r="3578" spans="1:17" x14ac:dyDescent="0.3">
      <c r="A3578" t="s">
        <v>4729</v>
      </c>
      <c r="B3578" t="str">
        <f>"002864"</f>
        <v>002864</v>
      </c>
      <c r="C3578" t="s">
        <v>7501</v>
      </c>
      <c r="D3578" t="s">
        <v>188</v>
      </c>
      <c r="F3578">
        <v>887484877</v>
      </c>
      <c r="G3578">
        <v>670312982</v>
      </c>
      <c r="H3578">
        <v>610636793</v>
      </c>
      <c r="I3578">
        <v>489447812</v>
      </c>
      <c r="J3578">
        <v>376791558</v>
      </c>
      <c r="K3578">
        <v>305425505</v>
      </c>
      <c r="L3578">
        <v>256097405</v>
      </c>
      <c r="M3578">
        <v>245695161</v>
      </c>
      <c r="P3578">
        <v>184</v>
      </c>
      <c r="Q3578" t="s">
        <v>7502</v>
      </c>
    </row>
    <row r="3579" spans="1:17" x14ac:dyDescent="0.3">
      <c r="A3579" t="s">
        <v>4729</v>
      </c>
      <c r="B3579" t="str">
        <f>"002865"</f>
        <v>002865</v>
      </c>
      <c r="C3579" t="s">
        <v>7503</v>
      </c>
      <c r="D3579" t="s">
        <v>191</v>
      </c>
      <c r="F3579">
        <v>2863387815</v>
      </c>
      <c r="G3579">
        <v>858474942</v>
      </c>
      <c r="H3579">
        <v>826734131</v>
      </c>
      <c r="I3579">
        <v>902434016</v>
      </c>
      <c r="J3579">
        <v>1152752612</v>
      </c>
      <c r="K3579">
        <v>922473174</v>
      </c>
      <c r="L3579">
        <v>765501235</v>
      </c>
      <c r="M3579">
        <v>823404115</v>
      </c>
      <c r="P3579">
        <v>111</v>
      </c>
      <c r="Q3579" t="s">
        <v>7504</v>
      </c>
    </row>
    <row r="3580" spans="1:17" x14ac:dyDescent="0.3">
      <c r="A3580" t="s">
        <v>4729</v>
      </c>
      <c r="B3580" t="str">
        <f>"002866"</f>
        <v>002866</v>
      </c>
      <c r="C3580" t="s">
        <v>7505</v>
      </c>
      <c r="D3580" t="s">
        <v>313</v>
      </c>
      <c r="F3580">
        <v>1920462194</v>
      </c>
      <c r="G3580">
        <v>1769844754</v>
      </c>
      <c r="H3580">
        <v>1533937654</v>
      </c>
      <c r="I3580">
        <v>1143027794</v>
      </c>
      <c r="J3580">
        <v>668634586</v>
      </c>
      <c r="K3580">
        <v>582034182</v>
      </c>
      <c r="L3580">
        <v>402466642</v>
      </c>
      <c r="M3580">
        <v>318665550</v>
      </c>
      <c r="P3580">
        <v>161</v>
      </c>
      <c r="Q3580" t="s">
        <v>7506</v>
      </c>
    </row>
    <row r="3581" spans="1:17" x14ac:dyDescent="0.3">
      <c r="A3581" t="s">
        <v>4729</v>
      </c>
      <c r="B3581" t="str">
        <f>"002867"</f>
        <v>002867</v>
      </c>
      <c r="C3581" t="s">
        <v>7507</v>
      </c>
      <c r="D3581" t="s">
        <v>1238</v>
      </c>
      <c r="F3581">
        <v>9155200043</v>
      </c>
      <c r="G3581">
        <v>5084128474</v>
      </c>
      <c r="H3581">
        <v>5439289153</v>
      </c>
      <c r="I3581">
        <v>4869944474</v>
      </c>
      <c r="J3581">
        <v>3805445293</v>
      </c>
      <c r="K3581">
        <v>2901801324</v>
      </c>
      <c r="L3581">
        <v>2729062608</v>
      </c>
      <c r="M3581">
        <v>2663828316</v>
      </c>
      <c r="P3581">
        <v>1633</v>
      </c>
      <c r="Q3581" t="s">
        <v>7508</v>
      </c>
    </row>
    <row r="3582" spans="1:17" x14ac:dyDescent="0.3">
      <c r="A3582" t="s">
        <v>4729</v>
      </c>
      <c r="B3582" t="str">
        <f>"002868"</f>
        <v>002868</v>
      </c>
      <c r="C3582" t="s">
        <v>7509</v>
      </c>
      <c r="D3582" t="s">
        <v>453</v>
      </c>
      <c r="F3582">
        <v>363386382</v>
      </c>
      <c r="G3582">
        <v>308145260</v>
      </c>
      <c r="H3582">
        <v>303759977</v>
      </c>
      <c r="I3582">
        <v>344291894</v>
      </c>
      <c r="J3582">
        <v>375411281</v>
      </c>
      <c r="K3582">
        <v>401490366</v>
      </c>
      <c r="L3582">
        <v>385613322</v>
      </c>
      <c r="M3582">
        <v>295776106</v>
      </c>
      <c r="P3582">
        <v>88</v>
      </c>
      <c r="Q3582" t="s">
        <v>7510</v>
      </c>
    </row>
    <row r="3583" spans="1:17" x14ac:dyDescent="0.3">
      <c r="A3583" t="s">
        <v>4729</v>
      </c>
      <c r="B3583" t="str">
        <f>"002869"</f>
        <v>002869</v>
      </c>
      <c r="C3583" t="s">
        <v>7511</v>
      </c>
      <c r="D3583" t="s">
        <v>651</v>
      </c>
      <c r="F3583">
        <v>301555089</v>
      </c>
      <c r="G3583">
        <v>1563646033</v>
      </c>
      <c r="H3583">
        <v>2860155936</v>
      </c>
      <c r="I3583">
        <v>604058068</v>
      </c>
      <c r="J3583">
        <v>622649833</v>
      </c>
      <c r="K3583">
        <v>668721241</v>
      </c>
      <c r="L3583">
        <v>752064474</v>
      </c>
      <c r="M3583">
        <v>427497411</v>
      </c>
      <c r="P3583">
        <v>600</v>
      </c>
      <c r="Q3583" t="s">
        <v>7512</v>
      </c>
    </row>
    <row r="3584" spans="1:17" x14ac:dyDescent="0.3">
      <c r="A3584" t="s">
        <v>4729</v>
      </c>
      <c r="B3584" t="str">
        <f>"002870"</f>
        <v>002870</v>
      </c>
      <c r="C3584" t="s">
        <v>7513</v>
      </c>
      <c r="D3584" t="s">
        <v>2566</v>
      </c>
      <c r="F3584">
        <v>4890166124</v>
      </c>
      <c r="G3584">
        <v>976734513</v>
      </c>
      <c r="H3584">
        <v>841797492</v>
      </c>
      <c r="I3584">
        <v>937988325</v>
      </c>
      <c r="J3584">
        <v>929119063</v>
      </c>
      <c r="K3584">
        <v>828019409</v>
      </c>
      <c r="L3584">
        <v>805336954</v>
      </c>
      <c r="M3584">
        <v>828557729</v>
      </c>
      <c r="P3584">
        <v>91</v>
      </c>
      <c r="Q3584" t="s">
        <v>7514</v>
      </c>
    </row>
    <row r="3585" spans="1:17" x14ac:dyDescent="0.3">
      <c r="A3585" t="s">
        <v>4729</v>
      </c>
      <c r="B3585" t="str">
        <f>"002871"</f>
        <v>002871</v>
      </c>
      <c r="C3585" t="s">
        <v>7515</v>
      </c>
      <c r="D3585" t="s">
        <v>274</v>
      </c>
      <c r="F3585">
        <v>415162744</v>
      </c>
      <c r="G3585">
        <v>344590025</v>
      </c>
      <c r="H3585">
        <v>355225907</v>
      </c>
      <c r="I3585">
        <v>346704774</v>
      </c>
      <c r="J3585">
        <v>286430897</v>
      </c>
      <c r="K3585">
        <v>272726318</v>
      </c>
      <c r="L3585">
        <v>268772838</v>
      </c>
      <c r="M3585">
        <v>290061088</v>
      </c>
      <c r="P3585">
        <v>66</v>
      </c>
      <c r="Q3585" t="s">
        <v>7516</v>
      </c>
    </row>
    <row r="3586" spans="1:17" x14ac:dyDescent="0.3">
      <c r="A3586" t="s">
        <v>4729</v>
      </c>
      <c r="B3586" t="str">
        <f>"002872"</f>
        <v>002872</v>
      </c>
      <c r="C3586" t="s">
        <v>7517</v>
      </c>
      <c r="D3586" t="s">
        <v>125</v>
      </c>
      <c r="F3586">
        <v>736685772</v>
      </c>
      <c r="G3586">
        <v>1202746112</v>
      </c>
      <c r="H3586">
        <v>1678052467</v>
      </c>
      <c r="I3586">
        <v>2171439923</v>
      </c>
      <c r="J3586">
        <v>2261414377</v>
      </c>
      <c r="K3586">
        <v>2086931557</v>
      </c>
      <c r="L3586">
        <v>1843015280</v>
      </c>
      <c r="M3586">
        <v>1663784343</v>
      </c>
      <c r="P3586">
        <v>69</v>
      </c>
      <c r="Q3586" t="s">
        <v>7518</v>
      </c>
    </row>
    <row r="3587" spans="1:17" x14ac:dyDescent="0.3">
      <c r="A3587" t="s">
        <v>4729</v>
      </c>
      <c r="B3587" t="str">
        <f>"002873"</f>
        <v>002873</v>
      </c>
      <c r="C3587" t="s">
        <v>7519</v>
      </c>
      <c r="D3587" t="s">
        <v>188</v>
      </c>
      <c r="F3587">
        <v>969844472</v>
      </c>
      <c r="G3587">
        <v>750946390</v>
      </c>
      <c r="H3587">
        <v>773337465</v>
      </c>
      <c r="I3587">
        <v>694259401</v>
      </c>
      <c r="J3587">
        <v>681714129</v>
      </c>
      <c r="K3587">
        <v>633186158</v>
      </c>
      <c r="L3587">
        <v>521910598</v>
      </c>
      <c r="M3587">
        <v>454125519</v>
      </c>
      <c r="P3587">
        <v>166</v>
      </c>
      <c r="Q3587" t="s">
        <v>7520</v>
      </c>
    </row>
    <row r="3588" spans="1:17" x14ac:dyDescent="0.3">
      <c r="A3588" t="s">
        <v>4729</v>
      </c>
      <c r="B3588" t="str">
        <f>"002875"</f>
        <v>002875</v>
      </c>
      <c r="C3588" t="s">
        <v>7521</v>
      </c>
      <c r="D3588" t="s">
        <v>255</v>
      </c>
      <c r="F3588">
        <v>1185521706</v>
      </c>
      <c r="G3588">
        <v>1256842735</v>
      </c>
      <c r="H3588">
        <v>1326622371</v>
      </c>
      <c r="I3588">
        <v>1212555441</v>
      </c>
      <c r="J3588">
        <v>1031435047</v>
      </c>
      <c r="K3588">
        <v>920364537</v>
      </c>
      <c r="L3588">
        <v>840270405</v>
      </c>
      <c r="M3588">
        <v>792581835</v>
      </c>
      <c r="P3588">
        <v>92</v>
      </c>
      <c r="Q3588" t="s">
        <v>7522</v>
      </c>
    </row>
    <row r="3589" spans="1:17" x14ac:dyDescent="0.3">
      <c r="A3589" t="s">
        <v>4729</v>
      </c>
      <c r="B3589" t="str">
        <f>"002876"</f>
        <v>002876</v>
      </c>
      <c r="C3589" t="s">
        <v>7523</v>
      </c>
      <c r="D3589" t="s">
        <v>1117</v>
      </c>
      <c r="F3589">
        <v>2303962193</v>
      </c>
      <c r="G3589">
        <v>1905103948</v>
      </c>
      <c r="H3589">
        <v>1450668675</v>
      </c>
      <c r="I3589">
        <v>882960371</v>
      </c>
      <c r="J3589">
        <v>817613769</v>
      </c>
      <c r="K3589">
        <v>800491775</v>
      </c>
      <c r="L3589">
        <v>666518448</v>
      </c>
      <c r="M3589">
        <v>591130455</v>
      </c>
      <c r="P3589">
        <v>214</v>
      </c>
      <c r="Q3589" t="s">
        <v>7524</v>
      </c>
    </row>
    <row r="3590" spans="1:17" x14ac:dyDescent="0.3">
      <c r="A3590" t="s">
        <v>4729</v>
      </c>
      <c r="B3590" t="str">
        <f>"002877"</f>
        <v>002877</v>
      </c>
      <c r="C3590" t="s">
        <v>7525</v>
      </c>
      <c r="D3590" t="s">
        <v>274</v>
      </c>
      <c r="F3590">
        <v>734201513</v>
      </c>
      <c r="G3590">
        <v>551724704</v>
      </c>
      <c r="H3590">
        <v>476613791</v>
      </c>
      <c r="I3590">
        <v>376051123</v>
      </c>
      <c r="J3590">
        <v>307423200</v>
      </c>
      <c r="K3590">
        <v>273628309</v>
      </c>
      <c r="L3590">
        <v>255345610</v>
      </c>
      <c r="M3590">
        <v>286377036</v>
      </c>
      <c r="P3590">
        <v>100</v>
      </c>
      <c r="Q3590" t="s">
        <v>7526</v>
      </c>
    </row>
    <row r="3591" spans="1:17" x14ac:dyDescent="0.3">
      <c r="A3591" t="s">
        <v>4729</v>
      </c>
      <c r="B3591" t="str">
        <f>"002878"</f>
        <v>002878</v>
      </c>
      <c r="C3591" t="s">
        <v>7527</v>
      </c>
      <c r="D3591" t="s">
        <v>1673</v>
      </c>
      <c r="F3591">
        <v>2285823534</v>
      </c>
      <c r="G3591">
        <v>1990452895</v>
      </c>
      <c r="H3591">
        <v>1571660708</v>
      </c>
      <c r="I3591">
        <v>1051573442</v>
      </c>
      <c r="J3591">
        <v>819257484</v>
      </c>
      <c r="K3591">
        <v>706814845</v>
      </c>
      <c r="L3591">
        <v>553789488</v>
      </c>
      <c r="M3591">
        <v>540483817</v>
      </c>
      <c r="P3591">
        <v>345</v>
      </c>
      <c r="Q3591" t="s">
        <v>7528</v>
      </c>
    </row>
    <row r="3592" spans="1:17" x14ac:dyDescent="0.3">
      <c r="A3592" t="s">
        <v>4729</v>
      </c>
      <c r="B3592" t="str">
        <f>"002879"</f>
        <v>002879</v>
      </c>
      <c r="C3592" t="s">
        <v>7529</v>
      </c>
      <c r="D3592" t="s">
        <v>1164</v>
      </c>
      <c r="F3592">
        <v>1057767801</v>
      </c>
      <c r="G3592">
        <v>940579693</v>
      </c>
      <c r="H3592">
        <v>852775283</v>
      </c>
      <c r="I3592">
        <v>694744918</v>
      </c>
      <c r="J3592">
        <v>616891573</v>
      </c>
      <c r="K3592">
        <v>546573426</v>
      </c>
      <c r="L3592">
        <v>526470219</v>
      </c>
      <c r="M3592">
        <v>486040956</v>
      </c>
      <c r="P3592">
        <v>266</v>
      </c>
      <c r="Q3592" t="s">
        <v>7530</v>
      </c>
    </row>
    <row r="3593" spans="1:17" x14ac:dyDescent="0.3">
      <c r="A3593" t="s">
        <v>4729</v>
      </c>
      <c r="B3593" t="str">
        <f>"002880"</f>
        <v>002880</v>
      </c>
      <c r="C3593" t="s">
        <v>7531</v>
      </c>
      <c r="D3593" t="s">
        <v>378</v>
      </c>
      <c r="F3593">
        <v>907434716</v>
      </c>
      <c r="G3593">
        <v>904564670</v>
      </c>
      <c r="H3593">
        <v>821469064</v>
      </c>
      <c r="I3593">
        <v>687949171</v>
      </c>
      <c r="J3593">
        <v>623389547</v>
      </c>
      <c r="K3593">
        <v>566136602</v>
      </c>
      <c r="L3593">
        <v>500944347</v>
      </c>
      <c r="M3593">
        <v>452773342</v>
      </c>
      <c r="P3593">
        <v>214</v>
      </c>
      <c r="Q3593" t="s">
        <v>7532</v>
      </c>
    </row>
    <row r="3594" spans="1:17" x14ac:dyDescent="0.3">
      <c r="A3594" t="s">
        <v>4729</v>
      </c>
      <c r="B3594" t="str">
        <f>"002881"</f>
        <v>002881</v>
      </c>
      <c r="C3594" t="s">
        <v>7533</v>
      </c>
      <c r="D3594" t="s">
        <v>313</v>
      </c>
      <c r="F3594">
        <v>1969075012</v>
      </c>
      <c r="G3594">
        <v>1120845597</v>
      </c>
      <c r="H3594">
        <v>932835035</v>
      </c>
      <c r="I3594">
        <v>989827907</v>
      </c>
      <c r="J3594">
        <v>642468424</v>
      </c>
      <c r="K3594">
        <v>479658114</v>
      </c>
      <c r="L3594">
        <v>388502375</v>
      </c>
      <c r="M3594">
        <v>303106219</v>
      </c>
      <c r="P3594">
        <v>240</v>
      </c>
      <c r="Q3594" t="s">
        <v>7534</v>
      </c>
    </row>
    <row r="3595" spans="1:17" x14ac:dyDescent="0.3">
      <c r="A3595" t="s">
        <v>4729</v>
      </c>
      <c r="B3595" t="str">
        <f>"002882"</f>
        <v>002882</v>
      </c>
      <c r="C3595" t="s">
        <v>7535</v>
      </c>
      <c r="D3595" t="s">
        <v>1164</v>
      </c>
      <c r="F3595">
        <v>4589569339</v>
      </c>
      <c r="G3595">
        <v>3199364015</v>
      </c>
      <c r="H3595">
        <v>3846622653</v>
      </c>
      <c r="I3595">
        <v>3318380051</v>
      </c>
      <c r="J3595">
        <v>2365574062</v>
      </c>
      <c r="K3595">
        <v>1791683841</v>
      </c>
      <c r="L3595">
        <v>1678017580</v>
      </c>
      <c r="M3595">
        <v>1568596769</v>
      </c>
      <c r="P3595">
        <v>118</v>
      </c>
      <c r="Q3595" t="s">
        <v>7536</v>
      </c>
    </row>
    <row r="3596" spans="1:17" x14ac:dyDescent="0.3">
      <c r="A3596" t="s">
        <v>4729</v>
      </c>
      <c r="B3596" t="str">
        <f>"002883"</f>
        <v>002883</v>
      </c>
      <c r="C3596" t="s">
        <v>7537</v>
      </c>
      <c r="D3596" t="s">
        <v>1272</v>
      </c>
      <c r="F3596">
        <v>606342742</v>
      </c>
      <c r="G3596">
        <v>475169675</v>
      </c>
      <c r="H3596">
        <v>311880366</v>
      </c>
      <c r="I3596">
        <v>270394329</v>
      </c>
      <c r="J3596">
        <v>232165855</v>
      </c>
      <c r="K3596">
        <v>191595474</v>
      </c>
      <c r="L3596">
        <v>150264357</v>
      </c>
      <c r="M3596">
        <v>159416230</v>
      </c>
      <c r="P3596">
        <v>102</v>
      </c>
      <c r="Q3596" t="s">
        <v>7538</v>
      </c>
    </row>
    <row r="3597" spans="1:17" x14ac:dyDescent="0.3">
      <c r="A3597" t="s">
        <v>4729</v>
      </c>
      <c r="B3597" t="str">
        <f>"002884"</f>
        <v>002884</v>
      </c>
      <c r="C3597" t="s">
        <v>7539</v>
      </c>
      <c r="D3597" t="s">
        <v>560</v>
      </c>
      <c r="F3597">
        <v>2062880132</v>
      </c>
      <c r="G3597">
        <v>1435395209</v>
      </c>
      <c r="H3597">
        <v>1135156055</v>
      </c>
      <c r="I3597">
        <v>1104420873</v>
      </c>
      <c r="J3597">
        <v>983688131</v>
      </c>
      <c r="K3597">
        <v>815233484</v>
      </c>
      <c r="L3597">
        <v>765176261</v>
      </c>
      <c r="M3597">
        <v>744418587</v>
      </c>
      <c r="P3597">
        <v>995</v>
      </c>
      <c r="Q3597" t="s">
        <v>7540</v>
      </c>
    </row>
    <row r="3598" spans="1:17" x14ac:dyDescent="0.3">
      <c r="A3598" t="s">
        <v>4729</v>
      </c>
      <c r="B3598" t="str">
        <f>"002885"</f>
        <v>002885</v>
      </c>
      <c r="C3598" t="s">
        <v>7541</v>
      </c>
      <c r="D3598" t="s">
        <v>313</v>
      </c>
      <c r="F3598">
        <v>1909574154</v>
      </c>
      <c r="G3598">
        <v>1313750643</v>
      </c>
      <c r="H3598">
        <v>1332821585</v>
      </c>
      <c r="I3598">
        <v>1166308190</v>
      </c>
      <c r="J3598">
        <v>1139911005</v>
      </c>
      <c r="K3598">
        <v>898758453</v>
      </c>
      <c r="L3598">
        <v>757445304</v>
      </c>
      <c r="M3598">
        <v>714531076</v>
      </c>
      <c r="P3598">
        <v>199</v>
      </c>
      <c r="Q3598" t="s">
        <v>7542</v>
      </c>
    </row>
    <row r="3599" spans="1:17" x14ac:dyDescent="0.3">
      <c r="A3599" t="s">
        <v>4729</v>
      </c>
      <c r="B3599" t="str">
        <f>"002886"</f>
        <v>002886</v>
      </c>
      <c r="C3599" t="s">
        <v>7543</v>
      </c>
      <c r="D3599" t="s">
        <v>341</v>
      </c>
      <c r="F3599">
        <v>1539634813</v>
      </c>
      <c r="G3599">
        <v>1152815666</v>
      </c>
      <c r="H3599">
        <v>900158326</v>
      </c>
      <c r="I3599">
        <v>808167739</v>
      </c>
      <c r="J3599">
        <v>764928831</v>
      </c>
      <c r="K3599">
        <v>630945494</v>
      </c>
      <c r="L3599">
        <v>585169685</v>
      </c>
      <c r="M3599">
        <v>533660150</v>
      </c>
      <c r="P3599">
        <v>190</v>
      </c>
      <c r="Q3599" t="s">
        <v>7544</v>
      </c>
    </row>
    <row r="3600" spans="1:17" x14ac:dyDescent="0.3">
      <c r="A3600" t="s">
        <v>4729</v>
      </c>
      <c r="B3600" t="str">
        <f>"002887"</f>
        <v>002887</v>
      </c>
      <c r="C3600" t="s">
        <v>7545</v>
      </c>
      <c r="D3600" t="s">
        <v>3575</v>
      </c>
      <c r="F3600">
        <v>585088674</v>
      </c>
      <c r="G3600">
        <v>948195142</v>
      </c>
      <c r="H3600">
        <v>713215117</v>
      </c>
      <c r="I3600">
        <v>510917926</v>
      </c>
      <c r="J3600">
        <v>695695995</v>
      </c>
      <c r="K3600">
        <v>685382236</v>
      </c>
      <c r="L3600">
        <v>586547726</v>
      </c>
      <c r="M3600">
        <v>458093922</v>
      </c>
      <c r="P3600">
        <v>167</v>
      </c>
      <c r="Q3600" t="s">
        <v>7546</v>
      </c>
    </row>
    <row r="3601" spans="1:17" x14ac:dyDescent="0.3">
      <c r="A3601" t="s">
        <v>4729</v>
      </c>
      <c r="B3601" t="str">
        <f>"002888"</f>
        <v>002888</v>
      </c>
      <c r="C3601" t="s">
        <v>7547</v>
      </c>
      <c r="D3601" t="s">
        <v>3526</v>
      </c>
      <c r="F3601">
        <v>289474306</v>
      </c>
      <c r="G3601">
        <v>265579264</v>
      </c>
      <c r="H3601">
        <v>274816055</v>
      </c>
      <c r="I3601">
        <v>266619585</v>
      </c>
      <c r="J3601">
        <v>263855357</v>
      </c>
      <c r="K3601">
        <v>243484999</v>
      </c>
      <c r="L3601">
        <v>244952903</v>
      </c>
      <c r="M3601">
        <v>228825657</v>
      </c>
      <c r="P3601">
        <v>80</v>
      </c>
      <c r="Q3601" t="s">
        <v>7548</v>
      </c>
    </row>
    <row r="3602" spans="1:17" x14ac:dyDescent="0.3">
      <c r="A3602" t="s">
        <v>4729</v>
      </c>
      <c r="B3602" t="str">
        <f>"002889"</f>
        <v>002889</v>
      </c>
      <c r="C3602" t="s">
        <v>7549</v>
      </c>
      <c r="D3602" t="s">
        <v>3125</v>
      </c>
      <c r="F3602">
        <v>2757164770</v>
      </c>
      <c r="G3602">
        <v>2692777522</v>
      </c>
      <c r="H3602">
        <v>14124311735</v>
      </c>
      <c r="I3602">
        <v>12896315661</v>
      </c>
      <c r="J3602">
        <v>10135817570</v>
      </c>
      <c r="K3602">
        <v>6870188344</v>
      </c>
      <c r="L3602">
        <v>4401667290</v>
      </c>
      <c r="M3602">
        <v>3269564078</v>
      </c>
      <c r="P3602">
        <v>122</v>
      </c>
      <c r="Q3602" t="s">
        <v>7550</v>
      </c>
    </row>
    <row r="3603" spans="1:17" x14ac:dyDescent="0.3">
      <c r="A3603" t="s">
        <v>4729</v>
      </c>
      <c r="B3603" t="str">
        <f>"002890"</f>
        <v>002890</v>
      </c>
      <c r="C3603" t="s">
        <v>7551</v>
      </c>
      <c r="D3603" t="s">
        <v>1985</v>
      </c>
      <c r="F3603">
        <v>410196045</v>
      </c>
      <c r="G3603">
        <v>406275565</v>
      </c>
      <c r="H3603">
        <v>282169530</v>
      </c>
      <c r="I3603">
        <v>239341500</v>
      </c>
      <c r="J3603">
        <v>283498473</v>
      </c>
      <c r="K3603">
        <v>281783924</v>
      </c>
      <c r="L3603">
        <v>347329532</v>
      </c>
      <c r="M3603">
        <v>359858944</v>
      </c>
      <c r="P3603">
        <v>70</v>
      </c>
      <c r="Q3603" t="s">
        <v>7552</v>
      </c>
    </row>
    <row r="3604" spans="1:17" x14ac:dyDescent="0.3">
      <c r="A3604" t="s">
        <v>4729</v>
      </c>
      <c r="B3604" t="str">
        <f>"002891"</f>
        <v>002891</v>
      </c>
      <c r="C3604" t="s">
        <v>7553</v>
      </c>
      <c r="D3604" t="s">
        <v>7554</v>
      </c>
      <c r="F3604">
        <v>2881552747</v>
      </c>
      <c r="G3604">
        <v>2232754482</v>
      </c>
      <c r="H3604">
        <v>1716238573</v>
      </c>
      <c r="I3604">
        <v>1412258320</v>
      </c>
      <c r="J3604">
        <v>1015351673</v>
      </c>
      <c r="K3604">
        <v>790946391</v>
      </c>
      <c r="L3604">
        <v>648220009</v>
      </c>
      <c r="M3604">
        <v>491127817</v>
      </c>
      <c r="P3604">
        <v>649</v>
      </c>
      <c r="Q3604" t="s">
        <v>7555</v>
      </c>
    </row>
    <row r="3605" spans="1:17" x14ac:dyDescent="0.3">
      <c r="A3605" t="s">
        <v>4729</v>
      </c>
      <c r="B3605" t="str">
        <f>"002892"</f>
        <v>002892</v>
      </c>
      <c r="C3605" t="s">
        <v>7556</v>
      </c>
      <c r="D3605" t="s">
        <v>1171</v>
      </c>
      <c r="F3605">
        <v>1434538489</v>
      </c>
      <c r="G3605">
        <v>993191719</v>
      </c>
      <c r="H3605">
        <v>850699408</v>
      </c>
      <c r="I3605">
        <v>720920717</v>
      </c>
      <c r="J3605">
        <v>591659441</v>
      </c>
      <c r="K3605">
        <v>504252434</v>
      </c>
      <c r="L3605">
        <v>454173939</v>
      </c>
      <c r="M3605">
        <v>427262669</v>
      </c>
      <c r="P3605">
        <v>145</v>
      </c>
      <c r="Q3605" t="s">
        <v>7557</v>
      </c>
    </row>
    <row r="3606" spans="1:17" x14ac:dyDescent="0.3">
      <c r="A3606" t="s">
        <v>4729</v>
      </c>
      <c r="B3606" t="str">
        <f>"002893"</f>
        <v>002893</v>
      </c>
      <c r="C3606" t="s">
        <v>7558</v>
      </c>
      <c r="D3606" t="s">
        <v>351</v>
      </c>
      <c r="F3606">
        <v>1005044863</v>
      </c>
      <c r="G3606">
        <v>951568490</v>
      </c>
      <c r="H3606">
        <v>919527679</v>
      </c>
      <c r="I3606">
        <v>966018469</v>
      </c>
      <c r="J3606">
        <v>915122263</v>
      </c>
      <c r="K3606">
        <v>862842290</v>
      </c>
      <c r="L3606">
        <v>855845118</v>
      </c>
      <c r="M3606">
        <v>733649694</v>
      </c>
      <c r="P3606">
        <v>92</v>
      </c>
      <c r="Q3606" t="s">
        <v>7559</v>
      </c>
    </row>
    <row r="3607" spans="1:17" x14ac:dyDescent="0.3">
      <c r="A3607" t="s">
        <v>4729</v>
      </c>
      <c r="B3607" t="str">
        <f>"002895"</f>
        <v>002895</v>
      </c>
      <c r="C3607" t="s">
        <v>7560</v>
      </c>
      <c r="D3607" t="s">
        <v>183</v>
      </c>
      <c r="F3607">
        <v>2530099236</v>
      </c>
      <c r="G3607">
        <v>1777251944</v>
      </c>
      <c r="H3607">
        <v>1749307556</v>
      </c>
      <c r="I3607">
        <v>1290276554</v>
      </c>
      <c r="J3607">
        <v>1183780419</v>
      </c>
      <c r="K3607">
        <v>1085361917</v>
      </c>
      <c r="L3607">
        <v>1103339542</v>
      </c>
      <c r="M3607">
        <v>845475922</v>
      </c>
      <c r="P3607">
        <v>148</v>
      </c>
      <c r="Q3607" t="s">
        <v>7561</v>
      </c>
    </row>
    <row r="3608" spans="1:17" x14ac:dyDescent="0.3">
      <c r="A3608" t="s">
        <v>4729</v>
      </c>
      <c r="B3608" t="str">
        <f>"002896"</f>
        <v>002896</v>
      </c>
      <c r="C3608" t="s">
        <v>7562</v>
      </c>
      <c r="D3608" t="s">
        <v>274</v>
      </c>
      <c r="F3608">
        <v>952973786</v>
      </c>
      <c r="G3608">
        <v>760573346</v>
      </c>
      <c r="H3608">
        <v>676189942</v>
      </c>
      <c r="I3608">
        <v>599051535</v>
      </c>
      <c r="J3608">
        <v>498115396</v>
      </c>
      <c r="K3608">
        <v>369965052</v>
      </c>
      <c r="L3608">
        <v>300246830</v>
      </c>
      <c r="M3608">
        <v>275604204</v>
      </c>
      <c r="P3608">
        <v>137</v>
      </c>
      <c r="Q3608" t="s">
        <v>7563</v>
      </c>
    </row>
    <row r="3609" spans="1:17" x14ac:dyDescent="0.3">
      <c r="A3609" t="s">
        <v>4729</v>
      </c>
      <c r="B3609" t="str">
        <f>"002897"</f>
        <v>002897</v>
      </c>
      <c r="C3609" t="s">
        <v>7564</v>
      </c>
      <c r="D3609" t="s">
        <v>1019</v>
      </c>
      <c r="F3609">
        <v>4489589434</v>
      </c>
      <c r="G3609">
        <v>3268276784</v>
      </c>
      <c r="H3609">
        <v>1622538947</v>
      </c>
      <c r="I3609">
        <v>1387670694</v>
      </c>
      <c r="J3609">
        <v>1215023559</v>
      </c>
      <c r="K3609">
        <v>991104491</v>
      </c>
      <c r="L3609">
        <v>914590868</v>
      </c>
      <c r="M3609">
        <v>914631958</v>
      </c>
      <c r="P3609">
        <v>234</v>
      </c>
      <c r="Q3609" t="s">
        <v>7565</v>
      </c>
    </row>
    <row r="3610" spans="1:17" x14ac:dyDescent="0.3">
      <c r="A3610" t="s">
        <v>4729</v>
      </c>
      <c r="B3610" t="str">
        <f>"002898"</f>
        <v>002898</v>
      </c>
      <c r="C3610" t="s">
        <v>7566</v>
      </c>
      <c r="D3610" t="s">
        <v>143</v>
      </c>
      <c r="F3610">
        <v>247078588</v>
      </c>
      <c r="G3610">
        <v>120684286</v>
      </c>
      <c r="H3610">
        <v>293466985</v>
      </c>
      <c r="I3610">
        <v>436272811</v>
      </c>
      <c r="J3610">
        <v>364218632</v>
      </c>
      <c r="K3610">
        <v>255836805</v>
      </c>
      <c r="L3610">
        <v>237495043</v>
      </c>
      <c r="M3610">
        <v>178093561</v>
      </c>
      <c r="P3610">
        <v>90</v>
      </c>
      <c r="Q3610" t="s">
        <v>7567</v>
      </c>
    </row>
    <row r="3611" spans="1:17" x14ac:dyDescent="0.3">
      <c r="A3611" t="s">
        <v>4729</v>
      </c>
      <c r="B3611" t="str">
        <f>"002899"</f>
        <v>002899</v>
      </c>
      <c r="C3611" t="s">
        <v>7568</v>
      </c>
      <c r="D3611" t="s">
        <v>2931</v>
      </c>
      <c r="F3611">
        <v>864394696</v>
      </c>
      <c r="G3611">
        <v>867983976</v>
      </c>
      <c r="H3611">
        <v>937612886</v>
      </c>
      <c r="I3611">
        <v>907663033</v>
      </c>
      <c r="J3611">
        <v>857231847</v>
      </c>
      <c r="K3611">
        <v>778654214</v>
      </c>
      <c r="L3611">
        <v>730908842</v>
      </c>
      <c r="M3611">
        <v>690452883</v>
      </c>
      <c r="P3611">
        <v>65</v>
      </c>
      <c r="Q3611" t="s">
        <v>7569</v>
      </c>
    </row>
    <row r="3612" spans="1:17" x14ac:dyDescent="0.3">
      <c r="A3612" t="s">
        <v>4729</v>
      </c>
      <c r="B3612" t="str">
        <f>"002900"</f>
        <v>002900</v>
      </c>
      <c r="C3612" t="s">
        <v>7570</v>
      </c>
      <c r="D3612" t="s">
        <v>143</v>
      </c>
      <c r="F3612">
        <v>945799423</v>
      </c>
      <c r="G3612">
        <v>1338882991</v>
      </c>
      <c r="H3612">
        <v>2102061190</v>
      </c>
      <c r="I3612">
        <v>2172516439</v>
      </c>
      <c r="J3612">
        <v>1148830318</v>
      </c>
      <c r="K3612">
        <v>760872101</v>
      </c>
      <c r="L3612">
        <v>722016528</v>
      </c>
      <c r="M3612">
        <v>681521377</v>
      </c>
      <c r="P3612">
        <v>196</v>
      </c>
      <c r="Q3612" t="s">
        <v>7571</v>
      </c>
    </row>
    <row r="3613" spans="1:17" x14ac:dyDescent="0.3">
      <c r="A3613" t="s">
        <v>4729</v>
      </c>
      <c r="B3613" t="str">
        <f>"002901"</f>
        <v>002901</v>
      </c>
      <c r="C3613" t="s">
        <v>7572</v>
      </c>
      <c r="D3613" t="s">
        <v>1077</v>
      </c>
      <c r="F3613">
        <v>1994333826</v>
      </c>
      <c r="G3613">
        <v>1586860209</v>
      </c>
      <c r="H3613">
        <v>1257317998</v>
      </c>
      <c r="I3613">
        <v>772469529</v>
      </c>
      <c r="J3613">
        <v>594014625</v>
      </c>
      <c r="K3613">
        <v>462663858</v>
      </c>
      <c r="L3613">
        <v>391825236</v>
      </c>
      <c r="M3613">
        <v>298891503</v>
      </c>
      <c r="P3613">
        <v>1702</v>
      </c>
      <c r="Q3613" t="s">
        <v>7573</v>
      </c>
    </row>
    <row r="3614" spans="1:17" x14ac:dyDescent="0.3">
      <c r="A3614" t="s">
        <v>4729</v>
      </c>
      <c r="B3614" t="str">
        <f>"002902"</f>
        <v>002902</v>
      </c>
      <c r="C3614" t="s">
        <v>7574</v>
      </c>
      <c r="D3614" t="s">
        <v>1019</v>
      </c>
      <c r="F3614">
        <v>2234042601</v>
      </c>
      <c r="G3614">
        <v>1688902719</v>
      </c>
      <c r="H3614">
        <v>1400862936</v>
      </c>
      <c r="I3614">
        <v>1604697485</v>
      </c>
      <c r="J3614">
        <v>1510102971</v>
      </c>
      <c r="K3614">
        <v>1407108100</v>
      </c>
      <c r="L3614">
        <v>1329401809</v>
      </c>
      <c r="M3614">
        <v>1032112946</v>
      </c>
      <c r="P3614">
        <v>216</v>
      </c>
      <c r="Q3614" t="s">
        <v>7575</v>
      </c>
    </row>
    <row r="3615" spans="1:17" x14ac:dyDescent="0.3">
      <c r="A3615" t="s">
        <v>4729</v>
      </c>
      <c r="B3615" t="str">
        <f>"002903"</f>
        <v>002903</v>
      </c>
      <c r="C3615" t="s">
        <v>7576</v>
      </c>
      <c r="D3615" t="s">
        <v>2321</v>
      </c>
      <c r="F3615">
        <v>438474955</v>
      </c>
      <c r="G3615">
        <v>304294077</v>
      </c>
      <c r="H3615">
        <v>71227307</v>
      </c>
      <c r="I3615">
        <v>199746726</v>
      </c>
      <c r="J3615">
        <v>250258758</v>
      </c>
      <c r="K3615">
        <v>259993787</v>
      </c>
      <c r="L3615">
        <v>110321519</v>
      </c>
      <c r="M3615">
        <v>99587700</v>
      </c>
      <c r="P3615">
        <v>143</v>
      </c>
      <c r="Q3615" t="s">
        <v>7577</v>
      </c>
    </row>
    <row r="3616" spans="1:17" x14ac:dyDescent="0.3">
      <c r="A3616" t="s">
        <v>4729</v>
      </c>
      <c r="B3616" t="str">
        <f>"002905"</f>
        <v>002905</v>
      </c>
      <c r="C3616" t="s">
        <v>7578</v>
      </c>
      <c r="D3616" t="s">
        <v>2573</v>
      </c>
      <c r="F3616">
        <v>1362427040</v>
      </c>
      <c r="G3616">
        <v>589491283</v>
      </c>
      <c r="H3616">
        <v>2068936988</v>
      </c>
      <c r="I3616">
        <v>2010485362</v>
      </c>
      <c r="J3616">
        <v>2191010144</v>
      </c>
      <c r="K3616">
        <v>2155647839</v>
      </c>
      <c r="L3616">
        <v>2325275006</v>
      </c>
      <c r="M3616">
        <v>1893291014</v>
      </c>
      <c r="P3616">
        <v>133</v>
      </c>
      <c r="Q3616" t="s">
        <v>7579</v>
      </c>
    </row>
    <row r="3617" spans="1:17" x14ac:dyDescent="0.3">
      <c r="A3617" t="s">
        <v>4729</v>
      </c>
      <c r="B3617" t="str">
        <f>"002906"</f>
        <v>002906</v>
      </c>
      <c r="C3617" t="s">
        <v>7580</v>
      </c>
      <c r="D3617" t="s">
        <v>1415</v>
      </c>
      <c r="F3617">
        <v>4488269547</v>
      </c>
      <c r="G3617">
        <v>3374433985</v>
      </c>
      <c r="H3617">
        <v>3383409897</v>
      </c>
      <c r="I3617">
        <v>3468780535</v>
      </c>
      <c r="J3617">
        <v>4165848008</v>
      </c>
      <c r="K3617">
        <v>4246898963</v>
      </c>
      <c r="L3617">
        <v>4144889048</v>
      </c>
      <c r="M3617">
        <v>4558773422</v>
      </c>
      <c r="P3617">
        <v>228</v>
      </c>
      <c r="Q3617" t="s">
        <v>7581</v>
      </c>
    </row>
    <row r="3618" spans="1:17" x14ac:dyDescent="0.3">
      <c r="A3618" t="s">
        <v>4729</v>
      </c>
      <c r="B3618" t="str">
        <f>"002907"</f>
        <v>002907</v>
      </c>
      <c r="C3618" t="s">
        <v>7582</v>
      </c>
      <c r="D3618" t="s">
        <v>188</v>
      </c>
      <c r="F3618">
        <v>846141123</v>
      </c>
      <c r="G3618">
        <v>882474477</v>
      </c>
      <c r="H3618">
        <v>842064018</v>
      </c>
      <c r="I3618">
        <v>703415290</v>
      </c>
      <c r="J3618">
        <v>592095364</v>
      </c>
      <c r="K3618">
        <v>551667001</v>
      </c>
      <c r="L3618">
        <v>469319112</v>
      </c>
      <c r="M3618">
        <v>425904328</v>
      </c>
      <c r="P3618">
        <v>286</v>
      </c>
      <c r="Q3618" t="s">
        <v>7583</v>
      </c>
    </row>
    <row r="3619" spans="1:17" x14ac:dyDescent="0.3">
      <c r="A3619" t="s">
        <v>4729</v>
      </c>
      <c r="B3619" t="str">
        <f>"002908"</f>
        <v>002908</v>
      </c>
      <c r="C3619" t="s">
        <v>7584</v>
      </c>
      <c r="D3619" t="s">
        <v>786</v>
      </c>
      <c r="F3619">
        <v>742638309</v>
      </c>
      <c r="G3619">
        <v>562467225</v>
      </c>
      <c r="H3619">
        <v>488072587</v>
      </c>
      <c r="I3619">
        <v>459913767</v>
      </c>
      <c r="J3619">
        <v>426821755</v>
      </c>
      <c r="K3619">
        <v>343032514</v>
      </c>
      <c r="L3619">
        <v>435206757</v>
      </c>
      <c r="M3619">
        <v>482731290</v>
      </c>
      <c r="P3619">
        <v>126</v>
      </c>
      <c r="Q3619" t="s">
        <v>7585</v>
      </c>
    </row>
    <row r="3620" spans="1:17" x14ac:dyDescent="0.3">
      <c r="A3620" t="s">
        <v>4729</v>
      </c>
      <c r="B3620" t="str">
        <f>"002909"</f>
        <v>002909</v>
      </c>
      <c r="C3620" t="s">
        <v>7586</v>
      </c>
      <c r="D3620" t="s">
        <v>1205</v>
      </c>
      <c r="F3620">
        <v>1675539898</v>
      </c>
      <c r="G3620">
        <v>1258711606</v>
      </c>
      <c r="H3620">
        <v>1016051924</v>
      </c>
      <c r="I3620">
        <v>932619991</v>
      </c>
      <c r="J3620">
        <v>802168660</v>
      </c>
      <c r="K3620">
        <v>501370918</v>
      </c>
      <c r="L3620">
        <v>506012028</v>
      </c>
      <c r="M3620">
        <v>536262555</v>
      </c>
      <c r="P3620">
        <v>87</v>
      </c>
      <c r="Q3620" t="s">
        <v>7587</v>
      </c>
    </row>
    <row r="3621" spans="1:17" x14ac:dyDescent="0.3">
      <c r="A3621" t="s">
        <v>4729</v>
      </c>
      <c r="B3621" t="str">
        <f>"002910"</f>
        <v>002910</v>
      </c>
      <c r="C3621" t="s">
        <v>7588</v>
      </c>
      <c r="D3621" t="s">
        <v>900</v>
      </c>
      <c r="F3621">
        <v>1021431542</v>
      </c>
      <c r="G3621">
        <v>739820698</v>
      </c>
      <c r="H3621">
        <v>813554461</v>
      </c>
      <c r="I3621">
        <v>657732097</v>
      </c>
      <c r="J3621">
        <v>628374037</v>
      </c>
      <c r="K3621">
        <v>665823164</v>
      </c>
      <c r="L3621">
        <v>626153086</v>
      </c>
      <c r="M3621">
        <v>598181247</v>
      </c>
      <c r="P3621">
        <v>147</v>
      </c>
      <c r="Q3621" t="s">
        <v>7589</v>
      </c>
    </row>
    <row r="3622" spans="1:17" x14ac:dyDescent="0.3">
      <c r="A3622" t="s">
        <v>4729</v>
      </c>
      <c r="B3622" t="str">
        <f>"002911"</f>
        <v>002911</v>
      </c>
      <c r="C3622" t="s">
        <v>7590</v>
      </c>
      <c r="D3622" t="s">
        <v>749</v>
      </c>
      <c r="F3622">
        <v>13531177504</v>
      </c>
      <c r="G3622">
        <v>7514573053</v>
      </c>
      <c r="H3622">
        <v>6426883212</v>
      </c>
      <c r="I3622">
        <v>5094297538</v>
      </c>
      <c r="J3622">
        <v>4292229457</v>
      </c>
      <c r="K3622">
        <v>3768857700</v>
      </c>
      <c r="L3622">
        <v>4093804423</v>
      </c>
      <c r="M3622">
        <v>3869388982</v>
      </c>
      <c r="P3622">
        <v>183</v>
      </c>
      <c r="Q3622" t="s">
        <v>7591</v>
      </c>
    </row>
    <row r="3623" spans="1:17" x14ac:dyDescent="0.3">
      <c r="A3623" t="s">
        <v>4729</v>
      </c>
      <c r="B3623" t="str">
        <f>"002912"</f>
        <v>002912</v>
      </c>
      <c r="C3623" t="s">
        <v>7592</v>
      </c>
      <c r="D3623" t="s">
        <v>236</v>
      </c>
      <c r="F3623">
        <v>693877531</v>
      </c>
      <c r="G3623">
        <v>954100399</v>
      </c>
      <c r="H3623">
        <v>904511476</v>
      </c>
      <c r="I3623">
        <v>691207981</v>
      </c>
      <c r="J3623">
        <v>497810591</v>
      </c>
      <c r="K3623">
        <v>343477293</v>
      </c>
      <c r="L3623">
        <v>292164280</v>
      </c>
      <c r="M3623">
        <v>264427549</v>
      </c>
      <c r="P3623">
        <v>586</v>
      </c>
      <c r="Q3623" t="s">
        <v>7593</v>
      </c>
    </row>
    <row r="3624" spans="1:17" x14ac:dyDescent="0.3">
      <c r="A3624" t="s">
        <v>4729</v>
      </c>
      <c r="B3624" t="str">
        <f>"002913"</f>
        <v>002913</v>
      </c>
      <c r="C3624" t="s">
        <v>7594</v>
      </c>
      <c r="D3624" t="s">
        <v>425</v>
      </c>
      <c r="F3624">
        <v>4435474357</v>
      </c>
      <c r="G3624">
        <v>2910709170</v>
      </c>
      <c r="H3624">
        <v>2275989134</v>
      </c>
      <c r="I3624">
        <v>2234865332</v>
      </c>
      <c r="J3624">
        <v>1736368033</v>
      </c>
      <c r="K3624">
        <v>1312347597</v>
      </c>
      <c r="L3624">
        <v>1055452919</v>
      </c>
      <c r="M3624">
        <v>896962810</v>
      </c>
      <c r="P3624">
        <v>205</v>
      </c>
      <c r="Q3624" t="s">
        <v>7595</v>
      </c>
    </row>
    <row r="3625" spans="1:17" x14ac:dyDescent="0.3">
      <c r="A3625" t="s">
        <v>4729</v>
      </c>
      <c r="B3625" t="str">
        <f>"002915"</f>
        <v>002915</v>
      </c>
      <c r="C3625" t="s">
        <v>7596</v>
      </c>
      <c r="D3625" t="s">
        <v>375</v>
      </c>
      <c r="F3625">
        <v>1526066147</v>
      </c>
      <c r="G3625">
        <v>1034176410</v>
      </c>
      <c r="H3625">
        <v>709123741</v>
      </c>
      <c r="I3625">
        <v>439045902</v>
      </c>
      <c r="J3625">
        <v>400587067</v>
      </c>
      <c r="K3625">
        <v>344063803</v>
      </c>
      <c r="L3625">
        <v>377937007</v>
      </c>
      <c r="M3625">
        <v>393569420</v>
      </c>
      <c r="P3625">
        <v>90</v>
      </c>
      <c r="Q3625" t="s">
        <v>7597</v>
      </c>
    </row>
    <row r="3626" spans="1:17" x14ac:dyDescent="0.3">
      <c r="A3626" t="s">
        <v>4729</v>
      </c>
      <c r="B3626" t="str">
        <f>"002916"</f>
        <v>002916</v>
      </c>
      <c r="C3626" t="s">
        <v>7598</v>
      </c>
      <c r="D3626" t="s">
        <v>425</v>
      </c>
      <c r="F3626">
        <v>13942521949</v>
      </c>
      <c r="G3626">
        <v>11600456950</v>
      </c>
      <c r="H3626">
        <v>10524196883</v>
      </c>
      <c r="I3626">
        <v>7602141701</v>
      </c>
      <c r="J3626">
        <v>5686939441</v>
      </c>
      <c r="K3626">
        <v>4598502247</v>
      </c>
      <c r="L3626">
        <v>3518673108</v>
      </c>
      <c r="M3626">
        <v>3638027450</v>
      </c>
      <c r="P3626">
        <v>2552</v>
      </c>
      <c r="Q3626" t="s">
        <v>7599</v>
      </c>
    </row>
    <row r="3627" spans="1:17" x14ac:dyDescent="0.3">
      <c r="A3627" t="s">
        <v>4729</v>
      </c>
      <c r="B3627" t="str">
        <f>"002917"</f>
        <v>002917</v>
      </c>
      <c r="C3627" t="s">
        <v>7600</v>
      </c>
      <c r="D3627" t="s">
        <v>2736</v>
      </c>
      <c r="F3627">
        <v>815109837</v>
      </c>
      <c r="G3627">
        <v>633044049</v>
      </c>
      <c r="H3627">
        <v>451561233</v>
      </c>
      <c r="I3627">
        <v>418462912</v>
      </c>
      <c r="J3627">
        <v>431938109</v>
      </c>
      <c r="K3627">
        <v>456121093</v>
      </c>
      <c r="L3627">
        <v>398957036</v>
      </c>
      <c r="M3627">
        <v>319841507</v>
      </c>
      <c r="P3627">
        <v>67</v>
      </c>
      <c r="Q3627" t="s">
        <v>7601</v>
      </c>
    </row>
    <row r="3628" spans="1:17" x14ac:dyDescent="0.3">
      <c r="A3628" t="s">
        <v>4729</v>
      </c>
      <c r="B3628" t="str">
        <f>"002918"</f>
        <v>002918</v>
      </c>
      <c r="C3628" t="s">
        <v>7602</v>
      </c>
      <c r="D3628" t="s">
        <v>178</v>
      </c>
      <c r="F3628">
        <v>6986521256</v>
      </c>
      <c r="G3628">
        <v>4863848562</v>
      </c>
      <c r="H3628">
        <v>3804061498</v>
      </c>
      <c r="I3628">
        <v>3208400133</v>
      </c>
      <c r="J3628">
        <v>2889876239</v>
      </c>
      <c r="K3628">
        <v>2324389747</v>
      </c>
      <c r="L3628">
        <v>1580604575</v>
      </c>
      <c r="M3628">
        <v>1440496287</v>
      </c>
      <c r="P3628">
        <v>529</v>
      </c>
      <c r="Q3628" t="s">
        <v>7603</v>
      </c>
    </row>
    <row r="3629" spans="1:17" x14ac:dyDescent="0.3">
      <c r="A3629" t="s">
        <v>4729</v>
      </c>
      <c r="B3629" t="str">
        <f>"002919"</f>
        <v>002919</v>
      </c>
      <c r="C3629" t="s">
        <v>7604</v>
      </c>
      <c r="D3629" t="s">
        <v>569</v>
      </c>
      <c r="F3629">
        <v>744148561</v>
      </c>
      <c r="G3629">
        <v>680571308</v>
      </c>
      <c r="H3629">
        <v>517463184</v>
      </c>
      <c r="I3629">
        <v>546276524</v>
      </c>
      <c r="J3629">
        <v>641639180</v>
      </c>
      <c r="K3629">
        <v>596120911</v>
      </c>
      <c r="L3629">
        <v>587564593</v>
      </c>
      <c r="M3629">
        <v>559212923</v>
      </c>
      <c r="P3629">
        <v>146</v>
      </c>
      <c r="Q3629" t="s">
        <v>7605</v>
      </c>
    </row>
    <row r="3630" spans="1:17" x14ac:dyDescent="0.3">
      <c r="A3630" t="s">
        <v>4729</v>
      </c>
      <c r="B3630" t="str">
        <f>"002920"</f>
        <v>002920</v>
      </c>
      <c r="C3630" t="s">
        <v>7606</v>
      </c>
      <c r="D3630" t="s">
        <v>945</v>
      </c>
      <c r="F3630">
        <v>9569434480</v>
      </c>
      <c r="G3630">
        <v>6799061283</v>
      </c>
      <c r="H3630">
        <v>5337242510</v>
      </c>
      <c r="I3630">
        <v>5408740071</v>
      </c>
      <c r="J3630">
        <v>6010300849</v>
      </c>
      <c r="K3630">
        <v>5678033523</v>
      </c>
      <c r="L3630">
        <v>3668248376</v>
      </c>
      <c r="M3630">
        <v>2636688501</v>
      </c>
      <c r="P3630">
        <v>688</v>
      </c>
      <c r="Q3630" t="s">
        <v>7607</v>
      </c>
    </row>
    <row r="3631" spans="1:17" x14ac:dyDescent="0.3">
      <c r="A3631" t="s">
        <v>4729</v>
      </c>
      <c r="B3631" t="str">
        <f>"002921"</f>
        <v>002921</v>
      </c>
      <c r="C3631" t="s">
        <v>7608</v>
      </c>
      <c r="D3631" t="s">
        <v>985</v>
      </c>
      <c r="F3631">
        <v>1210575302</v>
      </c>
      <c r="G3631">
        <v>912517660</v>
      </c>
      <c r="H3631">
        <v>747839589</v>
      </c>
      <c r="I3631">
        <v>665384350</v>
      </c>
      <c r="J3631">
        <v>609688958</v>
      </c>
      <c r="K3631">
        <v>511577676</v>
      </c>
      <c r="L3631">
        <v>507452047</v>
      </c>
      <c r="M3631">
        <v>544331599</v>
      </c>
      <c r="P3631">
        <v>95</v>
      </c>
      <c r="Q3631" t="s">
        <v>7609</v>
      </c>
    </row>
    <row r="3632" spans="1:17" x14ac:dyDescent="0.3">
      <c r="A3632" t="s">
        <v>4729</v>
      </c>
      <c r="B3632" t="str">
        <f>"002922"</f>
        <v>002922</v>
      </c>
      <c r="C3632" t="s">
        <v>7610</v>
      </c>
      <c r="D3632" t="s">
        <v>651</v>
      </c>
      <c r="F3632">
        <v>2230103077</v>
      </c>
      <c r="G3632">
        <v>1406042509</v>
      </c>
      <c r="H3632">
        <v>1296559125</v>
      </c>
      <c r="I3632">
        <v>1088269693</v>
      </c>
      <c r="J3632">
        <v>1148839628</v>
      </c>
      <c r="K3632">
        <v>880531276</v>
      </c>
      <c r="L3632">
        <v>798375987</v>
      </c>
      <c r="M3632">
        <v>805942087</v>
      </c>
      <c r="P3632">
        <v>170</v>
      </c>
      <c r="Q3632" t="s">
        <v>7611</v>
      </c>
    </row>
    <row r="3633" spans="1:17" x14ac:dyDescent="0.3">
      <c r="A3633" t="s">
        <v>4729</v>
      </c>
      <c r="B3633" t="str">
        <f>"002923"</f>
        <v>002923</v>
      </c>
      <c r="C3633" t="s">
        <v>7612</v>
      </c>
      <c r="D3633" t="s">
        <v>143</v>
      </c>
      <c r="F3633">
        <v>1189926868</v>
      </c>
      <c r="G3633">
        <v>1252630837</v>
      </c>
      <c r="H3633">
        <v>1359908296</v>
      </c>
      <c r="I3633">
        <v>1043860465</v>
      </c>
      <c r="J3633">
        <v>779421016</v>
      </c>
      <c r="K3633">
        <v>651862101</v>
      </c>
      <c r="L3633">
        <v>577942780</v>
      </c>
      <c r="M3633">
        <v>523598201</v>
      </c>
      <c r="P3633">
        <v>165</v>
      </c>
      <c r="Q3633" t="s">
        <v>7613</v>
      </c>
    </row>
    <row r="3634" spans="1:17" x14ac:dyDescent="0.3">
      <c r="A3634" t="s">
        <v>4729</v>
      </c>
      <c r="B3634" t="str">
        <f>"002925"</f>
        <v>002925</v>
      </c>
      <c r="C3634" t="s">
        <v>7614</v>
      </c>
      <c r="D3634" t="s">
        <v>313</v>
      </c>
      <c r="F3634">
        <v>7060970560</v>
      </c>
      <c r="G3634">
        <v>5310252593</v>
      </c>
      <c r="H3634">
        <v>3854442533</v>
      </c>
      <c r="I3634">
        <v>2778729499</v>
      </c>
      <c r="J3634">
        <v>3267195749</v>
      </c>
      <c r="K3634">
        <v>1648411412</v>
      </c>
      <c r="L3634">
        <v>980448440</v>
      </c>
      <c r="M3634">
        <v>640948548</v>
      </c>
      <c r="P3634">
        <v>1061</v>
      </c>
      <c r="Q3634" t="s">
        <v>7615</v>
      </c>
    </row>
    <row r="3635" spans="1:17" x14ac:dyDescent="0.3">
      <c r="A3635" t="s">
        <v>4729</v>
      </c>
      <c r="B3635" t="str">
        <f>"002926"</f>
        <v>002926</v>
      </c>
      <c r="C3635" t="s">
        <v>7616</v>
      </c>
      <c r="D3635" t="s">
        <v>80</v>
      </c>
      <c r="F3635">
        <v>5121995493</v>
      </c>
      <c r="G3635">
        <v>4682755762</v>
      </c>
      <c r="H3635">
        <v>3937424573</v>
      </c>
      <c r="I3635">
        <v>2545233364</v>
      </c>
      <c r="J3635">
        <v>2669781479</v>
      </c>
      <c r="K3635">
        <v>2710679480</v>
      </c>
      <c r="L3635">
        <v>6010918733</v>
      </c>
      <c r="M3635">
        <v>3168013932</v>
      </c>
      <c r="N3635">
        <v>1966121300</v>
      </c>
      <c r="O3635">
        <v>1513547100</v>
      </c>
      <c r="P3635">
        <v>921</v>
      </c>
      <c r="Q3635" t="s">
        <v>7617</v>
      </c>
    </row>
    <row r="3636" spans="1:17" x14ac:dyDescent="0.3">
      <c r="A3636" t="s">
        <v>4729</v>
      </c>
      <c r="B3636" t="str">
        <f>"002927"</f>
        <v>002927</v>
      </c>
      <c r="C3636" t="s">
        <v>7618</v>
      </c>
      <c r="D3636" t="s">
        <v>657</v>
      </c>
      <c r="F3636">
        <v>953380931</v>
      </c>
      <c r="G3636">
        <v>779118594</v>
      </c>
      <c r="H3636">
        <v>601461445</v>
      </c>
      <c r="I3636">
        <v>347364305</v>
      </c>
      <c r="J3636">
        <v>328562622</v>
      </c>
      <c r="K3636">
        <v>323598025</v>
      </c>
      <c r="L3636">
        <v>303778847</v>
      </c>
      <c r="M3636">
        <v>253916939</v>
      </c>
      <c r="P3636">
        <v>117</v>
      </c>
      <c r="Q3636" t="s">
        <v>7619</v>
      </c>
    </row>
    <row r="3637" spans="1:17" x14ac:dyDescent="0.3">
      <c r="A3637" t="s">
        <v>4729</v>
      </c>
      <c r="B3637" t="str">
        <f>"002928"</f>
        <v>002928</v>
      </c>
      <c r="C3637" t="s">
        <v>7620</v>
      </c>
      <c r="D3637" t="s">
        <v>77</v>
      </c>
      <c r="F3637">
        <v>3967414529</v>
      </c>
      <c r="G3637">
        <v>4727891755</v>
      </c>
      <c r="H3637">
        <v>5407112960</v>
      </c>
      <c r="I3637">
        <v>4260039819</v>
      </c>
      <c r="J3637">
        <v>3448447019</v>
      </c>
      <c r="K3637">
        <v>2551180260</v>
      </c>
      <c r="L3637">
        <v>1791861801</v>
      </c>
      <c r="P3637">
        <v>333</v>
      </c>
      <c r="Q3637" t="s">
        <v>7621</v>
      </c>
    </row>
    <row r="3638" spans="1:17" x14ac:dyDescent="0.3">
      <c r="A3638" t="s">
        <v>4729</v>
      </c>
      <c r="B3638" t="str">
        <f>"002929"</f>
        <v>002929</v>
      </c>
      <c r="C3638" t="s">
        <v>7622</v>
      </c>
      <c r="D3638" t="s">
        <v>654</v>
      </c>
      <c r="F3638">
        <v>6602328310</v>
      </c>
      <c r="G3638">
        <v>4192633828</v>
      </c>
      <c r="H3638">
        <v>3717024986</v>
      </c>
      <c r="I3638">
        <v>3231680137</v>
      </c>
      <c r="J3638">
        <v>2778394660</v>
      </c>
      <c r="K3638">
        <v>2293120852</v>
      </c>
      <c r="L3638">
        <v>1513448169</v>
      </c>
      <c r="P3638">
        <v>270</v>
      </c>
      <c r="Q3638" t="s">
        <v>7623</v>
      </c>
    </row>
    <row r="3639" spans="1:17" x14ac:dyDescent="0.3">
      <c r="A3639" t="s">
        <v>4729</v>
      </c>
      <c r="B3639" t="str">
        <f>"002930"</f>
        <v>002930</v>
      </c>
      <c r="C3639" t="s">
        <v>7624</v>
      </c>
      <c r="D3639" t="s">
        <v>1592</v>
      </c>
      <c r="F3639">
        <v>1087962896</v>
      </c>
      <c r="G3639">
        <v>848319886</v>
      </c>
      <c r="H3639">
        <v>485946771</v>
      </c>
      <c r="I3639">
        <v>398085273</v>
      </c>
      <c r="J3639">
        <v>364555337</v>
      </c>
      <c r="K3639">
        <v>367272236</v>
      </c>
      <c r="L3639">
        <v>332233959</v>
      </c>
      <c r="P3639">
        <v>160</v>
      </c>
      <c r="Q3639" t="s">
        <v>7625</v>
      </c>
    </row>
    <row r="3640" spans="1:17" x14ac:dyDescent="0.3">
      <c r="A3640" t="s">
        <v>4729</v>
      </c>
      <c r="B3640" t="str">
        <f>"002931"</f>
        <v>002931</v>
      </c>
      <c r="C3640" t="s">
        <v>7626</v>
      </c>
      <c r="D3640" t="s">
        <v>274</v>
      </c>
      <c r="F3640">
        <v>719638674</v>
      </c>
      <c r="G3640">
        <v>548079750</v>
      </c>
      <c r="H3640">
        <v>410073506</v>
      </c>
      <c r="I3640">
        <v>315165711</v>
      </c>
      <c r="J3640">
        <v>313408832</v>
      </c>
      <c r="K3640">
        <v>251499794</v>
      </c>
      <c r="L3640">
        <v>253369034</v>
      </c>
      <c r="P3640">
        <v>107</v>
      </c>
      <c r="Q3640" t="s">
        <v>7627</v>
      </c>
    </row>
    <row r="3641" spans="1:17" x14ac:dyDescent="0.3">
      <c r="A3641" t="s">
        <v>4729</v>
      </c>
      <c r="B3641" t="str">
        <f>"002932"</f>
        <v>002932</v>
      </c>
      <c r="C3641" t="s">
        <v>7628</v>
      </c>
      <c r="D3641" t="s">
        <v>1305</v>
      </c>
      <c r="F3641">
        <v>2829829546</v>
      </c>
      <c r="G3641">
        <v>959099196</v>
      </c>
      <c r="H3641">
        <v>181155372</v>
      </c>
      <c r="I3641">
        <v>176381394</v>
      </c>
      <c r="J3641">
        <v>165123344</v>
      </c>
      <c r="K3641">
        <v>140979148</v>
      </c>
      <c r="L3641">
        <v>95341628</v>
      </c>
      <c r="P3641">
        <v>423</v>
      </c>
      <c r="Q3641" t="s">
        <v>7629</v>
      </c>
    </row>
    <row r="3642" spans="1:17" x14ac:dyDescent="0.3">
      <c r="A3642" t="s">
        <v>4729</v>
      </c>
      <c r="B3642" t="str">
        <f>"002933"</f>
        <v>002933</v>
      </c>
      <c r="C3642" t="s">
        <v>7630</v>
      </c>
      <c r="D3642" t="s">
        <v>98</v>
      </c>
      <c r="F3642">
        <v>246048710</v>
      </c>
      <c r="G3642">
        <v>319986969</v>
      </c>
      <c r="H3642">
        <v>369345614</v>
      </c>
      <c r="I3642">
        <v>378425895</v>
      </c>
      <c r="J3642">
        <v>306608626</v>
      </c>
      <c r="K3642">
        <v>254073994</v>
      </c>
      <c r="L3642">
        <v>250220730</v>
      </c>
      <c r="P3642">
        <v>314</v>
      </c>
      <c r="Q3642" t="s">
        <v>7631</v>
      </c>
    </row>
    <row r="3643" spans="1:17" x14ac:dyDescent="0.3">
      <c r="A3643" t="s">
        <v>4729</v>
      </c>
      <c r="B3643" t="str">
        <f>"002935"</f>
        <v>002935</v>
      </c>
      <c r="C3643" t="s">
        <v>7632</v>
      </c>
      <c r="D3643" t="s">
        <v>1136</v>
      </c>
      <c r="F3643">
        <v>1042944170</v>
      </c>
      <c r="G3643">
        <v>916394496</v>
      </c>
      <c r="H3643">
        <v>866905597</v>
      </c>
      <c r="I3643">
        <v>864006673</v>
      </c>
      <c r="J3643">
        <v>820122107</v>
      </c>
      <c r="K3643">
        <v>761307125</v>
      </c>
      <c r="L3643">
        <v>703237099</v>
      </c>
      <c r="P3643">
        <v>203</v>
      </c>
      <c r="Q3643" t="s">
        <v>7633</v>
      </c>
    </row>
    <row r="3644" spans="1:17" x14ac:dyDescent="0.3">
      <c r="A3644" t="s">
        <v>4729</v>
      </c>
      <c r="B3644" t="str">
        <f>"002936"</f>
        <v>002936</v>
      </c>
      <c r="C3644" t="s">
        <v>7634</v>
      </c>
      <c r="D3644" t="s">
        <v>1842</v>
      </c>
      <c r="F3644">
        <v>14800539000</v>
      </c>
      <c r="G3644">
        <v>14606555000</v>
      </c>
      <c r="H3644">
        <v>13486901000</v>
      </c>
      <c r="I3644">
        <v>11156817000</v>
      </c>
      <c r="J3644">
        <v>10194343000</v>
      </c>
      <c r="K3644">
        <v>9897296000</v>
      </c>
      <c r="L3644">
        <v>7875961000</v>
      </c>
      <c r="M3644">
        <v>5533020000</v>
      </c>
      <c r="N3644">
        <v>4254634000</v>
      </c>
      <c r="O3644">
        <v>3303732000</v>
      </c>
      <c r="P3644">
        <v>469</v>
      </c>
      <c r="Q3644" t="s">
        <v>7635</v>
      </c>
    </row>
    <row r="3645" spans="1:17" x14ac:dyDescent="0.3">
      <c r="A3645" t="s">
        <v>4729</v>
      </c>
      <c r="B3645" t="str">
        <f>"002937"</f>
        <v>002937</v>
      </c>
      <c r="C3645" t="s">
        <v>7636</v>
      </c>
      <c r="D3645" t="s">
        <v>313</v>
      </c>
      <c r="F3645">
        <v>1251827687</v>
      </c>
      <c r="G3645">
        <v>1040387535</v>
      </c>
      <c r="H3645">
        <v>1023462842</v>
      </c>
      <c r="I3645">
        <v>1017902424</v>
      </c>
      <c r="J3645">
        <v>878004478</v>
      </c>
      <c r="K3645">
        <v>723904881</v>
      </c>
      <c r="L3645">
        <v>688034873</v>
      </c>
      <c r="P3645">
        <v>209</v>
      </c>
      <c r="Q3645" t="s">
        <v>7637</v>
      </c>
    </row>
    <row r="3646" spans="1:17" x14ac:dyDescent="0.3">
      <c r="A3646" t="s">
        <v>4729</v>
      </c>
      <c r="B3646" t="str">
        <f>"002938"</f>
        <v>002938</v>
      </c>
      <c r="C3646" t="s">
        <v>7638</v>
      </c>
      <c r="D3646" t="s">
        <v>425</v>
      </c>
      <c r="F3646">
        <v>33314849221</v>
      </c>
      <c r="G3646">
        <v>29851314481</v>
      </c>
      <c r="H3646">
        <v>26614629372</v>
      </c>
      <c r="I3646">
        <v>25854780281</v>
      </c>
      <c r="J3646">
        <v>23920836872</v>
      </c>
      <c r="K3646">
        <v>17138441685</v>
      </c>
      <c r="L3646">
        <v>17092663135</v>
      </c>
      <c r="P3646">
        <v>961</v>
      </c>
      <c r="Q3646" t="s">
        <v>7639</v>
      </c>
    </row>
    <row r="3647" spans="1:17" x14ac:dyDescent="0.3">
      <c r="A3647" t="s">
        <v>4729</v>
      </c>
      <c r="B3647" t="str">
        <f>"002939"</f>
        <v>002939</v>
      </c>
      <c r="C3647" t="s">
        <v>7640</v>
      </c>
      <c r="D3647" t="s">
        <v>80</v>
      </c>
      <c r="F3647">
        <v>7756796089</v>
      </c>
      <c r="G3647">
        <v>6868697463</v>
      </c>
      <c r="H3647">
        <v>3899142494</v>
      </c>
      <c r="I3647">
        <v>2753299923</v>
      </c>
      <c r="J3647">
        <v>2951052372</v>
      </c>
      <c r="K3647">
        <v>3483558655</v>
      </c>
      <c r="L3647">
        <v>5012184673</v>
      </c>
      <c r="M3647">
        <v>2470089179</v>
      </c>
      <c r="N3647">
        <v>1550385559</v>
      </c>
      <c r="O3647">
        <v>1523189179</v>
      </c>
      <c r="P3647">
        <v>832</v>
      </c>
      <c r="Q3647" t="s">
        <v>7641</v>
      </c>
    </row>
    <row r="3648" spans="1:17" x14ac:dyDescent="0.3">
      <c r="A3648" t="s">
        <v>4729</v>
      </c>
      <c r="B3648" t="str">
        <f>"002940"</f>
        <v>002940</v>
      </c>
      <c r="C3648" t="s">
        <v>7642</v>
      </c>
      <c r="D3648" t="s">
        <v>143</v>
      </c>
      <c r="F3648">
        <v>1380377637</v>
      </c>
      <c r="G3648">
        <v>1289647101</v>
      </c>
      <c r="H3648">
        <v>1396193906</v>
      </c>
      <c r="I3648">
        <v>1255047659</v>
      </c>
      <c r="J3648">
        <v>873154414</v>
      </c>
      <c r="K3648">
        <v>671580994</v>
      </c>
      <c r="L3648">
        <v>773793587</v>
      </c>
      <c r="P3648">
        <v>148</v>
      </c>
      <c r="Q3648" t="s">
        <v>7643</v>
      </c>
    </row>
    <row r="3649" spans="1:17" x14ac:dyDescent="0.3">
      <c r="A3649" t="s">
        <v>4729</v>
      </c>
      <c r="B3649" t="str">
        <f>"002941"</f>
        <v>002941</v>
      </c>
      <c r="C3649" t="s">
        <v>7644</v>
      </c>
      <c r="D3649" t="s">
        <v>101</v>
      </c>
      <c r="F3649">
        <v>11617932829</v>
      </c>
      <c r="G3649">
        <v>7139197770</v>
      </c>
      <c r="H3649">
        <v>5951176398</v>
      </c>
      <c r="I3649">
        <v>5351399939</v>
      </c>
      <c r="J3649">
        <v>7123678975</v>
      </c>
      <c r="K3649">
        <v>2284059511</v>
      </c>
      <c r="L3649">
        <v>2221897520</v>
      </c>
      <c r="P3649">
        <v>145</v>
      </c>
      <c r="Q3649" t="s">
        <v>7645</v>
      </c>
    </row>
    <row r="3650" spans="1:17" x14ac:dyDescent="0.3">
      <c r="A3650" t="s">
        <v>4729</v>
      </c>
      <c r="B3650" t="str">
        <f>"002942"</f>
        <v>002942</v>
      </c>
      <c r="C3650" t="s">
        <v>7646</v>
      </c>
      <c r="D3650" t="s">
        <v>853</v>
      </c>
      <c r="F3650">
        <v>1162570966</v>
      </c>
      <c r="G3650">
        <v>1193675123</v>
      </c>
      <c r="H3650">
        <v>1086084366</v>
      </c>
      <c r="I3650">
        <v>966953274</v>
      </c>
      <c r="J3650">
        <v>808332449</v>
      </c>
      <c r="K3650">
        <v>599357625</v>
      </c>
      <c r="L3650">
        <v>536975058</v>
      </c>
      <c r="P3650">
        <v>414</v>
      </c>
      <c r="Q3650" t="s">
        <v>7647</v>
      </c>
    </row>
    <row r="3651" spans="1:17" x14ac:dyDescent="0.3">
      <c r="A3651" t="s">
        <v>4729</v>
      </c>
      <c r="B3651" t="str">
        <f>"002943"</f>
        <v>002943</v>
      </c>
      <c r="C3651" t="s">
        <v>7648</v>
      </c>
      <c r="D3651" t="s">
        <v>2321</v>
      </c>
      <c r="F3651">
        <v>456909593</v>
      </c>
      <c r="G3651">
        <v>365289955</v>
      </c>
      <c r="H3651">
        <v>301618294</v>
      </c>
      <c r="I3651">
        <v>405134074</v>
      </c>
      <c r="J3651">
        <v>352845751</v>
      </c>
      <c r="K3651">
        <v>158323749</v>
      </c>
      <c r="L3651">
        <v>125241495</v>
      </c>
      <c r="P3651">
        <v>74</v>
      </c>
      <c r="Q3651" t="s">
        <v>7649</v>
      </c>
    </row>
    <row r="3652" spans="1:17" x14ac:dyDescent="0.3">
      <c r="A3652" t="s">
        <v>4729</v>
      </c>
      <c r="B3652" t="str">
        <f>"002945"</f>
        <v>002945</v>
      </c>
      <c r="C3652" t="s">
        <v>7650</v>
      </c>
      <c r="D3652" t="s">
        <v>80</v>
      </c>
      <c r="F3652">
        <v>1395355967</v>
      </c>
      <c r="G3652">
        <v>1489800612</v>
      </c>
      <c r="H3652">
        <v>1010603100</v>
      </c>
      <c r="I3652">
        <v>1000843795</v>
      </c>
      <c r="J3652">
        <v>1067185984</v>
      </c>
      <c r="K3652">
        <v>1318353295</v>
      </c>
      <c r="L3652">
        <v>1668857768</v>
      </c>
      <c r="M3652">
        <v>706314130</v>
      </c>
      <c r="N3652">
        <v>643707107</v>
      </c>
      <c r="O3652">
        <v>635102754</v>
      </c>
      <c r="P3652">
        <v>913</v>
      </c>
      <c r="Q3652" t="s">
        <v>7651</v>
      </c>
    </row>
    <row r="3653" spans="1:17" x14ac:dyDescent="0.3">
      <c r="A3653" t="s">
        <v>4729</v>
      </c>
      <c r="B3653" t="str">
        <f>"002946"</f>
        <v>002946</v>
      </c>
      <c r="C3653" t="s">
        <v>7652</v>
      </c>
      <c r="D3653" t="s">
        <v>900</v>
      </c>
      <c r="F3653">
        <v>8966872398</v>
      </c>
      <c r="G3653">
        <v>6748631857</v>
      </c>
      <c r="H3653">
        <v>5674953670</v>
      </c>
      <c r="I3653">
        <v>4971953790</v>
      </c>
      <c r="J3653">
        <v>4421815301</v>
      </c>
      <c r="K3653">
        <v>4053209528</v>
      </c>
      <c r="L3653">
        <v>3915165830</v>
      </c>
      <c r="P3653">
        <v>342</v>
      </c>
      <c r="Q3653" t="s">
        <v>7653</v>
      </c>
    </row>
    <row r="3654" spans="1:17" x14ac:dyDescent="0.3">
      <c r="A3654" t="s">
        <v>4729</v>
      </c>
      <c r="B3654" t="str">
        <f>"002947"</f>
        <v>002947</v>
      </c>
      <c r="C3654" t="s">
        <v>7654</v>
      </c>
      <c r="D3654" t="s">
        <v>313</v>
      </c>
      <c r="F3654">
        <v>1130169487</v>
      </c>
      <c r="G3654">
        <v>643623743</v>
      </c>
      <c r="H3654">
        <v>584920985</v>
      </c>
      <c r="I3654">
        <v>500650252</v>
      </c>
      <c r="J3654">
        <v>449391456</v>
      </c>
      <c r="K3654">
        <v>318491917</v>
      </c>
      <c r="L3654">
        <v>305813988</v>
      </c>
      <c r="P3654">
        <v>266</v>
      </c>
      <c r="Q3654" t="s">
        <v>7655</v>
      </c>
    </row>
    <row r="3655" spans="1:17" x14ac:dyDescent="0.3">
      <c r="A3655" t="s">
        <v>4729</v>
      </c>
      <c r="B3655" t="str">
        <f>"002948"</f>
        <v>002948</v>
      </c>
      <c r="C3655" t="s">
        <v>7656</v>
      </c>
      <c r="D3655" t="s">
        <v>1842</v>
      </c>
      <c r="F3655">
        <v>11136017000</v>
      </c>
      <c r="G3655">
        <v>10540661000</v>
      </c>
      <c r="H3655">
        <v>9616315000</v>
      </c>
      <c r="I3655">
        <v>7371953000</v>
      </c>
      <c r="J3655">
        <v>5582932000</v>
      </c>
      <c r="K3655">
        <v>6019336000</v>
      </c>
      <c r="L3655">
        <v>5011026000</v>
      </c>
      <c r="M3655">
        <v>4339888000</v>
      </c>
      <c r="N3655">
        <v>3525048000</v>
      </c>
      <c r="O3655">
        <v>2870036000</v>
      </c>
      <c r="P3655">
        <v>458</v>
      </c>
      <c r="Q3655" t="s">
        <v>7657</v>
      </c>
    </row>
    <row r="3656" spans="1:17" x14ac:dyDescent="0.3">
      <c r="A3656" t="s">
        <v>4729</v>
      </c>
      <c r="B3656" t="str">
        <f>"002949"</f>
        <v>002949</v>
      </c>
      <c r="C3656" t="s">
        <v>7658</v>
      </c>
      <c r="D3656" t="s">
        <v>1272</v>
      </c>
      <c r="F3656">
        <v>2876481670</v>
      </c>
      <c r="G3656">
        <v>1894093768</v>
      </c>
      <c r="H3656">
        <v>1194648908</v>
      </c>
      <c r="I3656">
        <v>916099605</v>
      </c>
      <c r="J3656">
        <v>592680521</v>
      </c>
      <c r="K3656">
        <v>475491051</v>
      </c>
      <c r="L3656">
        <v>450930408</v>
      </c>
      <c r="P3656">
        <v>158</v>
      </c>
      <c r="Q3656" t="s">
        <v>7659</v>
      </c>
    </row>
    <row r="3657" spans="1:17" x14ac:dyDescent="0.3">
      <c r="A3657" t="s">
        <v>4729</v>
      </c>
      <c r="B3657" t="str">
        <f>"002950"</f>
        <v>002950</v>
      </c>
      <c r="C3657" t="s">
        <v>7660</v>
      </c>
      <c r="D3657" t="s">
        <v>1077</v>
      </c>
      <c r="F3657">
        <v>2925554888</v>
      </c>
      <c r="G3657">
        <v>3834498022</v>
      </c>
      <c r="H3657">
        <v>2352461805</v>
      </c>
      <c r="I3657">
        <v>2027512040</v>
      </c>
      <c r="J3657">
        <v>1711115988</v>
      </c>
      <c r="K3657">
        <v>1558085316</v>
      </c>
      <c r="L3657">
        <v>1585173872</v>
      </c>
      <c r="P3657">
        <v>1080</v>
      </c>
      <c r="Q3657" t="s">
        <v>7661</v>
      </c>
    </row>
    <row r="3658" spans="1:17" x14ac:dyDescent="0.3">
      <c r="A3658" t="s">
        <v>4729</v>
      </c>
      <c r="B3658" t="str">
        <f>"002951"</f>
        <v>002951</v>
      </c>
      <c r="C3658" t="s">
        <v>7662</v>
      </c>
      <c r="D3658" t="s">
        <v>2165</v>
      </c>
      <c r="F3658">
        <v>386991754</v>
      </c>
      <c r="G3658">
        <v>639429049</v>
      </c>
      <c r="H3658">
        <v>584632447</v>
      </c>
      <c r="I3658">
        <v>653175274</v>
      </c>
      <c r="J3658">
        <v>544933283</v>
      </c>
      <c r="K3658">
        <v>813514927</v>
      </c>
      <c r="P3658">
        <v>93</v>
      </c>
      <c r="Q3658" t="s">
        <v>7663</v>
      </c>
    </row>
    <row r="3659" spans="1:17" x14ac:dyDescent="0.3">
      <c r="A3659" t="s">
        <v>4729</v>
      </c>
      <c r="B3659" t="str">
        <f>"002952"</f>
        <v>002952</v>
      </c>
      <c r="C3659" t="s">
        <v>7664</v>
      </c>
      <c r="D3659" t="s">
        <v>1117</v>
      </c>
      <c r="F3659">
        <v>610415194</v>
      </c>
      <c r="G3659">
        <v>464285227</v>
      </c>
      <c r="H3659">
        <v>447133906</v>
      </c>
      <c r="I3659">
        <v>511336794</v>
      </c>
      <c r="J3659">
        <v>506666998</v>
      </c>
      <c r="K3659">
        <v>398436314</v>
      </c>
      <c r="P3659">
        <v>79</v>
      </c>
      <c r="Q3659" t="s">
        <v>7665</v>
      </c>
    </row>
    <row r="3660" spans="1:17" x14ac:dyDescent="0.3">
      <c r="A3660" t="s">
        <v>4729</v>
      </c>
      <c r="B3660" t="str">
        <f>"002953"</f>
        <v>002953</v>
      </c>
      <c r="C3660" t="s">
        <v>7666</v>
      </c>
      <c r="D3660" t="s">
        <v>1164</v>
      </c>
      <c r="F3660">
        <v>3216501256</v>
      </c>
      <c r="G3660">
        <v>1628943070</v>
      </c>
      <c r="H3660">
        <v>1539539280</v>
      </c>
      <c r="I3660">
        <v>1553790300</v>
      </c>
      <c r="J3660">
        <v>1264078145</v>
      </c>
      <c r="K3660">
        <v>840487639</v>
      </c>
      <c r="P3660">
        <v>99</v>
      </c>
      <c r="Q3660" t="s">
        <v>7667</v>
      </c>
    </row>
    <row r="3661" spans="1:17" x14ac:dyDescent="0.3">
      <c r="A3661" t="s">
        <v>4729</v>
      </c>
      <c r="B3661" t="str">
        <f>"002955"</f>
        <v>002955</v>
      </c>
      <c r="C3661" t="s">
        <v>7668</v>
      </c>
      <c r="D3661" t="s">
        <v>1117</v>
      </c>
      <c r="F3661">
        <v>5811414894</v>
      </c>
      <c r="G3661">
        <v>3993644812</v>
      </c>
      <c r="H3661">
        <v>4830469665</v>
      </c>
      <c r="I3661">
        <v>4377955234</v>
      </c>
      <c r="J3661">
        <v>3616948239</v>
      </c>
      <c r="K3661">
        <v>2720766439</v>
      </c>
      <c r="P3661">
        <v>167</v>
      </c>
      <c r="Q3661" t="s">
        <v>7669</v>
      </c>
    </row>
    <row r="3662" spans="1:17" x14ac:dyDescent="0.3">
      <c r="A3662" t="s">
        <v>4729</v>
      </c>
      <c r="B3662" t="str">
        <f>"002956"</f>
        <v>002956</v>
      </c>
      <c r="C3662" t="s">
        <v>7670</v>
      </c>
      <c r="D3662" t="s">
        <v>2488</v>
      </c>
      <c r="F3662">
        <v>1153538925</v>
      </c>
      <c r="G3662">
        <v>1024479559</v>
      </c>
      <c r="H3662">
        <v>972778161</v>
      </c>
      <c r="I3662">
        <v>850853175</v>
      </c>
      <c r="J3662">
        <v>719505954</v>
      </c>
      <c r="K3662">
        <v>630830907</v>
      </c>
      <c r="P3662">
        <v>281</v>
      </c>
      <c r="Q3662" t="s">
        <v>7671</v>
      </c>
    </row>
    <row r="3663" spans="1:17" x14ac:dyDescent="0.3">
      <c r="A3663" t="s">
        <v>4729</v>
      </c>
      <c r="B3663" t="str">
        <f>"002957"</f>
        <v>002957</v>
      </c>
      <c r="C3663" t="s">
        <v>7672</v>
      </c>
      <c r="D3663" t="s">
        <v>2432</v>
      </c>
      <c r="F3663">
        <v>2161223057</v>
      </c>
      <c r="G3663">
        <v>2014349383</v>
      </c>
      <c r="H3663">
        <v>1871951551</v>
      </c>
      <c r="I3663">
        <v>1929302311</v>
      </c>
      <c r="J3663">
        <v>1831973471</v>
      </c>
      <c r="K3663">
        <v>1488175610</v>
      </c>
      <c r="P3663">
        <v>182</v>
      </c>
      <c r="Q3663" t="s">
        <v>7673</v>
      </c>
    </row>
    <row r="3664" spans="1:17" x14ac:dyDescent="0.3">
      <c r="A3664" t="s">
        <v>4729</v>
      </c>
      <c r="B3664" t="str">
        <f>"002958"</f>
        <v>002958</v>
      </c>
      <c r="C3664" t="s">
        <v>7674</v>
      </c>
      <c r="D3664" t="s">
        <v>1831</v>
      </c>
      <c r="F3664">
        <v>10296758000</v>
      </c>
      <c r="G3664">
        <v>9571526000</v>
      </c>
      <c r="H3664">
        <v>8729188000</v>
      </c>
      <c r="I3664">
        <v>7462073000</v>
      </c>
      <c r="J3664">
        <v>6079088000</v>
      </c>
      <c r="K3664">
        <v>5830184000</v>
      </c>
      <c r="L3664">
        <v>5750682000</v>
      </c>
      <c r="M3664">
        <v>5581898340</v>
      </c>
      <c r="N3664">
        <v>4942348000</v>
      </c>
      <c r="O3664">
        <v>2273697000</v>
      </c>
      <c r="P3664">
        <v>416</v>
      </c>
      <c r="Q3664" t="s">
        <v>7675</v>
      </c>
    </row>
    <row r="3665" spans="1:17" x14ac:dyDescent="0.3">
      <c r="A3665" t="s">
        <v>4729</v>
      </c>
      <c r="B3665" t="str">
        <f>"002959"</f>
        <v>002959</v>
      </c>
      <c r="C3665" t="s">
        <v>7676</v>
      </c>
      <c r="D3665" t="s">
        <v>5799</v>
      </c>
      <c r="F3665">
        <v>3606340290</v>
      </c>
      <c r="G3665">
        <v>3659948367</v>
      </c>
      <c r="H3665">
        <v>2687963985</v>
      </c>
      <c r="I3665">
        <v>2041035066</v>
      </c>
      <c r="J3665">
        <v>1646533599</v>
      </c>
      <c r="K3665">
        <v>1054304139</v>
      </c>
      <c r="P3665">
        <v>1479</v>
      </c>
      <c r="Q3665" t="s">
        <v>7677</v>
      </c>
    </row>
    <row r="3666" spans="1:17" x14ac:dyDescent="0.3">
      <c r="A3666" t="s">
        <v>4729</v>
      </c>
      <c r="B3666" t="str">
        <f>"002960"</f>
        <v>002960</v>
      </c>
      <c r="C3666" t="s">
        <v>7678</v>
      </c>
      <c r="D3666" t="s">
        <v>1691</v>
      </c>
      <c r="F3666">
        <v>3863392960</v>
      </c>
      <c r="G3666">
        <v>2524621624</v>
      </c>
      <c r="H3666">
        <v>2271095616</v>
      </c>
      <c r="I3666">
        <v>1777028977</v>
      </c>
      <c r="J3666">
        <v>1474804843</v>
      </c>
      <c r="K3666">
        <v>1281978287</v>
      </c>
      <c r="P3666">
        <v>391</v>
      </c>
      <c r="Q3666" t="s">
        <v>7679</v>
      </c>
    </row>
    <row r="3667" spans="1:17" x14ac:dyDescent="0.3">
      <c r="A3667" t="s">
        <v>4729</v>
      </c>
      <c r="B3667" t="str">
        <f>"002961"</f>
        <v>002961</v>
      </c>
      <c r="C3667" t="s">
        <v>7680</v>
      </c>
      <c r="D3667" t="s">
        <v>1847</v>
      </c>
      <c r="F3667">
        <v>2127881273</v>
      </c>
      <c r="G3667">
        <v>1341991036</v>
      </c>
      <c r="H3667">
        <v>951251523</v>
      </c>
      <c r="I3667">
        <v>471071282</v>
      </c>
      <c r="J3667">
        <v>513109226</v>
      </c>
      <c r="K3667">
        <v>464284401</v>
      </c>
      <c r="L3667">
        <v>579443485</v>
      </c>
      <c r="M3667">
        <v>311415060</v>
      </c>
      <c r="N3667">
        <v>248637379</v>
      </c>
      <c r="O3667">
        <v>252378550</v>
      </c>
      <c r="P3667">
        <v>123</v>
      </c>
      <c r="Q3667" t="s">
        <v>7681</v>
      </c>
    </row>
    <row r="3668" spans="1:17" x14ac:dyDescent="0.3">
      <c r="A3668" t="s">
        <v>4729</v>
      </c>
      <c r="B3668" t="str">
        <f>"002962"</f>
        <v>002962</v>
      </c>
      <c r="C3668" t="s">
        <v>7682</v>
      </c>
      <c r="D3668" t="s">
        <v>164</v>
      </c>
      <c r="F3668">
        <v>788011888</v>
      </c>
      <c r="G3668">
        <v>588544742</v>
      </c>
      <c r="H3668">
        <v>726816034</v>
      </c>
      <c r="I3668">
        <v>576781870</v>
      </c>
      <c r="J3668">
        <v>624010957</v>
      </c>
      <c r="K3668">
        <v>454628198</v>
      </c>
      <c r="P3668">
        <v>137</v>
      </c>
      <c r="Q3668" t="s">
        <v>7683</v>
      </c>
    </row>
    <row r="3669" spans="1:17" x14ac:dyDescent="0.3">
      <c r="A3669" t="s">
        <v>4729</v>
      </c>
      <c r="B3669" t="str">
        <f>"002963"</f>
        <v>002963</v>
      </c>
      <c r="C3669" t="s">
        <v>7684</v>
      </c>
      <c r="D3669" t="s">
        <v>450</v>
      </c>
      <c r="F3669">
        <v>787943078</v>
      </c>
      <c r="G3669">
        <v>598116208</v>
      </c>
      <c r="H3669">
        <v>1157000523</v>
      </c>
      <c r="I3669">
        <v>921915221</v>
      </c>
      <c r="J3669">
        <v>485757671</v>
      </c>
      <c r="K3669">
        <v>280844993</v>
      </c>
      <c r="P3669">
        <v>75</v>
      </c>
      <c r="Q3669" t="s">
        <v>7685</v>
      </c>
    </row>
    <row r="3670" spans="1:17" x14ac:dyDescent="0.3">
      <c r="A3670" t="s">
        <v>4729</v>
      </c>
      <c r="B3670" t="str">
        <f>"002965"</f>
        <v>002965</v>
      </c>
      <c r="C3670" t="s">
        <v>7686</v>
      </c>
      <c r="D3670" t="s">
        <v>274</v>
      </c>
      <c r="F3670">
        <v>2370773425</v>
      </c>
      <c r="G3670">
        <v>1839381953</v>
      </c>
      <c r="H3670">
        <v>1597121555</v>
      </c>
      <c r="I3670">
        <v>1477822953</v>
      </c>
      <c r="J3670">
        <v>1416767367</v>
      </c>
      <c r="K3670">
        <v>1157909441</v>
      </c>
      <c r="P3670">
        <v>400</v>
      </c>
      <c r="Q3670" t="s">
        <v>7687</v>
      </c>
    </row>
    <row r="3671" spans="1:17" x14ac:dyDescent="0.3">
      <c r="A3671" t="s">
        <v>4729</v>
      </c>
      <c r="B3671" t="str">
        <f>"002966"</f>
        <v>002966</v>
      </c>
      <c r="C3671" t="s">
        <v>7688</v>
      </c>
      <c r="D3671" t="s">
        <v>1842</v>
      </c>
      <c r="F3671">
        <v>10829432907</v>
      </c>
      <c r="G3671">
        <v>10363936964</v>
      </c>
      <c r="H3671">
        <v>9424243327</v>
      </c>
      <c r="I3671">
        <v>7737198184</v>
      </c>
      <c r="J3671">
        <v>6898642396</v>
      </c>
      <c r="K3671">
        <v>7007277721</v>
      </c>
      <c r="L3671">
        <v>6918171000</v>
      </c>
      <c r="M3671">
        <v>5808672000</v>
      </c>
      <c r="N3671">
        <v>4509458000</v>
      </c>
      <c r="O3671">
        <v>3454827267</v>
      </c>
      <c r="P3671">
        <v>365</v>
      </c>
      <c r="Q3671" t="s">
        <v>7689</v>
      </c>
    </row>
    <row r="3672" spans="1:17" x14ac:dyDescent="0.3">
      <c r="A3672" t="s">
        <v>4729</v>
      </c>
      <c r="B3672" t="str">
        <f>"002967"</f>
        <v>002967</v>
      </c>
      <c r="C3672" t="s">
        <v>7690</v>
      </c>
      <c r="D3672" t="s">
        <v>2510</v>
      </c>
      <c r="F3672">
        <v>2246952674</v>
      </c>
      <c r="G3672">
        <v>1840418701</v>
      </c>
      <c r="H3672">
        <v>1588156735</v>
      </c>
      <c r="I3672">
        <v>1227882351</v>
      </c>
      <c r="J3672">
        <v>837096731</v>
      </c>
      <c r="K3672">
        <v>589764499</v>
      </c>
      <c r="P3672">
        <v>236</v>
      </c>
      <c r="Q3672" t="s">
        <v>7691</v>
      </c>
    </row>
    <row r="3673" spans="1:17" x14ac:dyDescent="0.3">
      <c r="A3673" t="s">
        <v>4729</v>
      </c>
      <c r="B3673" t="str">
        <f>"002968"</f>
        <v>002968</v>
      </c>
      <c r="C3673" t="s">
        <v>7692</v>
      </c>
      <c r="D3673" t="s">
        <v>2975</v>
      </c>
      <c r="F3673">
        <v>2088263923</v>
      </c>
      <c r="G3673">
        <v>1318348772</v>
      </c>
      <c r="H3673">
        <v>1054603480</v>
      </c>
      <c r="I3673">
        <v>885845643</v>
      </c>
      <c r="J3673">
        <v>767535677</v>
      </c>
      <c r="K3673">
        <v>621553090</v>
      </c>
      <c r="P3673">
        <v>234</v>
      </c>
      <c r="Q3673" t="s">
        <v>7693</v>
      </c>
    </row>
    <row r="3674" spans="1:17" x14ac:dyDescent="0.3">
      <c r="A3674" t="s">
        <v>4729</v>
      </c>
      <c r="B3674" t="str">
        <f>"002969"</f>
        <v>002969</v>
      </c>
      <c r="C3674" t="s">
        <v>7694</v>
      </c>
      <c r="D3674" t="s">
        <v>2373</v>
      </c>
      <c r="F3674">
        <v>3451746169</v>
      </c>
      <c r="G3674">
        <v>1992409459</v>
      </c>
      <c r="H3674">
        <v>2624148379</v>
      </c>
      <c r="I3674">
        <v>2960426523</v>
      </c>
      <c r="J3674">
        <v>2746604177</v>
      </c>
      <c r="K3674">
        <v>2941790723</v>
      </c>
      <c r="P3674">
        <v>78</v>
      </c>
      <c r="Q3674" t="s">
        <v>7695</v>
      </c>
    </row>
    <row r="3675" spans="1:17" x14ac:dyDescent="0.3">
      <c r="A3675" t="s">
        <v>4729</v>
      </c>
      <c r="B3675" t="str">
        <f>"002970"</f>
        <v>002970</v>
      </c>
      <c r="C3675" t="s">
        <v>7696</v>
      </c>
      <c r="D3675" t="s">
        <v>236</v>
      </c>
      <c r="F3675">
        <v>1712706496</v>
      </c>
      <c r="G3675">
        <v>1608955037</v>
      </c>
      <c r="H3675">
        <v>1563664858</v>
      </c>
      <c r="I3675">
        <v>1182615465</v>
      </c>
      <c r="J3675">
        <v>851974007</v>
      </c>
      <c r="K3675">
        <v>588205101</v>
      </c>
      <c r="P3675">
        <v>563</v>
      </c>
      <c r="Q3675" t="s">
        <v>7697</v>
      </c>
    </row>
    <row r="3676" spans="1:17" x14ac:dyDescent="0.3">
      <c r="A3676" t="s">
        <v>4729</v>
      </c>
      <c r="B3676" t="str">
        <f>"002971"</f>
        <v>002971</v>
      </c>
      <c r="C3676" t="s">
        <v>7698</v>
      </c>
      <c r="D3676" t="s">
        <v>386</v>
      </c>
      <c r="F3676">
        <v>991794744</v>
      </c>
      <c r="G3676">
        <v>824144801</v>
      </c>
      <c r="H3676">
        <v>665623668</v>
      </c>
      <c r="I3676">
        <v>624616617</v>
      </c>
      <c r="J3676">
        <v>575203396</v>
      </c>
      <c r="K3676">
        <v>406000876</v>
      </c>
      <c r="P3676">
        <v>70</v>
      </c>
      <c r="Q3676" t="s">
        <v>7699</v>
      </c>
    </row>
    <row r="3677" spans="1:17" x14ac:dyDescent="0.3">
      <c r="A3677" t="s">
        <v>4729</v>
      </c>
      <c r="B3677" t="str">
        <f>"002972"</f>
        <v>002972</v>
      </c>
      <c r="C3677" t="s">
        <v>7700</v>
      </c>
      <c r="D3677" t="s">
        <v>1012</v>
      </c>
      <c r="F3677">
        <v>400845732</v>
      </c>
      <c r="G3677">
        <v>360548161</v>
      </c>
      <c r="H3677">
        <v>320820618</v>
      </c>
      <c r="I3677">
        <v>268790162</v>
      </c>
      <c r="J3677">
        <v>235393525</v>
      </c>
      <c r="K3677">
        <v>175226473</v>
      </c>
      <c r="P3677">
        <v>188</v>
      </c>
      <c r="Q3677" t="s">
        <v>7701</v>
      </c>
    </row>
    <row r="3678" spans="1:17" x14ac:dyDescent="0.3">
      <c r="A3678" t="s">
        <v>4729</v>
      </c>
      <c r="B3678" t="str">
        <f>"002973"</f>
        <v>002973</v>
      </c>
      <c r="C3678" t="s">
        <v>7702</v>
      </c>
      <c r="D3678" t="s">
        <v>499</v>
      </c>
      <c r="F3678">
        <v>3331733033</v>
      </c>
      <c r="G3678">
        <v>2829108743</v>
      </c>
      <c r="H3678">
        <v>2195309981</v>
      </c>
      <c r="I3678">
        <v>1575903223</v>
      </c>
      <c r="J3678">
        <v>1186953823</v>
      </c>
      <c r="K3678">
        <v>862197604</v>
      </c>
      <c r="P3678">
        <v>212</v>
      </c>
      <c r="Q3678" t="s">
        <v>7703</v>
      </c>
    </row>
    <row r="3679" spans="1:17" x14ac:dyDescent="0.3">
      <c r="A3679" t="s">
        <v>4729</v>
      </c>
      <c r="B3679" t="str">
        <f>"002975"</f>
        <v>002975</v>
      </c>
      <c r="C3679" t="s">
        <v>7704</v>
      </c>
      <c r="D3679" t="s">
        <v>2432</v>
      </c>
      <c r="F3679">
        <v>1214036105</v>
      </c>
      <c r="G3679">
        <v>1375964708</v>
      </c>
      <c r="H3679">
        <v>824939965</v>
      </c>
      <c r="I3679">
        <v>687399287</v>
      </c>
      <c r="J3679">
        <v>482232159</v>
      </c>
      <c r="K3679">
        <v>390501768</v>
      </c>
      <c r="P3679">
        <v>293</v>
      </c>
      <c r="Q3679" t="s">
        <v>7705</v>
      </c>
    </row>
    <row r="3680" spans="1:17" x14ac:dyDescent="0.3">
      <c r="A3680" t="s">
        <v>4729</v>
      </c>
      <c r="B3680" t="str">
        <f>"002976"</f>
        <v>002976</v>
      </c>
      <c r="C3680" t="s">
        <v>7706</v>
      </c>
      <c r="D3680" t="s">
        <v>313</v>
      </c>
      <c r="F3680">
        <v>754895110</v>
      </c>
      <c r="G3680">
        <v>584194761</v>
      </c>
      <c r="H3680">
        <v>609897588</v>
      </c>
      <c r="I3680">
        <v>593382514</v>
      </c>
      <c r="J3680">
        <v>560488739</v>
      </c>
      <c r="K3680">
        <v>457801559</v>
      </c>
      <c r="P3680">
        <v>104</v>
      </c>
      <c r="Q3680" t="s">
        <v>7707</v>
      </c>
    </row>
    <row r="3681" spans="1:17" x14ac:dyDescent="0.3">
      <c r="A3681" t="s">
        <v>4729</v>
      </c>
      <c r="B3681" t="str">
        <f>"002977"</f>
        <v>002977</v>
      </c>
      <c r="C3681" t="s">
        <v>7708</v>
      </c>
      <c r="D3681" t="s">
        <v>1136</v>
      </c>
      <c r="F3681">
        <v>278412932</v>
      </c>
      <c r="G3681">
        <v>218622306</v>
      </c>
      <c r="H3681">
        <v>276766510</v>
      </c>
      <c r="I3681">
        <v>276403084</v>
      </c>
      <c r="J3681">
        <v>175440622</v>
      </c>
      <c r="P3681">
        <v>126</v>
      </c>
      <c r="Q3681" t="s">
        <v>7709</v>
      </c>
    </row>
    <row r="3682" spans="1:17" x14ac:dyDescent="0.3">
      <c r="A3682" t="s">
        <v>4729</v>
      </c>
      <c r="B3682" t="str">
        <f>"002978"</f>
        <v>002978</v>
      </c>
      <c r="C3682" t="s">
        <v>7710</v>
      </c>
      <c r="D3682" t="s">
        <v>636</v>
      </c>
      <c r="F3682">
        <v>2303328837</v>
      </c>
      <c r="G3682">
        <v>1636423750</v>
      </c>
      <c r="H3682">
        <v>1374877604</v>
      </c>
      <c r="I3682">
        <v>1228375830</v>
      </c>
      <c r="J3682">
        <v>1287166036</v>
      </c>
      <c r="P3682">
        <v>229</v>
      </c>
      <c r="Q3682" t="s">
        <v>7711</v>
      </c>
    </row>
    <row r="3683" spans="1:17" x14ac:dyDescent="0.3">
      <c r="A3683" t="s">
        <v>4729</v>
      </c>
      <c r="B3683" t="str">
        <f>"002979"</f>
        <v>002979</v>
      </c>
      <c r="C3683" t="s">
        <v>7712</v>
      </c>
      <c r="D3683" t="s">
        <v>2938</v>
      </c>
      <c r="F3683">
        <v>1203158184</v>
      </c>
      <c r="G3683">
        <v>946426259</v>
      </c>
      <c r="H3683">
        <v>663263981</v>
      </c>
      <c r="I3683">
        <v>596507813</v>
      </c>
      <c r="J3683">
        <v>535465147</v>
      </c>
      <c r="P3683">
        <v>196</v>
      </c>
      <c r="Q3683" t="s">
        <v>7713</v>
      </c>
    </row>
    <row r="3684" spans="1:17" x14ac:dyDescent="0.3">
      <c r="A3684" t="s">
        <v>4729</v>
      </c>
      <c r="B3684" t="str">
        <f>"002980"</f>
        <v>002980</v>
      </c>
      <c r="C3684" t="s">
        <v>7714</v>
      </c>
      <c r="D3684" t="s">
        <v>2180</v>
      </c>
      <c r="F3684">
        <v>740051645</v>
      </c>
      <c r="G3684">
        <v>962660825</v>
      </c>
      <c r="H3684">
        <v>465545558</v>
      </c>
      <c r="I3684">
        <v>489637543</v>
      </c>
      <c r="J3684">
        <v>455719248</v>
      </c>
      <c r="P3684">
        <v>154</v>
      </c>
      <c r="Q3684" t="s">
        <v>7715</v>
      </c>
    </row>
    <row r="3685" spans="1:17" x14ac:dyDescent="0.3">
      <c r="A3685" t="s">
        <v>4729</v>
      </c>
      <c r="B3685" t="str">
        <f>"002981"</f>
        <v>002981</v>
      </c>
      <c r="C3685" t="s">
        <v>7716</v>
      </c>
      <c r="D3685" t="s">
        <v>313</v>
      </c>
      <c r="F3685">
        <v>1309618587</v>
      </c>
      <c r="G3685">
        <v>904715194</v>
      </c>
      <c r="H3685">
        <v>827657101</v>
      </c>
      <c r="I3685">
        <v>594861250</v>
      </c>
      <c r="J3685">
        <v>646863454</v>
      </c>
      <c r="K3685">
        <v>472296119</v>
      </c>
      <c r="P3685">
        <v>73</v>
      </c>
      <c r="Q3685" t="s">
        <v>7717</v>
      </c>
    </row>
    <row r="3686" spans="1:17" x14ac:dyDescent="0.3">
      <c r="A3686" t="s">
        <v>4729</v>
      </c>
      <c r="B3686" t="str">
        <f>"002982"</f>
        <v>002982</v>
      </c>
      <c r="C3686" t="s">
        <v>7718</v>
      </c>
      <c r="D3686" t="s">
        <v>6260</v>
      </c>
      <c r="F3686">
        <v>3005507323</v>
      </c>
      <c r="G3686">
        <v>2189585770</v>
      </c>
      <c r="H3686">
        <v>1877860207</v>
      </c>
      <c r="I3686">
        <v>1514118261</v>
      </c>
      <c r="J3686">
        <v>1154155076</v>
      </c>
      <c r="P3686">
        <v>131</v>
      </c>
      <c r="Q3686" t="s">
        <v>7719</v>
      </c>
    </row>
    <row r="3687" spans="1:17" x14ac:dyDescent="0.3">
      <c r="A3687" t="s">
        <v>4729</v>
      </c>
      <c r="B3687" t="str">
        <f>"002983"</f>
        <v>002983</v>
      </c>
      <c r="C3687" t="s">
        <v>7720</v>
      </c>
      <c r="D3687" t="s">
        <v>803</v>
      </c>
      <c r="F3687">
        <v>820920194</v>
      </c>
      <c r="G3687">
        <v>559786779</v>
      </c>
      <c r="H3687">
        <v>522646013</v>
      </c>
      <c r="I3687">
        <v>507022032</v>
      </c>
      <c r="J3687">
        <v>447835931</v>
      </c>
      <c r="P3687">
        <v>109</v>
      </c>
      <c r="Q3687" t="s">
        <v>7721</v>
      </c>
    </row>
    <row r="3688" spans="1:17" x14ac:dyDescent="0.3">
      <c r="A3688" t="s">
        <v>4729</v>
      </c>
      <c r="B3688" t="str">
        <f>"002984"</f>
        <v>002984</v>
      </c>
      <c r="C3688" t="s">
        <v>7722</v>
      </c>
      <c r="D3688" t="s">
        <v>422</v>
      </c>
      <c r="F3688">
        <v>5177269183</v>
      </c>
      <c r="G3688">
        <v>4705381831</v>
      </c>
      <c r="H3688">
        <v>4578918313</v>
      </c>
      <c r="I3688">
        <v>4175933245</v>
      </c>
      <c r="J3688">
        <v>3616539940</v>
      </c>
      <c r="P3688">
        <v>201</v>
      </c>
      <c r="Q3688" t="s">
        <v>7723</v>
      </c>
    </row>
    <row r="3689" spans="1:17" x14ac:dyDescent="0.3">
      <c r="A3689" t="s">
        <v>4729</v>
      </c>
      <c r="B3689" t="str">
        <f>"002985"</f>
        <v>002985</v>
      </c>
      <c r="C3689" t="s">
        <v>7724</v>
      </c>
      <c r="D3689" t="s">
        <v>98</v>
      </c>
      <c r="F3689">
        <v>1132372663</v>
      </c>
      <c r="G3689">
        <v>686679973</v>
      </c>
      <c r="H3689">
        <v>413787970</v>
      </c>
      <c r="I3689">
        <v>331275712</v>
      </c>
      <c r="J3689">
        <v>289946553</v>
      </c>
      <c r="P3689">
        <v>548</v>
      </c>
      <c r="Q3689" t="s">
        <v>7725</v>
      </c>
    </row>
    <row r="3690" spans="1:17" x14ac:dyDescent="0.3">
      <c r="A3690" t="s">
        <v>4729</v>
      </c>
      <c r="B3690" t="str">
        <f>"002986"</f>
        <v>002986</v>
      </c>
      <c r="C3690" t="s">
        <v>7726</v>
      </c>
      <c r="D3690" t="s">
        <v>1617</v>
      </c>
      <c r="F3690">
        <v>3201879060</v>
      </c>
      <c r="G3690">
        <v>2298079152</v>
      </c>
      <c r="H3690">
        <v>3161320025</v>
      </c>
      <c r="I3690">
        <v>3332421722</v>
      </c>
      <c r="J3690">
        <v>2778844082</v>
      </c>
      <c r="P3690">
        <v>58</v>
      </c>
      <c r="Q3690" t="s">
        <v>7727</v>
      </c>
    </row>
    <row r="3691" spans="1:17" x14ac:dyDescent="0.3">
      <c r="A3691" t="s">
        <v>4729</v>
      </c>
      <c r="B3691" t="str">
        <f>"002987"</f>
        <v>002987</v>
      </c>
      <c r="C3691" t="s">
        <v>7728</v>
      </c>
      <c r="D3691" t="s">
        <v>945</v>
      </c>
      <c r="F3691">
        <v>3054262229</v>
      </c>
      <c r="G3691">
        <v>2292568493</v>
      </c>
      <c r="H3691">
        <v>1686950305</v>
      </c>
      <c r="I3691">
        <v>1225990157</v>
      </c>
      <c r="J3691">
        <v>1009777879</v>
      </c>
      <c r="P3691">
        <v>127</v>
      </c>
      <c r="Q3691" t="s">
        <v>7729</v>
      </c>
    </row>
    <row r="3692" spans="1:17" x14ac:dyDescent="0.3">
      <c r="A3692" t="s">
        <v>4729</v>
      </c>
      <c r="B3692" t="str">
        <f>"002988"</f>
        <v>002988</v>
      </c>
      <c r="C3692" t="s">
        <v>7730</v>
      </c>
      <c r="D3692" t="s">
        <v>504</v>
      </c>
      <c r="F3692">
        <v>5599511475</v>
      </c>
      <c r="G3692">
        <v>3437139447</v>
      </c>
      <c r="H3692">
        <v>2967748524</v>
      </c>
      <c r="I3692">
        <v>2682376354</v>
      </c>
      <c r="J3692">
        <v>2363321027</v>
      </c>
      <c r="P3692">
        <v>61</v>
      </c>
      <c r="Q3692" t="s">
        <v>7731</v>
      </c>
    </row>
    <row r="3693" spans="1:17" x14ac:dyDescent="0.3">
      <c r="A3693" t="s">
        <v>4729</v>
      </c>
      <c r="B3693" t="str">
        <f>"002989"</f>
        <v>002989</v>
      </c>
      <c r="C3693" t="s">
        <v>7732</v>
      </c>
      <c r="D3693" t="s">
        <v>450</v>
      </c>
      <c r="F3693">
        <v>2567491364</v>
      </c>
      <c r="G3693">
        <v>2564932250</v>
      </c>
      <c r="H3693">
        <v>2339629603</v>
      </c>
      <c r="I3693">
        <v>1362972951</v>
      </c>
      <c r="J3693">
        <v>939443838</v>
      </c>
      <c r="P3693">
        <v>137</v>
      </c>
      <c r="Q3693" t="s">
        <v>7733</v>
      </c>
    </row>
    <row r="3694" spans="1:17" x14ac:dyDescent="0.3">
      <c r="A3694" t="s">
        <v>4729</v>
      </c>
      <c r="B3694" t="str">
        <f>"002990"</f>
        <v>002990</v>
      </c>
      <c r="C3694" t="s">
        <v>7734</v>
      </c>
      <c r="D3694" t="s">
        <v>236</v>
      </c>
      <c r="F3694">
        <v>1126809482</v>
      </c>
      <c r="G3694">
        <v>935109861</v>
      </c>
      <c r="H3694">
        <v>807386425</v>
      </c>
      <c r="I3694">
        <v>507238832</v>
      </c>
      <c r="J3694">
        <v>334069916</v>
      </c>
      <c r="P3694">
        <v>109</v>
      </c>
      <c r="Q3694" t="s">
        <v>7735</v>
      </c>
    </row>
    <row r="3695" spans="1:17" x14ac:dyDescent="0.3">
      <c r="A3695" t="s">
        <v>4729</v>
      </c>
      <c r="B3695" t="str">
        <f>"002991"</f>
        <v>002991</v>
      </c>
      <c r="C3695" t="s">
        <v>7736</v>
      </c>
      <c r="D3695" t="s">
        <v>3194</v>
      </c>
      <c r="F3695">
        <v>1293996747</v>
      </c>
      <c r="G3695">
        <v>1172353262</v>
      </c>
      <c r="H3695">
        <v>1109134679</v>
      </c>
      <c r="I3695">
        <v>911410038</v>
      </c>
      <c r="J3695">
        <v>787581251</v>
      </c>
      <c r="P3695">
        <v>211</v>
      </c>
      <c r="Q3695" t="s">
        <v>7737</v>
      </c>
    </row>
    <row r="3696" spans="1:17" x14ac:dyDescent="0.3">
      <c r="A3696" t="s">
        <v>4729</v>
      </c>
      <c r="B3696" t="str">
        <f>"002992"</f>
        <v>002992</v>
      </c>
      <c r="C3696" t="s">
        <v>7738</v>
      </c>
      <c r="D3696" t="s">
        <v>1117</v>
      </c>
      <c r="F3696">
        <v>1115367987</v>
      </c>
      <c r="G3696">
        <v>1378393381</v>
      </c>
      <c r="H3696">
        <v>1837373967</v>
      </c>
      <c r="I3696">
        <v>1377589883</v>
      </c>
      <c r="J3696">
        <v>1141686389</v>
      </c>
      <c r="P3696">
        <v>51</v>
      </c>
      <c r="Q3696" t="s">
        <v>7739</v>
      </c>
    </row>
    <row r="3697" spans="1:17" x14ac:dyDescent="0.3">
      <c r="A3697" t="s">
        <v>4729</v>
      </c>
      <c r="B3697" t="str">
        <f>"002993"</f>
        <v>002993</v>
      </c>
      <c r="C3697" t="s">
        <v>7740</v>
      </c>
      <c r="D3697" t="s">
        <v>313</v>
      </c>
      <c r="F3697">
        <v>4245275729</v>
      </c>
      <c r="G3697">
        <v>2945202862</v>
      </c>
      <c r="H3697">
        <v>2316015938</v>
      </c>
      <c r="I3697">
        <v>1661180727</v>
      </c>
      <c r="J3697">
        <v>1153220699</v>
      </c>
      <c r="P3697">
        <v>145</v>
      </c>
      <c r="Q3697" t="s">
        <v>7741</v>
      </c>
    </row>
    <row r="3698" spans="1:17" x14ac:dyDescent="0.3">
      <c r="A3698" t="s">
        <v>4729</v>
      </c>
      <c r="B3698" t="str">
        <f>"002995"</f>
        <v>002995</v>
      </c>
      <c r="C3698" t="s">
        <v>7742</v>
      </c>
      <c r="D3698" t="s">
        <v>207</v>
      </c>
      <c r="F3698">
        <v>4060841650</v>
      </c>
      <c r="G3698">
        <v>3270120932</v>
      </c>
      <c r="H3698">
        <v>2392881270</v>
      </c>
      <c r="I3698">
        <v>2344726949</v>
      </c>
      <c r="J3698">
        <v>1529152544</v>
      </c>
      <c r="P3698">
        <v>74</v>
      </c>
      <c r="Q3698" t="s">
        <v>7743</v>
      </c>
    </row>
    <row r="3699" spans="1:17" x14ac:dyDescent="0.3">
      <c r="A3699" t="s">
        <v>4729</v>
      </c>
      <c r="B3699" t="str">
        <f>"002996"</f>
        <v>002996</v>
      </c>
      <c r="C3699" t="s">
        <v>7744</v>
      </c>
      <c r="D3699" t="s">
        <v>504</v>
      </c>
      <c r="F3699">
        <v>9984756149</v>
      </c>
      <c r="G3699">
        <v>4868892433</v>
      </c>
      <c r="H3699">
        <v>4353332678</v>
      </c>
      <c r="I3699">
        <v>4249276336</v>
      </c>
      <c r="J3699">
        <v>3930536176</v>
      </c>
      <c r="P3699">
        <v>73</v>
      </c>
      <c r="Q3699" t="s">
        <v>7745</v>
      </c>
    </row>
    <row r="3700" spans="1:17" x14ac:dyDescent="0.3">
      <c r="A3700" t="s">
        <v>4729</v>
      </c>
      <c r="B3700" t="str">
        <f>"002997"</f>
        <v>002997</v>
      </c>
      <c r="C3700" t="s">
        <v>7746</v>
      </c>
      <c r="D3700" t="s">
        <v>985</v>
      </c>
      <c r="F3700">
        <v>1044710895</v>
      </c>
      <c r="G3700">
        <v>949866219</v>
      </c>
      <c r="H3700">
        <v>1053092373</v>
      </c>
      <c r="I3700">
        <v>871099035</v>
      </c>
      <c r="J3700">
        <v>659310293</v>
      </c>
      <c r="P3700">
        <v>85</v>
      </c>
      <c r="Q3700" t="s">
        <v>7747</v>
      </c>
    </row>
    <row r="3701" spans="1:17" x14ac:dyDescent="0.3">
      <c r="A3701" t="s">
        <v>4729</v>
      </c>
      <c r="B3701" t="str">
        <f>"002998"</f>
        <v>002998</v>
      </c>
      <c r="C3701" t="s">
        <v>7748</v>
      </c>
      <c r="D3701" t="s">
        <v>2731</v>
      </c>
      <c r="F3701">
        <v>1620373311</v>
      </c>
      <c r="G3701">
        <v>1363603446</v>
      </c>
      <c r="H3701">
        <v>1738137426</v>
      </c>
      <c r="I3701">
        <v>1081936371</v>
      </c>
      <c r="J3701">
        <v>901929165</v>
      </c>
      <c r="K3701">
        <v>732300728</v>
      </c>
      <c r="P3701">
        <v>36</v>
      </c>
      <c r="Q3701" t="s">
        <v>7749</v>
      </c>
    </row>
    <row r="3702" spans="1:17" x14ac:dyDescent="0.3">
      <c r="A3702" t="s">
        <v>4729</v>
      </c>
      <c r="B3702" t="str">
        <f>"002999"</f>
        <v>002999</v>
      </c>
      <c r="C3702" t="s">
        <v>7750</v>
      </c>
      <c r="D3702" t="s">
        <v>5562</v>
      </c>
      <c r="F3702">
        <v>13000274393</v>
      </c>
      <c r="G3702">
        <v>10036871240</v>
      </c>
      <c r="H3702">
        <v>9012337285</v>
      </c>
      <c r="I3702">
        <v>7191008294</v>
      </c>
      <c r="J3702">
        <v>5881925004</v>
      </c>
      <c r="P3702">
        <v>45</v>
      </c>
      <c r="Q3702" t="s">
        <v>7751</v>
      </c>
    </row>
    <row r="3703" spans="1:17" x14ac:dyDescent="0.3">
      <c r="A3703" t="s">
        <v>4729</v>
      </c>
      <c r="B3703" t="str">
        <f>"003000"</f>
        <v>003000</v>
      </c>
      <c r="C3703" t="s">
        <v>7752</v>
      </c>
      <c r="D3703" t="s">
        <v>3194</v>
      </c>
      <c r="F3703">
        <v>1111046928</v>
      </c>
      <c r="G3703">
        <v>909118463</v>
      </c>
      <c r="H3703">
        <v>894828514</v>
      </c>
      <c r="I3703">
        <v>804910933</v>
      </c>
      <c r="J3703">
        <v>766676680</v>
      </c>
      <c r="P3703">
        <v>84</v>
      </c>
      <c r="Q3703" t="s">
        <v>7753</v>
      </c>
    </row>
    <row r="3704" spans="1:17" x14ac:dyDescent="0.3">
      <c r="A3704" t="s">
        <v>4729</v>
      </c>
      <c r="B3704" t="str">
        <f>"003001"</f>
        <v>003001</v>
      </c>
      <c r="C3704" t="s">
        <v>7754</v>
      </c>
      <c r="D3704" t="s">
        <v>1992</v>
      </c>
      <c r="F3704">
        <v>1377358702</v>
      </c>
      <c r="G3704">
        <v>1129216378</v>
      </c>
      <c r="H3704">
        <v>1023649164</v>
      </c>
      <c r="I3704">
        <v>758685314</v>
      </c>
      <c r="J3704">
        <v>391629203</v>
      </c>
      <c r="K3704">
        <v>244254208</v>
      </c>
      <c r="P3704">
        <v>95</v>
      </c>
      <c r="Q3704" t="s">
        <v>7755</v>
      </c>
    </row>
    <row r="3705" spans="1:17" x14ac:dyDescent="0.3">
      <c r="A3705" t="s">
        <v>4729</v>
      </c>
      <c r="B3705" t="str">
        <f>"003002"</f>
        <v>003002</v>
      </c>
      <c r="C3705" t="s">
        <v>7756</v>
      </c>
      <c r="D3705" t="s">
        <v>2736</v>
      </c>
      <c r="F3705">
        <v>737799767</v>
      </c>
      <c r="G3705">
        <v>556401247</v>
      </c>
      <c r="H3705">
        <v>500187592</v>
      </c>
      <c r="I3705">
        <v>457357245</v>
      </c>
      <c r="J3705">
        <v>436004659</v>
      </c>
      <c r="K3705">
        <v>355034432</v>
      </c>
      <c r="P3705">
        <v>39</v>
      </c>
      <c r="Q3705" t="s">
        <v>7757</v>
      </c>
    </row>
    <row r="3706" spans="1:17" x14ac:dyDescent="0.3">
      <c r="A3706" t="s">
        <v>4729</v>
      </c>
      <c r="B3706" t="str">
        <f>"003003"</f>
        <v>003003</v>
      </c>
      <c r="C3706" t="s">
        <v>7758</v>
      </c>
      <c r="D3706" t="s">
        <v>2448</v>
      </c>
      <c r="F3706">
        <v>1288836110</v>
      </c>
      <c r="G3706">
        <v>1015338703</v>
      </c>
      <c r="H3706">
        <v>1003916235</v>
      </c>
      <c r="I3706">
        <v>1012306313</v>
      </c>
      <c r="J3706">
        <v>842462498</v>
      </c>
      <c r="K3706">
        <v>671001390</v>
      </c>
      <c r="P3706">
        <v>39</v>
      </c>
      <c r="Q3706" t="s">
        <v>7759</v>
      </c>
    </row>
    <row r="3707" spans="1:17" x14ac:dyDescent="0.3">
      <c r="A3707" t="s">
        <v>4729</v>
      </c>
      <c r="B3707" t="str">
        <f>"003004"</f>
        <v>003004</v>
      </c>
      <c r="C3707" t="s">
        <v>7760</v>
      </c>
      <c r="D3707" t="s">
        <v>2980</v>
      </c>
      <c r="F3707">
        <v>308349646</v>
      </c>
      <c r="G3707">
        <v>307987857</v>
      </c>
      <c r="H3707">
        <v>364644585</v>
      </c>
      <c r="I3707">
        <v>317456623</v>
      </c>
      <c r="J3707">
        <v>376386651</v>
      </c>
      <c r="K3707">
        <v>192676657</v>
      </c>
      <c r="P3707">
        <v>37</v>
      </c>
      <c r="Q3707" t="s">
        <v>7761</v>
      </c>
    </row>
    <row r="3708" spans="1:17" x14ac:dyDescent="0.3">
      <c r="A3708" t="s">
        <v>4729</v>
      </c>
      <c r="B3708" t="str">
        <f>"003005"</f>
        <v>003005</v>
      </c>
      <c r="C3708" t="s">
        <v>7762</v>
      </c>
      <c r="D3708" t="s">
        <v>316</v>
      </c>
      <c r="F3708">
        <v>657395657</v>
      </c>
      <c r="G3708">
        <v>600682253</v>
      </c>
      <c r="H3708">
        <v>676958771</v>
      </c>
      <c r="I3708">
        <v>515731222</v>
      </c>
      <c r="J3708">
        <v>424938797</v>
      </c>
      <c r="K3708">
        <v>326332290</v>
      </c>
      <c r="P3708">
        <v>68</v>
      </c>
      <c r="Q3708" t="s">
        <v>7763</v>
      </c>
    </row>
    <row r="3709" spans="1:17" x14ac:dyDescent="0.3">
      <c r="A3709" t="s">
        <v>4729</v>
      </c>
      <c r="B3709" t="str">
        <f>"003006"</f>
        <v>003006</v>
      </c>
      <c r="C3709" t="s">
        <v>7764</v>
      </c>
      <c r="D3709" t="s">
        <v>2751</v>
      </c>
      <c r="F3709">
        <v>1463057557</v>
      </c>
      <c r="G3709">
        <v>1250751478</v>
      </c>
      <c r="H3709">
        <v>1149414600</v>
      </c>
      <c r="I3709">
        <v>961162744</v>
      </c>
      <c r="J3709">
        <v>810205696</v>
      </c>
      <c r="K3709">
        <v>738799400</v>
      </c>
      <c r="P3709">
        <v>174</v>
      </c>
      <c r="Q3709" t="s">
        <v>7765</v>
      </c>
    </row>
    <row r="3710" spans="1:17" x14ac:dyDescent="0.3">
      <c r="A3710" t="s">
        <v>4729</v>
      </c>
      <c r="B3710" t="str">
        <f>"003007"</f>
        <v>003007</v>
      </c>
      <c r="C3710" t="s">
        <v>7766</v>
      </c>
      <c r="D3710" t="s">
        <v>945</v>
      </c>
      <c r="F3710">
        <v>334359784</v>
      </c>
      <c r="G3710">
        <v>443560210</v>
      </c>
      <c r="H3710">
        <v>408981940</v>
      </c>
      <c r="I3710">
        <v>366348460</v>
      </c>
      <c r="J3710">
        <v>376464103</v>
      </c>
      <c r="K3710">
        <v>219890007</v>
      </c>
      <c r="P3710">
        <v>38</v>
      </c>
      <c r="Q3710" t="s">
        <v>7767</v>
      </c>
    </row>
    <row r="3711" spans="1:17" x14ac:dyDescent="0.3">
      <c r="A3711" t="s">
        <v>4729</v>
      </c>
      <c r="B3711" t="str">
        <f>"003008"</f>
        <v>003008</v>
      </c>
      <c r="C3711" t="s">
        <v>7768</v>
      </c>
      <c r="D3711" t="s">
        <v>2510</v>
      </c>
      <c r="F3711">
        <v>143895356</v>
      </c>
      <c r="G3711">
        <v>165487176</v>
      </c>
      <c r="H3711">
        <v>202843905</v>
      </c>
      <c r="I3711">
        <v>189642372</v>
      </c>
      <c r="J3711">
        <v>164994812</v>
      </c>
      <c r="K3711">
        <v>133112710</v>
      </c>
      <c r="P3711">
        <v>68</v>
      </c>
      <c r="Q3711" t="s">
        <v>7769</v>
      </c>
    </row>
    <row r="3712" spans="1:17" x14ac:dyDescent="0.3">
      <c r="A3712" t="s">
        <v>4729</v>
      </c>
      <c r="B3712" t="str">
        <f>"003009"</f>
        <v>003009</v>
      </c>
      <c r="C3712" t="s">
        <v>7770</v>
      </c>
      <c r="D3712" t="s">
        <v>284</v>
      </c>
      <c r="F3712">
        <v>1015068121</v>
      </c>
      <c r="G3712">
        <v>863274522</v>
      </c>
      <c r="H3712">
        <v>796584629</v>
      </c>
      <c r="I3712">
        <v>668103793</v>
      </c>
      <c r="J3712">
        <v>531711503</v>
      </c>
      <c r="K3712">
        <v>387809401</v>
      </c>
      <c r="P3712">
        <v>105</v>
      </c>
      <c r="Q3712" t="s">
        <v>7771</v>
      </c>
    </row>
    <row r="3713" spans="1:17" x14ac:dyDescent="0.3">
      <c r="A3713" t="s">
        <v>4729</v>
      </c>
      <c r="B3713" t="str">
        <f>"003010"</f>
        <v>003010</v>
      </c>
      <c r="C3713" t="s">
        <v>7772</v>
      </c>
      <c r="D3713" t="s">
        <v>3617</v>
      </c>
      <c r="F3713">
        <v>1288453356</v>
      </c>
      <c r="G3713">
        <v>1135791270</v>
      </c>
      <c r="H3713">
        <v>958866975</v>
      </c>
      <c r="I3713">
        <v>930983845</v>
      </c>
      <c r="J3713">
        <v>670926368</v>
      </c>
      <c r="K3713">
        <v>372549400</v>
      </c>
      <c r="P3713">
        <v>58</v>
      </c>
      <c r="Q3713" t="s">
        <v>7773</v>
      </c>
    </row>
    <row r="3714" spans="1:17" x14ac:dyDescent="0.3">
      <c r="A3714" t="s">
        <v>4729</v>
      </c>
      <c r="B3714" t="str">
        <f>"003011"</f>
        <v>003011</v>
      </c>
      <c r="C3714" t="s">
        <v>7774</v>
      </c>
      <c r="D3714" t="s">
        <v>178</v>
      </c>
      <c r="F3714">
        <v>1797567794</v>
      </c>
      <c r="G3714">
        <v>1223943244</v>
      </c>
      <c r="H3714">
        <v>858773055</v>
      </c>
      <c r="I3714">
        <v>783768511</v>
      </c>
      <c r="J3714">
        <v>389123713</v>
      </c>
      <c r="K3714">
        <v>208180886</v>
      </c>
      <c r="P3714">
        <v>89</v>
      </c>
      <c r="Q3714" t="s">
        <v>7775</v>
      </c>
    </row>
    <row r="3715" spans="1:17" x14ac:dyDescent="0.3">
      <c r="A3715" t="s">
        <v>4729</v>
      </c>
      <c r="B3715" t="str">
        <f>"003012"</f>
        <v>003012</v>
      </c>
      <c r="C3715" t="s">
        <v>7776</v>
      </c>
      <c r="D3715" t="s">
        <v>178</v>
      </c>
      <c r="F3715">
        <v>7978663418</v>
      </c>
      <c r="G3715">
        <v>7158313369</v>
      </c>
      <c r="H3715">
        <v>6751861182</v>
      </c>
      <c r="I3715">
        <v>6619346727</v>
      </c>
      <c r="J3715">
        <v>6632095401</v>
      </c>
      <c r="K3715">
        <v>5225597325</v>
      </c>
      <c r="P3715">
        <v>120</v>
      </c>
      <c r="Q3715" t="s">
        <v>7777</v>
      </c>
    </row>
    <row r="3716" spans="1:17" x14ac:dyDescent="0.3">
      <c r="A3716" t="s">
        <v>4729</v>
      </c>
      <c r="B3716" t="str">
        <f>"003013"</f>
        <v>003013</v>
      </c>
      <c r="C3716" t="s">
        <v>7778</v>
      </c>
      <c r="D3716" t="s">
        <v>1272</v>
      </c>
      <c r="F3716">
        <v>2380603959</v>
      </c>
      <c r="G3716">
        <v>1870308500</v>
      </c>
      <c r="H3716">
        <v>1644471945</v>
      </c>
      <c r="I3716">
        <v>1476962868</v>
      </c>
      <c r="J3716">
        <v>1250136015</v>
      </c>
      <c r="K3716">
        <v>1110013375</v>
      </c>
      <c r="P3716">
        <v>101</v>
      </c>
      <c r="Q3716" t="s">
        <v>7779</v>
      </c>
    </row>
    <row r="3717" spans="1:17" x14ac:dyDescent="0.3">
      <c r="A3717" t="s">
        <v>4729</v>
      </c>
      <c r="B3717" t="str">
        <f>"003015"</f>
        <v>003015</v>
      </c>
      <c r="C3717" t="s">
        <v>7780</v>
      </c>
      <c r="D3717" t="s">
        <v>164</v>
      </c>
      <c r="F3717">
        <v>488343587</v>
      </c>
      <c r="G3717">
        <v>517327194</v>
      </c>
      <c r="H3717">
        <v>551252047</v>
      </c>
      <c r="I3717">
        <v>465582522</v>
      </c>
      <c r="J3717">
        <v>324726923</v>
      </c>
      <c r="K3717">
        <v>278572739</v>
      </c>
      <c r="P3717">
        <v>46</v>
      </c>
      <c r="Q3717" t="s">
        <v>7781</v>
      </c>
    </row>
    <row r="3718" spans="1:17" x14ac:dyDescent="0.3">
      <c r="A3718" t="s">
        <v>4729</v>
      </c>
      <c r="B3718" t="str">
        <f>"003016"</f>
        <v>003016</v>
      </c>
      <c r="C3718" t="s">
        <v>7782</v>
      </c>
      <c r="D3718" t="s">
        <v>255</v>
      </c>
      <c r="F3718">
        <v>2101809086</v>
      </c>
      <c r="G3718">
        <v>1833077163</v>
      </c>
      <c r="H3718">
        <v>1965209791</v>
      </c>
      <c r="I3718">
        <v>1760100178</v>
      </c>
      <c r="J3718">
        <v>1633975587</v>
      </c>
      <c r="K3718">
        <v>1498029462</v>
      </c>
      <c r="P3718">
        <v>58</v>
      </c>
      <c r="Q3718" t="s">
        <v>7783</v>
      </c>
    </row>
    <row r="3719" spans="1:17" x14ac:dyDescent="0.3">
      <c r="A3719" t="s">
        <v>4729</v>
      </c>
      <c r="B3719" t="str">
        <f>"003017"</f>
        <v>003017</v>
      </c>
      <c r="C3719" t="s">
        <v>7784</v>
      </c>
      <c r="D3719" t="s">
        <v>736</v>
      </c>
      <c r="F3719">
        <v>783209278</v>
      </c>
      <c r="G3719">
        <v>678335141</v>
      </c>
      <c r="H3719">
        <v>621750703</v>
      </c>
      <c r="I3719">
        <v>584159119</v>
      </c>
      <c r="J3719">
        <v>554719478</v>
      </c>
      <c r="K3719">
        <v>441234460</v>
      </c>
      <c r="P3719">
        <v>39</v>
      </c>
      <c r="Q3719" t="s">
        <v>7785</v>
      </c>
    </row>
    <row r="3720" spans="1:17" x14ac:dyDescent="0.3">
      <c r="A3720" t="s">
        <v>4729</v>
      </c>
      <c r="B3720" t="str">
        <f>"003018"</f>
        <v>003018</v>
      </c>
      <c r="C3720" t="s">
        <v>7786</v>
      </c>
      <c r="D3720" t="s">
        <v>485</v>
      </c>
      <c r="F3720">
        <v>659388290</v>
      </c>
      <c r="G3720">
        <v>514361904</v>
      </c>
      <c r="H3720">
        <v>598163664</v>
      </c>
      <c r="I3720">
        <v>568397311</v>
      </c>
      <c r="J3720">
        <v>497947183</v>
      </c>
      <c r="K3720">
        <v>456189662</v>
      </c>
      <c r="P3720">
        <v>38</v>
      </c>
      <c r="Q3720" t="s">
        <v>7787</v>
      </c>
    </row>
    <row r="3721" spans="1:17" x14ac:dyDescent="0.3">
      <c r="A3721" t="s">
        <v>4729</v>
      </c>
      <c r="B3721" t="str">
        <f>"003019"</f>
        <v>003019</v>
      </c>
      <c r="C3721" t="s">
        <v>7788</v>
      </c>
      <c r="D3721" t="s">
        <v>1117</v>
      </c>
      <c r="F3721">
        <v>1592319938</v>
      </c>
      <c r="G3721">
        <v>1193656060</v>
      </c>
      <c r="H3721">
        <v>1322026162</v>
      </c>
      <c r="I3721">
        <v>1278804149</v>
      </c>
      <c r="J3721">
        <v>1124548818</v>
      </c>
      <c r="K3721">
        <v>1223315337</v>
      </c>
      <c r="P3721">
        <v>62</v>
      </c>
      <c r="Q3721" t="s">
        <v>7789</v>
      </c>
    </row>
    <row r="3722" spans="1:17" x14ac:dyDescent="0.3">
      <c r="A3722" t="s">
        <v>4729</v>
      </c>
      <c r="B3722" t="str">
        <f>"003020"</f>
        <v>003020</v>
      </c>
      <c r="C3722" t="s">
        <v>7790</v>
      </c>
      <c r="D3722" t="s">
        <v>143</v>
      </c>
      <c r="F3722">
        <v>2273254477</v>
      </c>
      <c r="G3722">
        <v>1894291431</v>
      </c>
      <c r="H3722">
        <v>1650031852</v>
      </c>
      <c r="I3722">
        <v>1424581031</v>
      </c>
      <c r="J3722">
        <v>1166572175</v>
      </c>
      <c r="K3722">
        <v>1028167916</v>
      </c>
      <c r="P3722">
        <v>78</v>
      </c>
      <c r="Q3722" t="s">
        <v>7791</v>
      </c>
    </row>
    <row r="3723" spans="1:17" x14ac:dyDescent="0.3">
      <c r="A3723" t="s">
        <v>4729</v>
      </c>
      <c r="B3723" t="str">
        <f>"003021"</f>
        <v>003021</v>
      </c>
      <c r="C3723" t="s">
        <v>7792</v>
      </c>
      <c r="D3723" t="s">
        <v>1171</v>
      </c>
      <c r="F3723">
        <v>1139999360</v>
      </c>
      <c r="G3723">
        <v>1195088657</v>
      </c>
      <c r="H3723">
        <v>1782836182</v>
      </c>
      <c r="I3723">
        <v>756938352</v>
      </c>
      <c r="J3723">
        <v>548944389</v>
      </c>
      <c r="K3723">
        <v>406386650</v>
      </c>
      <c r="P3723">
        <v>80</v>
      </c>
      <c r="Q3723" t="s">
        <v>7793</v>
      </c>
    </row>
    <row r="3724" spans="1:17" x14ac:dyDescent="0.3">
      <c r="A3724" t="s">
        <v>4729</v>
      </c>
      <c r="B3724" t="str">
        <f>"003022"</f>
        <v>003022</v>
      </c>
      <c r="C3724" t="s">
        <v>7794</v>
      </c>
      <c r="D3724" t="s">
        <v>478</v>
      </c>
      <c r="F3724">
        <v>7580762838</v>
      </c>
      <c r="G3724">
        <v>5931360209</v>
      </c>
      <c r="H3724">
        <v>5674492427</v>
      </c>
      <c r="I3724">
        <v>5794746406</v>
      </c>
      <c r="J3724">
        <v>4659054786</v>
      </c>
      <c r="K3724">
        <v>4016979544</v>
      </c>
      <c r="P3724">
        <v>205</v>
      </c>
      <c r="Q3724" t="s">
        <v>7795</v>
      </c>
    </row>
    <row r="3725" spans="1:17" x14ac:dyDescent="0.3">
      <c r="A3725" t="s">
        <v>4729</v>
      </c>
      <c r="B3725" t="str">
        <f>"003023"</f>
        <v>003023</v>
      </c>
      <c r="C3725" t="s">
        <v>7796</v>
      </c>
      <c r="D3725" t="s">
        <v>5799</v>
      </c>
      <c r="F3725">
        <v>1144149049</v>
      </c>
      <c r="G3725">
        <v>1064613525</v>
      </c>
      <c r="H3725">
        <v>1005534171</v>
      </c>
      <c r="I3725">
        <v>1070904078</v>
      </c>
      <c r="J3725">
        <v>836689935</v>
      </c>
      <c r="K3725">
        <v>819769726</v>
      </c>
      <c r="P3725">
        <v>49</v>
      </c>
      <c r="Q3725" t="s">
        <v>7797</v>
      </c>
    </row>
    <row r="3726" spans="1:17" x14ac:dyDescent="0.3">
      <c r="A3726" t="s">
        <v>4729</v>
      </c>
      <c r="B3726" t="str">
        <f>"003025"</f>
        <v>003025</v>
      </c>
      <c r="C3726" t="s">
        <v>7798</v>
      </c>
      <c r="D3726" t="s">
        <v>2321</v>
      </c>
      <c r="F3726">
        <v>477643254</v>
      </c>
      <c r="G3726">
        <v>388062815</v>
      </c>
      <c r="H3726">
        <v>326326513</v>
      </c>
      <c r="I3726">
        <v>328687113</v>
      </c>
      <c r="J3726">
        <v>297285509</v>
      </c>
      <c r="K3726">
        <v>210051641</v>
      </c>
      <c r="P3726">
        <v>118</v>
      </c>
      <c r="Q3726" t="s">
        <v>7799</v>
      </c>
    </row>
    <row r="3727" spans="1:17" x14ac:dyDescent="0.3">
      <c r="A3727" t="s">
        <v>4729</v>
      </c>
      <c r="B3727" t="str">
        <f>"003026"</f>
        <v>003026</v>
      </c>
      <c r="C3727" t="s">
        <v>7800</v>
      </c>
      <c r="D3727" t="s">
        <v>475</v>
      </c>
      <c r="F3727">
        <v>436963055</v>
      </c>
      <c r="G3727">
        <v>272877624</v>
      </c>
      <c r="H3727">
        <v>223533898</v>
      </c>
      <c r="I3727">
        <v>253512234</v>
      </c>
      <c r="J3727">
        <v>236927169</v>
      </c>
      <c r="K3727">
        <v>159649579</v>
      </c>
      <c r="P3727">
        <v>106</v>
      </c>
      <c r="Q3727" t="s">
        <v>7801</v>
      </c>
    </row>
    <row r="3728" spans="1:17" x14ac:dyDescent="0.3">
      <c r="A3728" t="s">
        <v>4729</v>
      </c>
      <c r="B3728" t="str">
        <f>"003027"</f>
        <v>003027</v>
      </c>
      <c r="C3728" t="s">
        <v>7802</v>
      </c>
      <c r="D3728" t="s">
        <v>663</v>
      </c>
      <c r="F3728">
        <v>933358396</v>
      </c>
      <c r="G3728">
        <v>767544119</v>
      </c>
      <c r="H3728">
        <v>759157288</v>
      </c>
      <c r="I3728">
        <v>720883352</v>
      </c>
      <c r="J3728">
        <v>369332650</v>
      </c>
      <c r="K3728">
        <v>128157842</v>
      </c>
      <c r="P3728">
        <v>58</v>
      </c>
      <c r="Q3728" t="s">
        <v>7803</v>
      </c>
    </row>
    <row r="3729" spans="1:17" x14ac:dyDescent="0.3">
      <c r="A3729" t="s">
        <v>4729</v>
      </c>
      <c r="B3729" t="str">
        <f>"003028"</f>
        <v>003028</v>
      </c>
      <c r="C3729" t="s">
        <v>7804</v>
      </c>
      <c r="D3729" t="s">
        <v>313</v>
      </c>
      <c r="F3729">
        <v>1317232528</v>
      </c>
      <c r="G3729">
        <v>994186705</v>
      </c>
      <c r="H3729">
        <v>696521329</v>
      </c>
      <c r="I3729">
        <v>567555062</v>
      </c>
      <c r="J3729">
        <v>475764321</v>
      </c>
      <c r="P3729">
        <v>85</v>
      </c>
      <c r="Q3729" t="s">
        <v>7805</v>
      </c>
    </row>
    <row r="3730" spans="1:17" x14ac:dyDescent="0.3">
      <c r="A3730" t="s">
        <v>4729</v>
      </c>
      <c r="B3730" t="str">
        <f>"003029"</f>
        <v>003029</v>
      </c>
      <c r="C3730" t="s">
        <v>7806</v>
      </c>
      <c r="D3730" t="s">
        <v>945</v>
      </c>
      <c r="F3730">
        <v>816175824</v>
      </c>
      <c r="G3730">
        <v>610376415</v>
      </c>
      <c r="H3730">
        <v>600168914</v>
      </c>
      <c r="I3730">
        <v>400155081</v>
      </c>
      <c r="J3730">
        <v>419083481</v>
      </c>
      <c r="K3730">
        <v>344980627</v>
      </c>
      <c r="P3730">
        <v>75</v>
      </c>
      <c r="Q3730" t="s">
        <v>7807</v>
      </c>
    </row>
    <row r="3731" spans="1:17" x14ac:dyDescent="0.3">
      <c r="A3731" t="s">
        <v>4729</v>
      </c>
      <c r="B3731" t="str">
        <f>"003030"</f>
        <v>003030</v>
      </c>
      <c r="C3731" t="s">
        <v>7808</v>
      </c>
      <c r="D3731" t="s">
        <v>445</v>
      </c>
      <c r="F3731">
        <v>1337203546</v>
      </c>
      <c r="G3731">
        <v>1225173706</v>
      </c>
      <c r="H3731">
        <v>1047737340</v>
      </c>
      <c r="I3731">
        <v>939159562</v>
      </c>
      <c r="J3731">
        <v>862774580</v>
      </c>
      <c r="P3731">
        <v>60</v>
      </c>
      <c r="Q3731" t="s">
        <v>7809</v>
      </c>
    </row>
    <row r="3732" spans="1:17" x14ac:dyDescent="0.3">
      <c r="A3732" t="s">
        <v>4729</v>
      </c>
      <c r="B3732" t="str">
        <f>"003031"</f>
        <v>003031</v>
      </c>
      <c r="C3732" t="s">
        <v>7810</v>
      </c>
      <c r="D3732" t="s">
        <v>786</v>
      </c>
      <c r="F3732">
        <v>1013757238</v>
      </c>
      <c r="G3732">
        <v>816162728</v>
      </c>
      <c r="H3732">
        <v>590417855</v>
      </c>
      <c r="I3732">
        <v>407028028</v>
      </c>
      <c r="J3732">
        <v>343237306</v>
      </c>
      <c r="K3732">
        <v>231295581</v>
      </c>
      <c r="P3732">
        <v>87</v>
      </c>
      <c r="Q3732" t="s">
        <v>7811</v>
      </c>
    </row>
    <row r="3733" spans="1:17" x14ac:dyDescent="0.3">
      <c r="A3733" t="s">
        <v>4729</v>
      </c>
      <c r="B3733" t="str">
        <f>"003032"</f>
        <v>003032</v>
      </c>
      <c r="C3733" t="s">
        <v>7812</v>
      </c>
      <c r="D3733" t="s">
        <v>1336</v>
      </c>
      <c r="F3733">
        <v>663851831</v>
      </c>
      <c r="G3733">
        <v>639619907</v>
      </c>
      <c r="H3733">
        <v>923667393</v>
      </c>
      <c r="I3733">
        <v>791445963</v>
      </c>
      <c r="J3733">
        <v>698970629</v>
      </c>
      <c r="P3733">
        <v>59</v>
      </c>
      <c r="Q3733" t="s">
        <v>7813</v>
      </c>
    </row>
    <row r="3734" spans="1:17" x14ac:dyDescent="0.3">
      <c r="A3734" t="s">
        <v>4729</v>
      </c>
      <c r="B3734" t="str">
        <f>"003033"</f>
        <v>003033</v>
      </c>
      <c r="C3734" t="s">
        <v>7814</v>
      </c>
      <c r="D3734" t="s">
        <v>1656</v>
      </c>
      <c r="F3734">
        <v>1362366523</v>
      </c>
      <c r="G3734">
        <v>977454463</v>
      </c>
      <c r="H3734">
        <v>806127867</v>
      </c>
      <c r="I3734">
        <v>735278795</v>
      </c>
      <c r="J3734">
        <v>667352416</v>
      </c>
      <c r="P3734">
        <v>67</v>
      </c>
      <c r="Q3734" t="s">
        <v>7815</v>
      </c>
    </row>
    <row r="3735" spans="1:17" x14ac:dyDescent="0.3">
      <c r="A3735" t="s">
        <v>4729</v>
      </c>
      <c r="B3735" t="str">
        <f>"003035"</f>
        <v>003035</v>
      </c>
      <c r="C3735" t="s">
        <v>7816</v>
      </c>
      <c r="D3735" t="s">
        <v>239</v>
      </c>
      <c r="F3735">
        <v>2600103152</v>
      </c>
      <c r="G3735">
        <v>2008852700</v>
      </c>
      <c r="H3735">
        <v>1508400090</v>
      </c>
      <c r="I3735">
        <v>1219073864</v>
      </c>
      <c r="J3735">
        <v>936222641</v>
      </c>
      <c r="P3735">
        <v>278</v>
      </c>
      <c r="Q3735" t="s">
        <v>7817</v>
      </c>
    </row>
    <row r="3736" spans="1:17" x14ac:dyDescent="0.3">
      <c r="A3736" t="s">
        <v>4729</v>
      </c>
      <c r="B3736" t="str">
        <f>"003036"</f>
        <v>003036</v>
      </c>
      <c r="C3736" t="s">
        <v>7818</v>
      </c>
      <c r="D3736" t="s">
        <v>534</v>
      </c>
      <c r="F3736">
        <v>1243292141</v>
      </c>
      <c r="G3736">
        <v>667778395</v>
      </c>
      <c r="H3736">
        <v>583049595</v>
      </c>
      <c r="I3736">
        <v>732155035</v>
      </c>
      <c r="J3736">
        <v>670427635</v>
      </c>
      <c r="P3736">
        <v>37</v>
      </c>
      <c r="Q3736" t="s">
        <v>7819</v>
      </c>
    </row>
    <row r="3737" spans="1:17" x14ac:dyDescent="0.3">
      <c r="A3737" t="s">
        <v>4729</v>
      </c>
      <c r="B3737" t="str">
        <f>"003037"</f>
        <v>003037</v>
      </c>
      <c r="C3737" t="s">
        <v>7820</v>
      </c>
      <c r="D3737" t="s">
        <v>3347</v>
      </c>
      <c r="F3737">
        <v>8169524530</v>
      </c>
      <c r="G3737">
        <v>7151520840</v>
      </c>
      <c r="H3737">
        <v>6089281798</v>
      </c>
      <c r="I3737">
        <v>5695359735</v>
      </c>
      <c r="J3737">
        <v>4366186668</v>
      </c>
      <c r="K3737">
        <v>3050666248</v>
      </c>
      <c r="P3737">
        <v>40</v>
      </c>
      <c r="Q3737" t="s">
        <v>7821</v>
      </c>
    </row>
    <row r="3738" spans="1:17" x14ac:dyDescent="0.3">
      <c r="A3738" t="s">
        <v>4729</v>
      </c>
      <c r="B3738" t="str">
        <f>"003038"</f>
        <v>003038</v>
      </c>
      <c r="C3738" t="s">
        <v>7822</v>
      </c>
      <c r="D3738" t="s">
        <v>504</v>
      </c>
      <c r="F3738">
        <v>2596549113</v>
      </c>
      <c r="G3738">
        <v>1287229350</v>
      </c>
      <c r="H3738">
        <v>924007022</v>
      </c>
      <c r="I3738">
        <v>704954577</v>
      </c>
      <c r="J3738">
        <v>583201218</v>
      </c>
      <c r="P3738">
        <v>74</v>
      </c>
      <c r="Q3738" t="s">
        <v>7823</v>
      </c>
    </row>
    <row r="3739" spans="1:17" x14ac:dyDescent="0.3">
      <c r="A3739" t="s">
        <v>4729</v>
      </c>
      <c r="B3739" t="str">
        <f>"003039"</f>
        <v>003039</v>
      </c>
      <c r="C3739" t="s">
        <v>7824</v>
      </c>
      <c r="D3739" t="s">
        <v>33</v>
      </c>
      <c r="F3739">
        <v>1338118782</v>
      </c>
      <c r="G3739">
        <v>1234195158</v>
      </c>
      <c r="H3739">
        <v>1186126266</v>
      </c>
      <c r="I3739">
        <v>846571091</v>
      </c>
      <c r="J3739">
        <v>701783387</v>
      </c>
      <c r="P3739">
        <v>64</v>
      </c>
      <c r="Q3739" t="s">
        <v>7825</v>
      </c>
    </row>
    <row r="3740" spans="1:17" x14ac:dyDescent="0.3">
      <c r="A3740" t="s">
        <v>4729</v>
      </c>
      <c r="B3740" t="str">
        <f>"003040"</f>
        <v>003040</v>
      </c>
      <c r="C3740" t="s">
        <v>7826</v>
      </c>
      <c r="D3740" t="s">
        <v>786</v>
      </c>
      <c r="F3740">
        <v>1308784881</v>
      </c>
      <c r="G3740">
        <v>1025155858</v>
      </c>
      <c r="H3740">
        <v>1182099672</v>
      </c>
      <c r="I3740">
        <v>1010933167</v>
      </c>
      <c r="J3740">
        <v>936800605</v>
      </c>
      <c r="P3740">
        <v>61</v>
      </c>
      <c r="Q3740" t="s">
        <v>7827</v>
      </c>
    </row>
    <row r="3741" spans="1:17" x14ac:dyDescent="0.3">
      <c r="A3741" t="s">
        <v>4729</v>
      </c>
      <c r="B3741" t="str">
        <f>"003041"</f>
        <v>003041</v>
      </c>
      <c r="C3741" t="s">
        <v>7828</v>
      </c>
      <c r="D3741" t="s">
        <v>2889</v>
      </c>
      <c r="F3741">
        <v>933037517</v>
      </c>
      <c r="G3741">
        <v>891421598</v>
      </c>
      <c r="H3741">
        <v>1001764593</v>
      </c>
      <c r="I3741">
        <v>1024421278</v>
      </c>
      <c r="J3741">
        <v>916506668</v>
      </c>
      <c r="P3741">
        <v>30</v>
      </c>
      <c r="Q3741" t="s">
        <v>7829</v>
      </c>
    </row>
    <row r="3742" spans="1:17" x14ac:dyDescent="0.3">
      <c r="A3742" t="s">
        <v>4729</v>
      </c>
      <c r="B3742" t="str">
        <f>"003042"</f>
        <v>003042</v>
      </c>
      <c r="C3742" t="s">
        <v>7830</v>
      </c>
      <c r="D3742" t="s">
        <v>853</v>
      </c>
      <c r="F3742">
        <v>1625072614</v>
      </c>
      <c r="G3742">
        <v>1568185277</v>
      </c>
      <c r="H3742">
        <v>1366782416</v>
      </c>
      <c r="I3742">
        <v>1412800643</v>
      </c>
      <c r="J3742">
        <v>1121754355</v>
      </c>
      <c r="P3742">
        <v>29</v>
      </c>
      <c r="Q3742" t="s">
        <v>7831</v>
      </c>
    </row>
    <row r="3743" spans="1:17" x14ac:dyDescent="0.3">
      <c r="A3743" t="s">
        <v>4729</v>
      </c>
      <c r="B3743" t="str">
        <f>"003043"</f>
        <v>003043</v>
      </c>
      <c r="C3743" t="s">
        <v>7832</v>
      </c>
      <c r="D3743" t="s">
        <v>3187</v>
      </c>
      <c r="F3743">
        <v>530113341</v>
      </c>
      <c r="G3743">
        <v>368323341</v>
      </c>
      <c r="H3743">
        <v>310551063</v>
      </c>
      <c r="I3743">
        <v>306340253</v>
      </c>
      <c r="J3743">
        <v>294771006</v>
      </c>
      <c r="K3743">
        <v>234642289</v>
      </c>
      <c r="L3743">
        <v>242047694</v>
      </c>
      <c r="P3743">
        <v>46</v>
      </c>
      <c r="Q3743" t="s">
        <v>7833</v>
      </c>
    </row>
    <row r="3744" spans="1:17" x14ac:dyDescent="0.3">
      <c r="A3744" t="s">
        <v>4729</v>
      </c>
      <c r="B3744" t="str">
        <f>"003816"</f>
        <v>003816</v>
      </c>
      <c r="C3744" t="s">
        <v>7834</v>
      </c>
      <c r="D3744" t="s">
        <v>2381</v>
      </c>
      <c r="F3744">
        <v>80678744758</v>
      </c>
      <c r="G3744">
        <v>70584710557</v>
      </c>
      <c r="H3744">
        <v>60875176255</v>
      </c>
      <c r="I3744">
        <v>50827919184</v>
      </c>
      <c r="J3744">
        <v>45633453921</v>
      </c>
      <c r="K3744">
        <v>33026794633</v>
      </c>
      <c r="P3744">
        <v>523</v>
      </c>
      <c r="Q3744" t="s">
        <v>7835</v>
      </c>
    </row>
    <row r="3745" spans="1:17" x14ac:dyDescent="0.3">
      <c r="A3745" t="s">
        <v>4729</v>
      </c>
      <c r="B3745" t="str">
        <f>"200002"</f>
        <v>200002</v>
      </c>
      <c r="C3745" t="s">
        <v>7836</v>
      </c>
      <c r="K3745">
        <v>268420691853.832</v>
      </c>
      <c r="L3745">
        <v>233426996505.948</v>
      </c>
      <c r="M3745">
        <v>183043560824.849</v>
      </c>
      <c r="N3745">
        <v>173566264527.68399</v>
      </c>
      <c r="O3745">
        <v>128338478696.78799</v>
      </c>
      <c r="P3745">
        <v>22</v>
      </c>
      <c r="Q3745" t="s">
        <v>7837</v>
      </c>
    </row>
    <row r="3746" spans="1:17" x14ac:dyDescent="0.3">
      <c r="A3746" t="s">
        <v>4729</v>
      </c>
      <c r="B3746" t="str">
        <f>"200003"</f>
        <v>200003</v>
      </c>
      <c r="C3746" t="s">
        <v>7838</v>
      </c>
      <c r="K3746">
        <v>28007229.074499998</v>
      </c>
      <c r="L3746">
        <v>13376241.7981</v>
      </c>
      <c r="M3746">
        <v>11725256.606799999</v>
      </c>
      <c r="N3746">
        <v>10764011.275599999</v>
      </c>
      <c r="O3746">
        <v>9080042.8991</v>
      </c>
      <c r="P3746">
        <v>1</v>
      </c>
      <c r="Q3746" t="s">
        <v>7839</v>
      </c>
    </row>
    <row r="3747" spans="1:17" x14ac:dyDescent="0.3">
      <c r="A3747" t="s">
        <v>4729</v>
      </c>
      <c r="B3747" t="str">
        <f>"200011"</f>
        <v>200011</v>
      </c>
      <c r="C3747" t="s">
        <v>7840</v>
      </c>
      <c r="F3747">
        <v>5492775589.4832001</v>
      </c>
      <c r="G3747">
        <v>4868198767.6205997</v>
      </c>
      <c r="H3747">
        <v>4431127830.1269999</v>
      </c>
      <c r="I3747">
        <v>3173273460.6704998</v>
      </c>
      <c r="J3747">
        <v>3486209767.3382001</v>
      </c>
      <c r="K3747">
        <v>2298483590.7473998</v>
      </c>
      <c r="L3747">
        <v>1286114464.6436999</v>
      </c>
      <c r="M3747">
        <v>1586071695.5808001</v>
      </c>
      <c r="N3747">
        <v>2075363538.1276</v>
      </c>
      <c r="O3747">
        <v>2316572525.0626001</v>
      </c>
      <c r="P3747">
        <v>176</v>
      </c>
      <c r="Q3747" t="s">
        <v>7841</v>
      </c>
    </row>
    <row r="3748" spans="1:17" x14ac:dyDescent="0.3">
      <c r="A3748" t="s">
        <v>4729</v>
      </c>
      <c r="B3748" t="str">
        <f>"200012"</f>
        <v>200012</v>
      </c>
      <c r="C3748" t="s">
        <v>7842</v>
      </c>
      <c r="F3748">
        <v>16665582347.219999</v>
      </c>
      <c r="G3748">
        <v>12657173711.1145</v>
      </c>
      <c r="H3748">
        <v>11712963428.731501</v>
      </c>
      <c r="I3748">
        <v>12079442888.0235</v>
      </c>
      <c r="J3748">
        <v>13057456775.349199</v>
      </c>
      <c r="K3748">
        <v>10016871898.8934</v>
      </c>
      <c r="L3748">
        <v>8870252331.8006992</v>
      </c>
      <c r="M3748">
        <v>8808446107.3080006</v>
      </c>
      <c r="N3748">
        <v>9912406479.3138008</v>
      </c>
      <c r="O3748">
        <v>8705178002.8934002</v>
      </c>
      <c r="P3748">
        <v>85</v>
      </c>
      <c r="Q3748" t="s">
        <v>7843</v>
      </c>
    </row>
    <row r="3749" spans="1:17" x14ac:dyDescent="0.3">
      <c r="A3749" t="s">
        <v>4729</v>
      </c>
      <c r="B3749" t="str">
        <f>"200015"</f>
        <v>200015</v>
      </c>
      <c r="C3749" t="s">
        <v>7844</v>
      </c>
      <c r="K3749">
        <v>910362926.89649999</v>
      </c>
      <c r="L3749">
        <v>147560722.71020001</v>
      </c>
      <c r="P3749">
        <v>0</v>
      </c>
      <c r="Q3749" t="s">
        <v>7845</v>
      </c>
    </row>
    <row r="3750" spans="1:17" x14ac:dyDescent="0.3">
      <c r="A3750" t="s">
        <v>4729</v>
      </c>
      <c r="B3750" t="str">
        <f>"200016"</f>
        <v>200016</v>
      </c>
      <c r="C3750" t="s">
        <v>7846</v>
      </c>
      <c r="F3750">
        <v>60047444915.676003</v>
      </c>
      <c r="G3750">
        <v>59722313337.885498</v>
      </c>
      <c r="H3750">
        <v>61650741848.261497</v>
      </c>
      <c r="I3750">
        <v>52515358772.7285</v>
      </c>
      <c r="J3750">
        <v>37479561452.650002</v>
      </c>
      <c r="K3750">
        <v>22658132389.403198</v>
      </c>
      <c r="L3750">
        <v>21958322827.873199</v>
      </c>
      <c r="M3750">
        <v>24287130638.097599</v>
      </c>
      <c r="N3750">
        <v>25642634657.814301</v>
      </c>
      <c r="O3750">
        <v>22823302618.3022</v>
      </c>
      <c r="P3750">
        <v>36</v>
      </c>
      <c r="Q3750" t="s">
        <v>7847</v>
      </c>
    </row>
    <row r="3751" spans="1:17" x14ac:dyDescent="0.3">
      <c r="A3751" t="s">
        <v>4729</v>
      </c>
      <c r="B3751" t="str">
        <f>"200017"</f>
        <v>200017</v>
      </c>
      <c r="C3751" t="s">
        <v>7848</v>
      </c>
      <c r="F3751">
        <v>202063515.57839999</v>
      </c>
      <c r="G3751">
        <v>139790757.028</v>
      </c>
      <c r="H3751">
        <v>85031376.527999997</v>
      </c>
      <c r="I3751">
        <v>136514062.57499999</v>
      </c>
      <c r="J3751">
        <v>165016215.71959999</v>
      </c>
      <c r="K3751">
        <v>158467495.5402</v>
      </c>
      <c r="L3751">
        <v>204110798.81099999</v>
      </c>
      <c r="M3751">
        <v>265173060.7344</v>
      </c>
      <c r="N3751">
        <v>347483912.03119999</v>
      </c>
      <c r="O3751">
        <v>364452517.80419999</v>
      </c>
      <c r="P3751">
        <v>3</v>
      </c>
      <c r="Q3751" t="s">
        <v>7849</v>
      </c>
    </row>
    <row r="3752" spans="1:17" x14ac:dyDescent="0.3">
      <c r="A3752" t="s">
        <v>4729</v>
      </c>
      <c r="B3752" t="str">
        <f>"200018"</f>
        <v>200018</v>
      </c>
      <c r="C3752" t="s">
        <v>7850</v>
      </c>
      <c r="H3752">
        <v>495906875.352</v>
      </c>
      <c r="I3752">
        <v>2763125481.6494999</v>
      </c>
      <c r="J3752">
        <v>7797849402.1962004</v>
      </c>
      <c r="K3752">
        <v>5207072014.3954</v>
      </c>
      <c r="L3752">
        <v>4787165537.7986002</v>
      </c>
      <c r="M3752">
        <v>13773659.9112</v>
      </c>
      <c r="N3752">
        <v>34604605.483000003</v>
      </c>
      <c r="O3752">
        <v>13809669.637399999</v>
      </c>
      <c r="P3752">
        <v>13</v>
      </c>
      <c r="Q3752" t="s">
        <v>7851</v>
      </c>
    </row>
    <row r="3753" spans="1:17" x14ac:dyDescent="0.3">
      <c r="A3753" t="s">
        <v>4729</v>
      </c>
      <c r="B3753" t="str">
        <f>"200019"</f>
        <v>200019</v>
      </c>
      <c r="C3753" t="s">
        <v>7852</v>
      </c>
      <c r="F3753">
        <v>12398658504.587999</v>
      </c>
      <c r="G3753">
        <v>14096238074.8666</v>
      </c>
      <c r="H3753">
        <v>12370592479.816</v>
      </c>
      <c r="I3753">
        <v>12248874261.063</v>
      </c>
      <c r="J3753">
        <v>378978402.14160001</v>
      </c>
      <c r="K3753">
        <v>305150822.31660002</v>
      </c>
      <c r="L3753">
        <v>403738599.97439998</v>
      </c>
      <c r="M3753">
        <v>460298998.56</v>
      </c>
      <c r="N3753">
        <v>561793029.08539999</v>
      </c>
      <c r="O3753">
        <v>386809638.495</v>
      </c>
      <c r="P3753">
        <v>23</v>
      </c>
      <c r="Q3753" t="s">
        <v>7853</v>
      </c>
    </row>
    <row r="3754" spans="1:17" x14ac:dyDescent="0.3">
      <c r="A3754" t="s">
        <v>4729</v>
      </c>
      <c r="B3754" t="str">
        <f>"200020"</f>
        <v>200020</v>
      </c>
      <c r="C3754" t="s">
        <v>7854</v>
      </c>
      <c r="F3754">
        <v>936189435.27719998</v>
      </c>
      <c r="G3754">
        <v>820475505.26090002</v>
      </c>
      <c r="H3754">
        <v>807061997.75849998</v>
      </c>
      <c r="I3754">
        <v>725277675.91949999</v>
      </c>
      <c r="J3754">
        <v>1029819767.6266</v>
      </c>
      <c r="K3754">
        <v>691115065.99020004</v>
      </c>
      <c r="L3754">
        <v>596200365.77970004</v>
      </c>
      <c r="M3754">
        <v>868827635.90400004</v>
      </c>
      <c r="N3754">
        <v>803396533.37650001</v>
      </c>
      <c r="O3754">
        <v>900955357.16620004</v>
      </c>
      <c r="P3754">
        <v>6</v>
      </c>
      <c r="Q3754" t="s">
        <v>7855</v>
      </c>
    </row>
    <row r="3755" spans="1:17" x14ac:dyDescent="0.3">
      <c r="A3755" t="s">
        <v>4729</v>
      </c>
      <c r="B3755" t="str">
        <f>"200022"</f>
        <v>200022</v>
      </c>
      <c r="C3755" t="s">
        <v>7856</v>
      </c>
      <c r="J3755">
        <v>2947953845.7670002</v>
      </c>
      <c r="K3755">
        <v>2126480589.668</v>
      </c>
      <c r="L3755">
        <v>2235332881.2361999</v>
      </c>
      <c r="M3755">
        <v>2256679626.8579998</v>
      </c>
      <c r="N3755">
        <v>2282419107.6856999</v>
      </c>
      <c r="O3755">
        <v>2220174899.6209998</v>
      </c>
      <c r="P3755">
        <v>41</v>
      </c>
      <c r="Q3755" t="s">
        <v>7857</v>
      </c>
    </row>
    <row r="3756" spans="1:17" x14ac:dyDescent="0.3">
      <c r="A3756" t="s">
        <v>4729</v>
      </c>
      <c r="B3756" t="str">
        <f>"200024"</f>
        <v>200024</v>
      </c>
      <c r="C3756" t="s">
        <v>7858</v>
      </c>
      <c r="M3756">
        <v>54248676774.642899</v>
      </c>
      <c r="N3756">
        <v>41742167021.183403</v>
      </c>
      <c r="O3756">
        <v>31484350177.440899</v>
      </c>
      <c r="P3756">
        <v>0</v>
      </c>
      <c r="Q3756" t="s">
        <v>7859</v>
      </c>
    </row>
    <row r="3757" spans="1:17" x14ac:dyDescent="0.3">
      <c r="A3757" t="s">
        <v>4729</v>
      </c>
      <c r="B3757" t="str">
        <f>"200025"</f>
        <v>200025</v>
      </c>
      <c r="C3757" t="s">
        <v>7860</v>
      </c>
      <c r="F3757">
        <v>621818287.79279995</v>
      </c>
      <c r="G3757">
        <v>503403616.67830002</v>
      </c>
      <c r="H3757">
        <v>638745031.93900001</v>
      </c>
      <c r="I3757">
        <v>471610849.8915</v>
      </c>
      <c r="J3757">
        <v>416754195.458</v>
      </c>
      <c r="K3757">
        <v>361917627.84039998</v>
      </c>
      <c r="L3757">
        <v>362558670.41670001</v>
      </c>
      <c r="M3757">
        <v>581420405.01119995</v>
      </c>
      <c r="N3757">
        <v>623840954.06359994</v>
      </c>
      <c r="O3757">
        <v>522287255.88059998</v>
      </c>
      <c r="P3757">
        <v>7</v>
      </c>
      <c r="Q3757" t="s">
        <v>7861</v>
      </c>
    </row>
    <row r="3758" spans="1:17" x14ac:dyDescent="0.3">
      <c r="A3758" t="s">
        <v>4729</v>
      </c>
      <c r="B3758" t="str">
        <f>"200026"</f>
        <v>200026</v>
      </c>
      <c r="C3758" t="s">
        <v>7862</v>
      </c>
      <c r="F3758">
        <v>6412037373.9348001</v>
      </c>
      <c r="G3758">
        <v>5033144128.2532997</v>
      </c>
      <c r="H3758">
        <v>4143159707.0974998</v>
      </c>
      <c r="I3758">
        <v>3871413008.0999999</v>
      </c>
      <c r="J3758">
        <v>4015640806.7407999</v>
      </c>
      <c r="K3758">
        <v>3341751622.9882002</v>
      </c>
      <c r="L3758">
        <v>3774713619.4580998</v>
      </c>
      <c r="M3758">
        <v>4098989739.6143999</v>
      </c>
      <c r="N3758">
        <v>3977752056.1954002</v>
      </c>
      <c r="O3758">
        <v>3763623761.1041999</v>
      </c>
      <c r="P3758">
        <v>52</v>
      </c>
      <c r="Q3758" t="s">
        <v>7863</v>
      </c>
    </row>
    <row r="3759" spans="1:17" x14ac:dyDescent="0.3">
      <c r="A3759" t="s">
        <v>4729</v>
      </c>
      <c r="B3759" t="str">
        <f>"200028"</f>
        <v>200028</v>
      </c>
      <c r="C3759" t="s">
        <v>7864</v>
      </c>
      <c r="F3759">
        <v>83587929544.641602</v>
      </c>
      <c r="G3759">
        <v>70750218589.7332</v>
      </c>
      <c r="H3759">
        <v>58213187193.945503</v>
      </c>
      <c r="I3759">
        <v>49094835915.658501</v>
      </c>
      <c r="J3759">
        <v>49524607668.623802</v>
      </c>
      <c r="K3759">
        <v>46041496810.332603</v>
      </c>
      <c r="L3759">
        <v>31028010356.148602</v>
      </c>
      <c r="M3759">
        <v>29952495517.411201</v>
      </c>
      <c r="N3759">
        <v>27171356083.598301</v>
      </c>
      <c r="O3759">
        <v>22417435472.938801</v>
      </c>
      <c r="P3759">
        <v>209</v>
      </c>
      <c r="Q3759" t="s">
        <v>7865</v>
      </c>
    </row>
    <row r="3760" spans="1:17" x14ac:dyDescent="0.3">
      <c r="A3760" t="s">
        <v>4729</v>
      </c>
      <c r="B3760" t="str">
        <f>"200029"</f>
        <v>200029</v>
      </c>
      <c r="C3760" t="s">
        <v>7866</v>
      </c>
      <c r="F3760">
        <v>1615062804.3743999</v>
      </c>
      <c r="G3760">
        <v>1915563021.7753999</v>
      </c>
      <c r="H3760">
        <v>2850766046.8014998</v>
      </c>
      <c r="I3760">
        <v>2476450676.1554999</v>
      </c>
      <c r="J3760">
        <v>1615364308.5209999</v>
      </c>
      <c r="K3760">
        <v>2625328661.9535999</v>
      </c>
      <c r="L3760">
        <v>2582409486.8775001</v>
      </c>
      <c r="M3760">
        <v>2666241953.2392001</v>
      </c>
      <c r="N3760">
        <v>2712695857.3645</v>
      </c>
      <c r="O3760">
        <v>1282123108.1134</v>
      </c>
      <c r="P3760">
        <v>18</v>
      </c>
      <c r="Q3760" t="s">
        <v>7867</v>
      </c>
    </row>
    <row r="3761" spans="1:17" x14ac:dyDescent="0.3">
      <c r="A3761" t="s">
        <v>4729</v>
      </c>
      <c r="B3761" t="str">
        <f>"200030"</f>
        <v>200030</v>
      </c>
      <c r="C3761" t="s">
        <v>7868</v>
      </c>
      <c r="G3761">
        <v>13181639709.6686</v>
      </c>
      <c r="H3761">
        <v>11256369277.080999</v>
      </c>
      <c r="I3761">
        <v>8940112710.7544994</v>
      </c>
      <c r="J3761">
        <v>8633354425.4288006</v>
      </c>
      <c r="K3761">
        <v>6537513759.1658001</v>
      </c>
      <c r="L3761">
        <v>5170527715.0853996</v>
      </c>
      <c r="M3761">
        <v>6264519412.4303999</v>
      </c>
      <c r="N3761">
        <v>6700474323.2629995</v>
      </c>
      <c r="P3761">
        <v>132</v>
      </c>
      <c r="Q3761" t="s">
        <v>7869</v>
      </c>
    </row>
    <row r="3762" spans="1:17" x14ac:dyDescent="0.3">
      <c r="A3762" t="s">
        <v>4729</v>
      </c>
      <c r="B3762" t="str">
        <f>"200037"</f>
        <v>200037</v>
      </c>
      <c r="C3762" t="s">
        <v>7870</v>
      </c>
      <c r="F3762">
        <v>925874498.54040003</v>
      </c>
      <c r="G3762">
        <v>1168609570.1352</v>
      </c>
      <c r="H3762">
        <v>1367453442.6675</v>
      </c>
      <c r="I3762">
        <v>2146000898.5964999</v>
      </c>
      <c r="J3762">
        <v>2455329351.7663999</v>
      </c>
      <c r="K3762">
        <v>1756998117.2435999</v>
      </c>
      <c r="L3762">
        <v>1605548238.4707</v>
      </c>
      <c r="M3762">
        <v>1543120575.6192</v>
      </c>
      <c r="N3762">
        <v>1423235247.175</v>
      </c>
      <c r="O3762">
        <v>1574973802.8527999</v>
      </c>
      <c r="P3762">
        <v>9</v>
      </c>
      <c r="Q3762" t="s">
        <v>7871</v>
      </c>
    </row>
    <row r="3763" spans="1:17" x14ac:dyDescent="0.3">
      <c r="A3763" t="s">
        <v>4729</v>
      </c>
      <c r="B3763" t="str">
        <f>"200039"</f>
        <v>200039</v>
      </c>
      <c r="C3763" t="s">
        <v>7872</v>
      </c>
      <c r="K3763">
        <v>57050825962.400002</v>
      </c>
      <c r="L3763">
        <v>70053244234.800003</v>
      </c>
      <c r="M3763">
        <v>87616597092</v>
      </c>
      <c r="N3763">
        <v>74177632578.699997</v>
      </c>
      <c r="O3763">
        <v>67624167342.199997</v>
      </c>
      <c r="P3763">
        <v>0</v>
      </c>
      <c r="Q3763" t="s">
        <v>7873</v>
      </c>
    </row>
    <row r="3764" spans="1:17" x14ac:dyDescent="0.3">
      <c r="A3764" t="s">
        <v>4729</v>
      </c>
      <c r="B3764" t="str">
        <f>"200045"</f>
        <v>200045</v>
      </c>
      <c r="C3764" t="s">
        <v>7874</v>
      </c>
      <c r="F3764">
        <v>2804794922.3376002</v>
      </c>
      <c r="G3764">
        <v>2501443016.4368</v>
      </c>
      <c r="H3764">
        <v>2413929761.4359999</v>
      </c>
      <c r="I3764">
        <v>1448578183.7835</v>
      </c>
      <c r="J3764">
        <v>1770949973.1440001</v>
      </c>
      <c r="K3764">
        <v>1337431081.0992</v>
      </c>
      <c r="L3764">
        <v>1464367645.6104</v>
      </c>
      <c r="M3764">
        <v>1514175067.2695999</v>
      </c>
      <c r="N3764">
        <v>1449729049.9860001</v>
      </c>
      <c r="O3764">
        <v>1051829485.5418</v>
      </c>
      <c r="P3764">
        <v>6</v>
      </c>
      <c r="Q3764" t="s">
        <v>7875</v>
      </c>
    </row>
    <row r="3765" spans="1:17" x14ac:dyDescent="0.3">
      <c r="A3765" t="s">
        <v>4729</v>
      </c>
      <c r="B3765" t="str">
        <f>"200053"</f>
        <v>200053</v>
      </c>
      <c r="C3765" t="s">
        <v>7876</v>
      </c>
      <c r="J3765">
        <v>915841363.19140005</v>
      </c>
      <c r="K3765">
        <v>756550683.66219997</v>
      </c>
      <c r="L3765">
        <v>776238658.65509999</v>
      </c>
      <c r="M3765">
        <v>891483437.51629996</v>
      </c>
      <c r="N3765">
        <v>886721877.34660006</v>
      </c>
      <c r="O3765">
        <v>720115486.6681</v>
      </c>
      <c r="P3765">
        <v>15</v>
      </c>
      <c r="Q3765" t="s">
        <v>7877</v>
      </c>
    </row>
    <row r="3766" spans="1:17" x14ac:dyDescent="0.3">
      <c r="A3766" t="s">
        <v>4729</v>
      </c>
      <c r="B3766" t="str">
        <f>"200054"</f>
        <v>200054</v>
      </c>
      <c r="C3766" t="s">
        <v>7878</v>
      </c>
      <c r="F3766">
        <v>831649472.84759998</v>
      </c>
      <c r="G3766">
        <v>878724373.35450006</v>
      </c>
      <c r="H3766">
        <v>885278694.92900002</v>
      </c>
      <c r="I3766">
        <v>1106398854</v>
      </c>
      <c r="J3766">
        <v>1211639201.0158</v>
      </c>
      <c r="K3766">
        <v>974762376.78939998</v>
      </c>
      <c r="L3766">
        <v>1601147902.1607001</v>
      </c>
      <c r="M3766">
        <v>2205230204.1719999</v>
      </c>
      <c r="N3766">
        <v>2417070291.2265</v>
      </c>
      <c r="O3766">
        <v>2269404088.0560002</v>
      </c>
      <c r="P3766">
        <v>7</v>
      </c>
      <c r="Q3766" t="s">
        <v>7879</v>
      </c>
    </row>
    <row r="3767" spans="1:17" x14ac:dyDescent="0.3">
      <c r="A3767" t="s">
        <v>4729</v>
      </c>
      <c r="B3767" t="str">
        <f>"200055"</f>
        <v>200055</v>
      </c>
      <c r="C3767" t="s">
        <v>7880</v>
      </c>
      <c r="F3767">
        <v>4350385393.8744001</v>
      </c>
      <c r="G3767">
        <v>3533743471.901</v>
      </c>
      <c r="H3767">
        <v>3361930881.7414999</v>
      </c>
      <c r="I3767">
        <v>3470922353.052</v>
      </c>
      <c r="J3767">
        <v>3537554470.9628</v>
      </c>
      <c r="K3767">
        <v>4692355423.4188004</v>
      </c>
      <c r="L3767">
        <v>3044493048.7814999</v>
      </c>
      <c r="M3767">
        <v>2423680874.7744002</v>
      </c>
      <c r="N3767">
        <v>2239925638.3182001</v>
      </c>
      <c r="O3767">
        <v>1739828113.5550001</v>
      </c>
      <c r="P3767">
        <v>71</v>
      </c>
      <c r="Q3767" t="s">
        <v>7881</v>
      </c>
    </row>
    <row r="3768" spans="1:17" x14ac:dyDescent="0.3">
      <c r="A3768" t="s">
        <v>4729</v>
      </c>
      <c r="B3768" t="str">
        <f>"200056"</f>
        <v>200056</v>
      </c>
      <c r="C3768" t="s">
        <v>7882</v>
      </c>
      <c r="G3768">
        <v>813344060.03330004</v>
      </c>
      <c r="H3768">
        <v>1061416124.387</v>
      </c>
      <c r="I3768">
        <v>1080563130.8010001</v>
      </c>
      <c r="J3768">
        <v>842866421.12779999</v>
      </c>
      <c r="K3768">
        <v>363702461.77780002</v>
      </c>
      <c r="L3768">
        <v>320255442.8976</v>
      </c>
      <c r="M3768">
        <v>123712947.97920001</v>
      </c>
      <c r="N3768">
        <v>45234840.718199998</v>
      </c>
      <c r="O3768">
        <v>100342708.7376</v>
      </c>
      <c r="P3768">
        <v>13</v>
      </c>
      <c r="Q3768" t="s">
        <v>7883</v>
      </c>
    </row>
    <row r="3769" spans="1:17" x14ac:dyDescent="0.3">
      <c r="A3769" t="s">
        <v>4729</v>
      </c>
      <c r="B3769" t="str">
        <f>"200058"</f>
        <v>200058</v>
      </c>
      <c r="C3769" t="s">
        <v>7884</v>
      </c>
      <c r="F3769">
        <v>2439062149.3955998</v>
      </c>
      <c r="G3769">
        <v>1664888025.5437</v>
      </c>
      <c r="H3769">
        <v>1670175026.9784999</v>
      </c>
      <c r="I3769">
        <v>1828189036.872</v>
      </c>
      <c r="J3769">
        <v>2377965331.1115999</v>
      </c>
      <c r="K3769">
        <v>750515328.87119997</v>
      </c>
      <c r="L3769">
        <v>885168750.2349</v>
      </c>
      <c r="M3769">
        <v>851952438.81840003</v>
      </c>
      <c r="N3769">
        <v>765634079.27859998</v>
      </c>
      <c r="O3769">
        <v>577254815.74460006</v>
      </c>
      <c r="P3769">
        <v>7</v>
      </c>
      <c r="Q3769" t="s">
        <v>7885</v>
      </c>
    </row>
    <row r="3770" spans="1:17" x14ac:dyDescent="0.3">
      <c r="A3770" t="s">
        <v>4729</v>
      </c>
      <c r="B3770" t="str">
        <f>"200152"</f>
        <v>200152</v>
      </c>
      <c r="C3770" t="s">
        <v>7886</v>
      </c>
      <c r="F3770">
        <v>15303730805.156401</v>
      </c>
      <c r="G3770">
        <v>12494855814.621099</v>
      </c>
      <c r="H3770">
        <v>21240779205.462502</v>
      </c>
      <c r="I3770">
        <v>21365037862.789501</v>
      </c>
      <c r="J3770">
        <v>19784952725.030399</v>
      </c>
      <c r="K3770">
        <v>15339228422.4452</v>
      </c>
      <c r="L3770">
        <v>14454469299.0243</v>
      </c>
      <c r="M3770">
        <v>14467499064.952801</v>
      </c>
      <c r="N3770">
        <v>14646188322.726101</v>
      </c>
      <c r="O3770">
        <v>13681918807.964399</v>
      </c>
      <c r="P3770">
        <v>112</v>
      </c>
      <c r="Q3770" t="s">
        <v>7887</v>
      </c>
    </row>
    <row r="3771" spans="1:17" x14ac:dyDescent="0.3">
      <c r="A3771" t="s">
        <v>4729</v>
      </c>
      <c r="B3771" t="str">
        <f>"200160"</f>
        <v>200160</v>
      </c>
      <c r="C3771" t="s">
        <v>7888</v>
      </c>
      <c r="H3771">
        <v>49349538.711499996</v>
      </c>
      <c r="I3771">
        <v>140613953.634</v>
      </c>
      <c r="J3771">
        <v>300136249.97259998</v>
      </c>
      <c r="K3771">
        <v>410648453.03839999</v>
      </c>
      <c r="L3771">
        <v>168576625.00319999</v>
      </c>
      <c r="M3771">
        <v>403257290.59020001</v>
      </c>
      <c r="N3771">
        <v>466477610.21929997</v>
      </c>
      <c r="O3771">
        <v>98960640.452199996</v>
      </c>
      <c r="P3771">
        <v>3</v>
      </c>
      <c r="Q3771" t="s">
        <v>7889</v>
      </c>
    </row>
    <row r="3772" spans="1:17" x14ac:dyDescent="0.3">
      <c r="A3772" t="s">
        <v>4729</v>
      </c>
      <c r="B3772" t="str">
        <f>"200168"</f>
        <v>200168</v>
      </c>
      <c r="C3772" t="s">
        <v>7890</v>
      </c>
      <c r="G3772">
        <v>14344605.628599999</v>
      </c>
      <c r="H3772">
        <v>21324686.8105</v>
      </c>
      <c r="I3772">
        <v>110110986.117</v>
      </c>
      <c r="J3772">
        <v>676900477.54659998</v>
      </c>
      <c r="K3772">
        <v>394678180.43919998</v>
      </c>
      <c r="L3772">
        <v>425122127.56050003</v>
      </c>
      <c r="M3772">
        <v>235592949.3768</v>
      </c>
      <c r="N3772">
        <v>190279588.84689999</v>
      </c>
      <c r="O3772">
        <v>374603349.69959998</v>
      </c>
      <c r="P3772">
        <v>3</v>
      </c>
      <c r="Q3772" t="s">
        <v>7891</v>
      </c>
    </row>
    <row r="3773" spans="1:17" x14ac:dyDescent="0.3">
      <c r="A3773" t="s">
        <v>4729</v>
      </c>
      <c r="B3773" t="str">
        <f>"200413"</f>
        <v>200413</v>
      </c>
      <c r="C3773" t="s">
        <v>7892</v>
      </c>
      <c r="G3773">
        <v>8360517581.9699001</v>
      </c>
      <c r="H3773">
        <v>19605909991.140999</v>
      </c>
      <c r="I3773">
        <v>32119020473.908501</v>
      </c>
      <c r="J3773">
        <v>20807104262.431599</v>
      </c>
      <c r="K3773">
        <v>7703254637.4926004</v>
      </c>
      <c r="L3773">
        <v>5550953824.3775997</v>
      </c>
      <c r="M3773">
        <v>2680104881.7072001</v>
      </c>
      <c r="N3773">
        <v>1194417105.4010999</v>
      </c>
      <c r="O3773">
        <v>969462712.58200002</v>
      </c>
      <c r="P3773">
        <v>44</v>
      </c>
      <c r="Q3773" t="s">
        <v>7893</v>
      </c>
    </row>
    <row r="3774" spans="1:17" x14ac:dyDescent="0.3">
      <c r="A3774" t="s">
        <v>4729</v>
      </c>
      <c r="B3774" t="str">
        <f>"200418"</f>
        <v>200418</v>
      </c>
      <c r="C3774" t="s">
        <v>7894</v>
      </c>
      <c r="I3774">
        <v>26910644210.702999</v>
      </c>
      <c r="J3774">
        <v>25665915832.215401</v>
      </c>
      <c r="K3774">
        <v>18233031567.132401</v>
      </c>
      <c r="L3774">
        <v>15675223069.253599</v>
      </c>
      <c r="M3774">
        <v>13509593297.6654</v>
      </c>
      <c r="N3774">
        <v>11186621262.069</v>
      </c>
      <c r="O3774">
        <v>8587570643.3077002</v>
      </c>
      <c r="P3774">
        <v>89</v>
      </c>
      <c r="Q3774" t="s">
        <v>7895</v>
      </c>
    </row>
    <row r="3775" spans="1:17" x14ac:dyDescent="0.3">
      <c r="A3775" t="s">
        <v>4729</v>
      </c>
      <c r="B3775" t="str">
        <f>"200429"</f>
        <v>200429</v>
      </c>
      <c r="C3775" t="s">
        <v>7896</v>
      </c>
      <c r="F3775">
        <v>6466236928.6583996</v>
      </c>
      <c r="G3775">
        <v>4495732801.8235998</v>
      </c>
      <c r="H3775">
        <v>3420300950.704</v>
      </c>
      <c r="I3775">
        <v>3664483214.6339998</v>
      </c>
      <c r="J3775">
        <v>3707484289.8797998</v>
      </c>
      <c r="K3775">
        <v>3153320595.6896</v>
      </c>
      <c r="L3775">
        <v>1844861665.6893001</v>
      </c>
      <c r="M3775">
        <v>1819400751.9935999</v>
      </c>
      <c r="N3775">
        <v>1701464594.0039999</v>
      </c>
      <c r="O3775">
        <v>1376175147.9489999</v>
      </c>
      <c r="P3775">
        <v>453</v>
      </c>
      <c r="Q3775" t="s">
        <v>7897</v>
      </c>
    </row>
    <row r="3776" spans="1:17" x14ac:dyDescent="0.3">
      <c r="A3776" t="s">
        <v>4729</v>
      </c>
      <c r="B3776" t="str">
        <f>"200468"</f>
        <v>200468</v>
      </c>
      <c r="C3776" t="s">
        <v>7898</v>
      </c>
      <c r="F3776">
        <v>1121466165.3671999</v>
      </c>
      <c r="G3776">
        <v>1216041690.1575999</v>
      </c>
      <c r="H3776">
        <v>1496870870.9890001</v>
      </c>
      <c r="I3776">
        <v>2272022219.5605001</v>
      </c>
      <c r="J3776">
        <v>2705730167.0812001</v>
      </c>
      <c r="K3776">
        <v>2069335769.6198001</v>
      </c>
      <c r="L3776">
        <v>2259927425.8203001</v>
      </c>
      <c r="M3776">
        <v>2867593511.3759999</v>
      </c>
      <c r="N3776">
        <v>3113736767.6792998</v>
      </c>
      <c r="O3776">
        <v>3320313216.7898002</v>
      </c>
      <c r="P3776">
        <v>4</v>
      </c>
      <c r="Q3776" t="s">
        <v>7899</v>
      </c>
    </row>
    <row r="3777" spans="1:17" x14ac:dyDescent="0.3">
      <c r="A3777" t="s">
        <v>4729</v>
      </c>
      <c r="B3777" t="str">
        <f>"200488"</f>
        <v>200488</v>
      </c>
      <c r="C3777" t="s">
        <v>7900</v>
      </c>
      <c r="F3777">
        <v>40376626473.103203</v>
      </c>
      <c r="G3777">
        <v>36456583996.241699</v>
      </c>
      <c r="H3777">
        <v>33997293010.650501</v>
      </c>
      <c r="I3777">
        <v>32875048392.714001</v>
      </c>
      <c r="J3777">
        <v>35372838767.512802</v>
      </c>
      <c r="K3777">
        <v>25189198854.316799</v>
      </c>
      <c r="L3777">
        <v>24103958535.206699</v>
      </c>
      <c r="M3777">
        <v>23884737018.3312</v>
      </c>
      <c r="N3777">
        <v>26132440398.873901</v>
      </c>
      <c r="O3777">
        <v>24595385969.658001</v>
      </c>
      <c r="P3777">
        <v>268</v>
      </c>
      <c r="Q3777" t="s">
        <v>7901</v>
      </c>
    </row>
    <row r="3778" spans="1:17" x14ac:dyDescent="0.3">
      <c r="A3778" t="s">
        <v>4729</v>
      </c>
      <c r="B3778" t="str">
        <f>"200505"</f>
        <v>200505</v>
      </c>
      <c r="C3778" t="s">
        <v>7902</v>
      </c>
      <c r="F3778">
        <v>14383911142.660801</v>
      </c>
      <c r="G3778">
        <v>10368589570.623199</v>
      </c>
      <c r="H3778">
        <v>8321960412.2209997</v>
      </c>
      <c r="I3778">
        <v>8435288018.9654999</v>
      </c>
      <c r="J3778">
        <v>9502750380.6088009</v>
      </c>
      <c r="K3778">
        <v>1081755089.323</v>
      </c>
      <c r="L3778">
        <v>318799968.06870002</v>
      </c>
      <c r="M3778">
        <v>298725762.91439998</v>
      </c>
      <c r="N3778">
        <v>288777569.92629999</v>
      </c>
      <c r="O3778">
        <v>253917166.07879999</v>
      </c>
      <c r="P3778">
        <v>16</v>
      </c>
      <c r="Q3778" t="s">
        <v>7903</v>
      </c>
    </row>
    <row r="3779" spans="1:17" x14ac:dyDescent="0.3">
      <c r="A3779" t="s">
        <v>4729</v>
      </c>
      <c r="B3779" t="str">
        <f>"200512"</f>
        <v>200512</v>
      </c>
      <c r="C3779" t="s">
        <v>7904</v>
      </c>
      <c r="F3779">
        <v>2870254352.0627999</v>
      </c>
      <c r="G3779">
        <v>2543213959.4418001</v>
      </c>
      <c r="H3779">
        <v>2239169713.277</v>
      </c>
      <c r="I3779">
        <v>2037986501.2155001</v>
      </c>
      <c r="J3779">
        <v>2247670879.7884002</v>
      </c>
      <c r="K3779">
        <v>2023984499.9964001</v>
      </c>
      <c r="L3779">
        <v>2350071248.6483998</v>
      </c>
      <c r="M3779">
        <v>2511004887.0191998</v>
      </c>
      <c r="N3779">
        <v>2611313586.0279999</v>
      </c>
      <c r="O3779">
        <v>2911267823.5283999</v>
      </c>
      <c r="P3779">
        <v>34</v>
      </c>
      <c r="Q3779" t="s">
        <v>7905</v>
      </c>
    </row>
    <row r="3780" spans="1:17" x14ac:dyDescent="0.3">
      <c r="A3780" t="s">
        <v>4729</v>
      </c>
      <c r="B3780" t="str">
        <f>"200513"</f>
        <v>200513</v>
      </c>
      <c r="C3780" t="s">
        <v>7906</v>
      </c>
      <c r="K3780">
        <v>8540911573.6639004</v>
      </c>
      <c r="L3780">
        <v>7902910589.8945999</v>
      </c>
      <c r="M3780">
        <v>6932509915.8360996</v>
      </c>
      <c r="N3780">
        <v>5919762208.3703003</v>
      </c>
      <c r="O3780">
        <v>4908111594.8519001</v>
      </c>
      <c r="P3780">
        <v>1</v>
      </c>
      <c r="Q3780" t="s">
        <v>7907</v>
      </c>
    </row>
    <row r="3781" spans="1:17" x14ac:dyDescent="0.3">
      <c r="A3781" t="s">
        <v>4729</v>
      </c>
      <c r="B3781" t="str">
        <f>"200521"</f>
        <v>200521</v>
      </c>
      <c r="C3781" t="s">
        <v>7908</v>
      </c>
      <c r="F3781">
        <v>22050700432.222801</v>
      </c>
      <c r="G3781">
        <v>18251766377.803001</v>
      </c>
      <c r="H3781">
        <v>18514813363.057499</v>
      </c>
      <c r="I3781">
        <v>19912564180.575001</v>
      </c>
      <c r="J3781">
        <v>20160283595.7514</v>
      </c>
      <c r="K3781">
        <v>13982314669.745399</v>
      </c>
      <c r="L3781">
        <v>12433375347.0762</v>
      </c>
      <c r="M3781">
        <v>13460316247.0536</v>
      </c>
      <c r="N3781">
        <v>13507751632.179701</v>
      </c>
      <c r="O3781">
        <v>11583340562.9144</v>
      </c>
      <c r="P3781">
        <v>23</v>
      </c>
      <c r="Q3781" t="s">
        <v>7909</v>
      </c>
    </row>
    <row r="3782" spans="1:17" x14ac:dyDescent="0.3">
      <c r="A3782" t="s">
        <v>4729</v>
      </c>
      <c r="B3782" t="str">
        <f>"200530"</f>
        <v>200530</v>
      </c>
      <c r="C3782" t="s">
        <v>7910</v>
      </c>
      <c r="F3782">
        <v>2554683855.4368</v>
      </c>
      <c r="G3782">
        <v>2048712497.7035</v>
      </c>
      <c r="H3782">
        <v>2048925657.7985001</v>
      </c>
      <c r="I3782">
        <v>2238364560.7620001</v>
      </c>
      <c r="J3782">
        <v>2496074069.0209999</v>
      </c>
      <c r="K3782">
        <v>1986277037.1774001</v>
      </c>
      <c r="L3782">
        <v>1918894761.8280001</v>
      </c>
      <c r="M3782">
        <v>1782714782.4888</v>
      </c>
      <c r="N3782">
        <v>1968315547.8287001</v>
      </c>
      <c r="O3782">
        <v>1894255394.4635999</v>
      </c>
      <c r="P3782">
        <v>25</v>
      </c>
      <c r="Q3782" t="s">
        <v>7911</v>
      </c>
    </row>
    <row r="3783" spans="1:17" x14ac:dyDescent="0.3">
      <c r="A3783" t="s">
        <v>4729</v>
      </c>
      <c r="B3783" t="str">
        <f>"200539"</f>
        <v>200539</v>
      </c>
      <c r="C3783" t="s">
        <v>7912</v>
      </c>
      <c r="F3783">
        <v>54007681369.023598</v>
      </c>
      <c r="G3783">
        <v>33601104460.265099</v>
      </c>
      <c r="H3783">
        <v>32839333535.275002</v>
      </c>
      <c r="I3783">
        <v>31204593391.653</v>
      </c>
      <c r="J3783">
        <v>31977879226.811401</v>
      </c>
      <c r="K3783">
        <v>25316666168.5564</v>
      </c>
      <c r="L3783">
        <v>30706512971.0592</v>
      </c>
      <c r="M3783">
        <v>36319829483.723999</v>
      </c>
      <c r="N3783">
        <v>39515781678.832901</v>
      </c>
      <c r="O3783">
        <v>36702349946.207397</v>
      </c>
      <c r="P3783">
        <v>185</v>
      </c>
      <c r="Q3783" t="s">
        <v>7913</v>
      </c>
    </row>
    <row r="3784" spans="1:17" x14ac:dyDescent="0.3">
      <c r="A3784" t="s">
        <v>4729</v>
      </c>
      <c r="B3784" t="str">
        <f>"200541"</f>
        <v>200541</v>
      </c>
      <c r="C3784" t="s">
        <v>7914</v>
      </c>
      <c r="F3784">
        <v>5836045905.4932003</v>
      </c>
      <c r="G3784">
        <v>4441843032.7033005</v>
      </c>
      <c r="H3784">
        <v>3733079592.638</v>
      </c>
      <c r="I3784">
        <v>4328526845.6595001</v>
      </c>
      <c r="J3784">
        <v>4560985952.0523996</v>
      </c>
      <c r="K3784">
        <v>3757637036.3978</v>
      </c>
      <c r="L3784">
        <v>3433867968.8636999</v>
      </c>
      <c r="M3784">
        <v>3837028956.48</v>
      </c>
      <c r="N3784">
        <v>3238445513.7586999</v>
      </c>
      <c r="O3784">
        <v>2740498097.0472002</v>
      </c>
      <c r="P3784">
        <v>119</v>
      </c>
      <c r="Q3784" t="s">
        <v>7915</v>
      </c>
    </row>
    <row r="3785" spans="1:17" x14ac:dyDescent="0.3">
      <c r="A3785" t="s">
        <v>4729</v>
      </c>
      <c r="B3785" t="str">
        <f>"200550"</f>
        <v>200550</v>
      </c>
      <c r="C3785" t="s">
        <v>7916</v>
      </c>
      <c r="F3785">
        <v>43068613553.961601</v>
      </c>
      <c r="G3785">
        <v>39254849700.056503</v>
      </c>
      <c r="H3785">
        <v>32630712159.047001</v>
      </c>
      <c r="I3785">
        <v>32161873216.571999</v>
      </c>
      <c r="J3785">
        <v>37621165263.752403</v>
      </c>
      <c r="K3785">
        <v>29728813372.626202</v>
      </c>
      <c r="L3785">
        <v>29278945681.914299</v>
      </c>
      <c r="M3785">
        <v>31931826928.344002</v>
      </c>
      <c r="N3785">
        <v>26774335814.915501</v>
      </c>
      <c r="O3785">
        <v>21749020452.926201</v>
      </c>
      <c r="P3785">
        <v>154</v>
      </c>
      <c r="Q3785" t="s">
        <v>7917</v>
      </c>
    </row>
    <row r="3786" spans="1:17" x14ac:dyDescent="0.3">
      <c r="A3786" t="s">
        <v>4729</v>
      </c>
      <c r="B3786" t="str">
        <f>"200553"</f>
        <v>200553</v>
      </c>
      <c r="C3786" t="s">
        <v>7918</v>
      </c>
      <c r="F3786">
        <v>37954006194</v>
      </c>
      <c r="G3786">
        <v>33738416421.299999</v>
      </c>
      <c r="H3786">
        <v>30829482821.5</v>
      </c>
      <c r="I3786">
        <v>29162812981.5</v>
      </c>
      <c r="J3786">
        <v>28588245513.599998</v>
      </c>
      <c r="K3786">
        <v>2070252622.997</v>
      </c>
      <c r="L3786">
        <v>2590253363.5869002</v>
      </c>
      <c r="M3786">
        <v>3915235349.52</v>
      </c>
      <c r="N3786">
        <v>3945671552.5086999</v>
      </c>
      <c r="O3786">
        <v>2918769369.9934001</v>
      </c>
      <c r="P3786">
        <v>58</v>
      </c>
      <c r="Q3786" t="s">
        <v>7919</v>
      </c>
    </row>
    <row r="3787" spans="1:17" x14ac:dyDescent="0.3">
      <c r="A3787" t="s">
        <v>4729</v>
      </c>
      <c r="B3787" t="str">
        <f>"200570"</f>
        <v>200570</v>
      </c>
      <c r="C3787" t="s">
        <v>7920</v>
      </c>
      <c r="F3787">
        <v>2998832034.9647999</v>
      </c>
      <c r="G3787">
        <v>2723836793.7171001</v>
      </c>
      <c r="H3787">
        <v>2288250565.9184999</v>
      </c>
      <c r="I3787">
        <v>2435561768.5739999</v>
      </c>
      <c r="J3787">
        <v>2915365979.3610001</v>
      </c>
      <c r="K3787">
        <v>2548316809.0672002</v>
      </c>
      <c r="L3787">
        <v>3007884719.2539001</v>
      </c>
      <c r="M3787">
        <v>3113235995.5752001</v>
      </c>
      <c r="N3787">
        <v>3752296016.0300999</v>
      </c>
      <c r="O3787">
        <v>3678460216.3694</v>
      </c>
      <c r="P3787">
        <v>10</v>
      </c>
      <c r="Q3787" t="s">
        <v>7921</v>
      </c>
    </row>
    <row r="3788" spans="1:17" x14ac:dyDescent="0.3">
      <c r="A3788" t="s">
        <v>4729</v>
      </c>
      <c r="B3788" t="str">
        <f>"200581"</f>
        <v>200581</v>
      </c>
      <c r="C3788" t="s">
        <v>7922</v>
      </c>
      <c r="F3788">
        <v>16730871382.2108</v>
      </c>
      <c r="G3788">
        <v>15281506382.7327</v>
      </c>
      <c r="H3788">
        <v>9825303259.7600002</v>
      </c>
      <c r="I3788">
        <v>9929626612.9335003</v>
      </c>
      <c r="J3788">
        <v>10822539648.032</v>
      </c>
      <c r="K3788">
        <v>7169018185.3638</v>
      </c>
      <c r="L3788">
        <v>6853800139.6001997</v>
      </c>
      <c r="M3788">
        <v>7945641817.0080004</v>
      </c>
      <c r="N3788">
        <v>7163815666.2729998</v>
      </c>
      <c r="O3788">
        <v>6242021743.2874002</v>
      </c>
      <c r="P3788">
        <v>448</v>
      </c>
      <c r="Q3788" t="s">
        <v>7923</v>
      </c>
    </row>
    <row r="3789" spans="1:17" x14ac:dyDescent="0.3">
      <c r="A3789" t="s">
        <v>4729</v>
      </c>
      <c r="B3789" t="str">
        <f>"200596"</f>
        <v>200596</v>
      </c>
      <c r="C3789" t="s">
        <v>7924</v>
      </c>
      <c r="F3789">
        <v>16226343558.0648</v>
      </c>
      <c r="G3789">
        <v>12207417743.777399</v>
      </c>
      <c r="H3789">
        <v>11651371531.704</v>
      </c>
      <c r="I3789">
        <v>9889170773.6744995</v>
      </c>
      <c r="J3789">
        <v>8363383723.8098001</v>
      </c>
      <c r="K3789">
        <v>6716335754.4082003</v>
      </c>
      <c r="L3789">
        <v>6270997282.4822998</v>
      </c>
      <c r="M3789">
        <v>5815430194.8528004</v>
      </c>
      <c r="N3789">
        <v>5870923817.0135002</v>
      </c>
      <c r="O3789">
        <v>5223657534.2489996</v>
      </c>
      <c r="P3789">
        <v>745</v>
      </c>
      <c r="Q3789" t="s">
        <v>7925</v>
      </c>
    </row>
    <row r="3790" spans="1:17" x14ac:dyDescent="0.3">
      <c r="A3790" t="s">
        <v>4729</v>
      </c>
      <c r="B3790" t="str">
        <f>"200613"</f>
        <v>200613</v>
      </c>
      <c r="C3790" t="s">
        <v>7926</v>
      </c>
      <c r="F3790">
        <v>36970708.6932</v>
      </c>
      <c r="G3790">
        <v>18398770.152899999</v>
      </c>
      <c r="H3790">
        <v>29008750.4925</v>
      </c>
      <c r="I3790">
        <v>33603501.491999999</v>
      </c>
      <c r="J3790">
        <v>33493458.112799998</v>
      </c>
      <c r="K3790">
        <v>24231456.320799999</v>
      </c>
      <c r="L3790">
        <v>18963026.285100002</v>
      </c>
      <c r="M3790">
        <v>25260748.353599999</v>
      </c>
      <c r="N3790">
        <v>30326021.726</v>
      </c>
      <c r="O3790">
        <v>40057078.864600003</v>
      </c>
      <c r="P3790">
        <v>4</v>
      </c>
      <c r="Q3790" t="s">
        <v>7927</v>
      </c>
    </row>
    <row r="3791" spans="1:17" x14ac:dyDescent="0.3">
      <c r="A3791" t="s">
        <v>4729</v>
      </c>
      <c r="B3791" t="str">
        <f>"200625"</f>
        <v>200625</v>
      </c>
      <c r="C3791" t="s">
        <v>7928</v>
      </c>
      <c r="F3791">
        <v>128567487485.403</v>
      </c>
      <c r="G3791">
        <v>100303191912.756</v>
      </c>
      <c r="H3791">
        <v>78960781681.260498</v>
      </c>
      <c r="I3791">
        <v>75480580839.014999</v>
      </c>
      <c r="J3791">
        <v>96030648659.436401</v>
      </c>
      <c r="K3791">
        <v>87669073489.163406</v>
      </c>
      <c r="L3791">
        <v>79705235676.273605</v>
      </c>
      <c r="M3791">
        <v>66162830459.090401</v>
      </c>
      <c r="N3791">
        <v>49322202861.205399</v>
      </c>
      <c r="O3791">
        <v>36669137963.228401</v>
      </c>
      <c r="P3791">
        <v>710</v>
      </c>
      <c r="Q3791" t="s">
        <v>7929</v>
      </c>
    </row>
    <row r="3792" spans="1:17" x14ac:dyDescent="0.3">
      <c r="A3792" t="s">
        <v>4729</v>
      </c>
      <c r="B3792" t="str">
        <f>"200706"</f>
        <v>200706</v>
      </c>
      <c r="C3792" t="s">
        <v>7930</v>
      </c>
      <c r="F3792">
        <v>2835311679.1799998</v>
      </c>
      <c r="G3792">
        <v>2205169147.0176001</v>
      </c>
      <c r="H3792">
        <v>2075364605.3269999</v>
      </c>
      <c r="I3792">
        <v>2468721870.9945002</v>
      </c>
      <c r="J3792">
        <v>2628932544.8104</v>
      </c>
      <c r="K3792">
        <v>2783720822.9233999</v>
      </c>
      <c r="L3792">
        <v>2745702539.0352001</v>
      </c>
      <c r="M3792">
        <v>3760676258.9327998</v>
      </c>
      <c r="N3792">
        <v>3947354260.5510998</v>
      </c>
      <c r="O3792">
        <v>3849004123.8712001</v>
      </c>
      <c r="P3792">
        <v>7</v>
      </c>
      <c r="Q3792" t="s">
        <v>7931</v>
      </c>
    </row>
    <row r="3793" spans="1:17" x14ac:dyDescent="0.3">
      <c r="A3793" t="s">
        <v>4729</v>
      </c>
      <c r="B3793" t="str">
        <f>"200725"</f>
        <v>200725</v>
      </c>
      <c r="C3793" t="s">
        <v>7932</v>
      </c>
      <c r="F3793">
        <v>268172022834.71399</v>
      </c>
      <c r="G3793">
        <v>160778902955.56601</v>
      </c>
      <c r="H3793">
        <v>129812651598.43401</v>
      </c>
      <c r="I3793">
        <v>110558442728.49699</v>
      </c>
      <c r="J3793">
        <v>112579335153.843</v>
      </c>
      <c r="K3793">
        <v>76901334534.500595</v>
      </c>
      <c r="L3793">
        <v>58042149260.834396</v>
      </c>
      <c r="M3793">
        <v>46035122371.670403</v>
      </c>
      <c r="N3793">
        <v>43288501879.153999</v>
      </c>
      <c r="O3793">
        <v>32075312682.215599</v>
      </c>
      <c r="P3793">
        <v>85</v>
      </c>
      <c r="Q3793" t="s">
        <v>7933</v>
      </c>
    </row>
    <row r="3794" spans="1:17" x14ac:dyDescent="0.3">
      <c r="A3794" t="s">
        <v>4729</v>
      </c>
      <c r="B3794" t="str">
        <f>"200726"</f>
        <v>200726</v>
      </c>
      <c r="C3794" t="s">
        <v>7934</v>
      </c>
      <c r="F3794">
        <v>6405347200.3571997</v>
      </c>
      <c r="G3794">
        <v>5635424964.5503998</v>
      </c>
      <c r="H3794">
        <v>7607345150.7065001</v>
      </c>
      <c r="I3794">
        <v>7831808459.7390003</v>
      </c>
      <c r="J3794">
        <v>7692350698.809</v>
      </c>
      <c r="K3794">
        <v>6676830851.2889996</v>
      </c>
      <c r="L3794">
        <v>7369095401.2923002</v>
      </c>
      <c r="M3794">
        <v>7714578866.7672005</v>
      </c>
      <c r="N3794">
        <v>8303166653.6693001</v>
      </c>
      <c r="O3794">
        <v>7344446698.0724001</v>
      </c>
      <c r="P3794">
        <v>329</v>
      </c>
      <c r="Q3794" t="s">
        <v>7935</v>
      </c>
    </row>
    <row r="3795" spans="1:17" x14ac:dyDescent="0.3">
      <c r="A3795" t="s">
        <v>4729</v>
      </c>
      <c r="B3795" t="str">
        <f>"200761"</f>
        <v>200761</v>
      </c>
      <c r="C3795" t="s">
        <v>7936</v>
      </c>
      <c r="F3795">
        <v>95270970882.7668</v>
      </c>
      <c r="G3795">
        <v>57745032604.864601</v>
      </c>
      <c r="H3795">
        <v>58991203981.467003</v>
      </c>
      <c r="I3795">
        <v>57132058678.497002</v>
      </c>
      <c r="J3795">
        <v>48617528583.968803</v>
      </c>
      <c r="K3795">
        <v>32956935321.0462</v>
      </c>
      <c r="L3795">
        <v>34920068403.982201</v>
      </c>
      <c r="M3795">
        <v>51794178867.710403</v>
      </c>
      <c r="N3795">
        <v>51690120863.593803</v>
      </c>
      <c r="O3795">
        <v>55498868783.447601</v>
      </c>
      <c r="P3795">
        <v>41</v>
      </c>
      <c r="Q3795" t="s">
        <v>7937</v>
      </c>
    </row>
    <row r="3796" spans="1:17" x14ac:dyDescent="0.3">
      <c r="A3796" t="s">
        <v>4729</v>
      </c>
      <c r="B3796" t="str">
        <f>"200770"</f>
        <v>200770</v>
      </c>
      <c r="C3796" t="s">
        <v>7938</v>
      </c>
      <c r="K3796">
        <v>1612573442.5423999</v>
      </c>
      <c r="L3796">
        <v>1535630485.7871001</v>
      </c>
      <c r="M3796">
        <v>1184628507.7553</v>
      </c>
      <c r="N3796">
        <v>1110390092.9972999</v>
      </c>
      <c r="O3796">
        <v>956602488.50650001</v>
      </c>
      <c r="P3796">
        <v>0</v>
      </c>
      <c r="Q3796" t="s">
        <v>7939</v>
      </c>
    </row>
    <row r="3797" spans="1:17" x14ac:dyDescent="0.3">
      <c r="A3797" t="s">
        <v>4729</v>
      </c>
      <c r="B3797" t="str">
        <f>"200771"</f>
        <v>200771</v>
      </c>
      <c r="C3797" t="s">
        <v>7940</v>
      </c>
      <c r="F3797">
        <v>7077919286.6292</v>
      </c>
      <c r="G3797">
        <v>5333233705.0944996</v>
      </c>
      <c r="H3797">
        <v>4787010568.5015001</v>
      </c>
      <c r="I3797">
        <v>5285836441.2150002</v>
      </c>
      <c r="J3797">
        <v>4137260631.3337998</v>
      </c>
      <c r="K3797">
        <v>3611245631.6398001</v>
      </c>
      <c r="L3797">
        <v>3103706127.8424001</v>
      </c>
      <c r="M3797">
        <v>4654403832.7679996</v>
      </c>
      <c r="N3797">
        <v>6491353813.6279001</v>
      </c>
      <c r="O3797">
        <v>5694522223.2010002</v>
      </c>
      <c r="P3797">
        <v>65</v>
      </c>
      <c r="Q3797" t="s">
        <v>7941</v>
      </c>
    </row>
    <row r="3798" spans="1:17" x14ac:dyDescent="0.3">
      <c r="A3798" t="s">
        <v>4729</v>
      </c>
      <c r="B3798" t="str">
        <f>"200869"</f>
        <v>200869</v>
      </c>
      <c r="C3798" t="s">
        <v>7942</v>
      </c>
      <c r="F3798">
        <v>4833811040.4924002</v>
      </c>
      <c r="G3798">
        <v>4027286313.3860998</v>
      </c>
      <c r="H3798">
        <v>5627186350.4464998</v>
      </c>
      <c r="I3798">
        <v>5854445636.4899998</v>
      </c>
      <c r="J3798">
        <v>5920040783.8458004</v>
      </c>
      <c r="K3798">
        <v>5265781182.0464001</v>
      </c>
      <c r="L3798">
        <v>5550373590.6815996</v>
      </c>
      <c r="M3798">
        <v>5197572097.2600002</v>
      </c>
      <c r="N3798">
        <v>5538159784.7323999</v>
      </c>
      <c r="O3798">
        <v>7023938126.2637997</v>
      </c>
      <c r="P3798">
        <v>348</v>
      </c>
      <c r="Q3798" t="s">
        <v>7943</v>
      </c>
    </row>
    <row r="3799" spans="1:17" x14ac:dyDescent="0.3">
      <c r="A3799" t="s">
        <v>4729</v>
      </c>
      <c r="B3799" t="str">
        <f>"200986"</f>
        <v>200986</v>
      </c>
      <c r="C3799" t="s">
        <v>7944</v>
      </c>
      <c r="G3799">
        <v>4820395353.2264004</v>
      </c>
      <c r="H3799">
        <v>4396409639.3409996</v>
      </c>
      <c r="I3799">
        <v>4193100673.3439999</v>
      </c>
      <c r="J3799">
        <v>4300505806.7292004</v>
      </c>
      <c r="K3799">
        <v>4026980488.6448002</v>
      </c>
      <c r="L3799">
        <v>3917775916.8315001</v>
      </c>
      <c r="M3799">
        <v>4442294474.4863997</v>
      </c>
      <c r="N3799">
        <v>5134630947.3220997</v>
      </c>
      <c r="O3799">
        <v>4538685609.1485996</v>
      </c>
      <c r="P3799">
        <v>8</v>
      </c>
      <c r="Q3799" t="s">
        <v>7945</v>
      </c>
    </row>
    <row r="3800" spans="1:17" x14ac:dyDescent="0.3">
      <c r="A3800" t="s">
        <v>4729</v>
      </c>
      <c r="B3800" t="str">
        <f>"200992"</f>
        <v>200992</v>
      </c>
      <c r="C3800" t="s">
        <v>7946</v>
      </c>
      <c r="F3800">
        <v>1142442967.9884</v>
      </c>
      <c r="G3800">
        <v>1146025263.0220001</v>
      </c>
      <c r="H3800">
        <v>1262732703.5055001</v>
      </c>
      <c r="I3800">
        <v>1165081761.756</v>
      </c>
      <c r="J3800">
        <v>1109124966.5572</v>
      </c>
      <c r="K3800">
        <v>944168487.824</v>
      </c>
      <c r="L3800">
        <v>863908148.68110001</v>
      </c>
      <c r="M3800">
        <v>748215223.52880001</v>
      </c>
      <c r="N3800">
        <v>710377978.72790003</v>
      </c>
      <c r="O3800">
        <v>543398183.48339999</v>
      </c>
      <c r="P3800">
        <v>22</v>
      </c>
      <c r="Q3800" t="s">
        <v>7947</v>
      </c>
    </row>
    <row r="3801" spans="1:17" x14ac:dyDescent="0.3">
      <c r="A3801" t="s">
        <v>4729</v>
      </c>
      <c r="B3801" t="str">
        <f>"201872"</f>
        <v>201872</v>
      </c>
      <c r="C3801" t="s">
        <v>7948</v>
      </c>
      <c r="F3801">
        <v>18689040636.389999</v>
      </c>
      <c r="G3801">
        <v>14966838428.2556</v>
      </c>
      <c r="H3801">
        <v>13560503210.743999</v>
      </c>
      <c r="I3801">
        <v>11047314778.2855</v>
      </c>
      <c r="J3801">
        <v>2947953845.7670002</v>
      </c>
      <c r="K3801">
        <v>2126480589.668</v>
      </c>
      <c r="L3801">
        <v>2235332881.0451999</v>
      </c>
      <c r="M3801">
        <v>2256679626.4703999</v>
      </c>
      <c r="N3801">
        <v>2282419107.3011999</v>
      </c>
      <c r="O3801">
        <v>2220174899.6209998</v>
      </c>
      <c r="P3801">
        <v>90</v>
      </c>
      <c r="Q3801" t="s">
        <v>7949</v>
      </c>
    </row>
    <row r="3802" spans="1:17" x14ac:dyDescent="0.3">
      <c r="A3802" t="s">
        <v>4729</v>
      </c>
      <c r="B3802" t="str">
        <f>"300001"</f>
        <v>300001</v>
      </c>
      <c r="C3802" t="s">
        <v>7950</v>
      </c>
      <c r="D3802" t="s">
        <v>210</v>
      </c>
      <c r="F3802">
        <v>9441075946</v>
      </c>
      <c r="G3802">
        <v>7420617422</v>
      </c>
      <c r="H3802">
        <v>6739086129</v>
      </c>
      <c r="I3802">
        <v>5903623163</v>
      </c>
      <c r="J3802">
        <v>5104997738</v>
      </c>
      <c r="K3802">
        <v>6108506279</v>
      </c>
      <c r="L3802">
        <v>3001981472</v>
      </c>
      <c r="M3802">
        <v>1932054240</v>
      </c>
      <c r="N3802">
        <v>1353249280</v>
      </c>
      <c r="O3802">
        <v>663931003</v>
      </c>
      <c r="P3802">
        <v>530</v>
      </c>
      <c r="Q3802" t="s">
        <v>7951</v>
      </c>
    </row>
    <row r="3803" spans="1:17" x14ac:dyDescent="0.3">
      <c r="A3803" t="s">
        <v>4729</v>
      </c>
      <c r="B3803" t="str">
        <f>"300002"</f>
        <v>300002</v>
      </c>
      <c r="C3803" t="s">
        <v>7952</v>
      </c>
      <c r="D3803" t="s">
        <v>517</v>
      </c>
      <c r="F3803">
        <v>4314268658</v>
      </c>
      <c r="G3803">
        <v>3595794691</v>
      </c>
      <c r="H3803">
        <v>1777248242</v>
      </c>
      <c r="I3803">
        <v>2019455697</v>
      </c>
      <c r="J3803">
        <v>2026498700</v>
      </c>
      <c r="K3803">
        <v>2936581931</v>
      </c>
      <c r="L3803">
        <v>2773487309</v>
      </c>
      <c r="M3803">
        <v>2548844392</v>
      </c>
      <c r="N3803">
        <v>1906466509</v>
      </c>
      <c r="O3803">
        <v>1409512910</v>
      </c>
      <c r="P3803">
        <v>284</v>
      </c>
      <c r="Q3803" t="s">
        <v>7953</v>
      </c>
    </row>
    <row r="3804" spans="1:17" x14ac:dyDescent="0.3">
      <c r="A3804" t="s">
        <v>4729</v>
      </c>
      <c r="B3804" t="str">
        <f>"300003"</f>
        <v>300003</v>
      </c>
      <c r="C3804" t="s">
        <v>7954</v>
      </c>
      <c r="D3804" t="s">
        <v>1077</v>
      </c>
      <c r="F3804">
        <v>10659734875</v>
      </c>
      <c r="G3804">
        <v>8038667541</v>
      </c>
      <c r="H3804">
        <v>7795529386</v>
      </c>
      <c r="I3804">
        <v>6356304792</v>
      </c>
      <c r="J3804">
        <v>4537642656</v>
      </c>
      <c r="K3804">
        <v>3467748234</v>
      </c>
      <c r="L3804">
        <v>2768717464</v>
      </c>
      <c r="M3804">
        <v>1668636956</v>
      </c>
      <c r="N3804">
        <v>1303267832</v>
      </c>
      <c r="O3804">
        <v>1015920080</v>
      </c>
      <c r="P3804">
        <v>3267</v>
      </c>
      <c r="Q3804" t="s">
        <v>7955</v>
      </c>
    </row>
    <row r="3805" spans="1:17" x14ac:dyDescent="0.3">
      <c r="A3805" t="s">
        <v>4729</v>
      </c>
      <c r="B3805" t="str">
        <f>"300004"</f>
        <v>300004</v>
      </c>
      <c r="C3805" t="s">
        <v>7956</v>
      </c>
      <c r="D3805" t="s">
        <v>741</v>
      </c>
      <c r="F3805">
        <v>842239960</v>
      </c>
      <c r="G3805">
        <v>798608044</v>
      </c>
      <c r="H3805">
        <v>848682355</v>
      </c>
      <c r="I3805">
        <v>951670131</v>
      </c>
      <c r="J3805">
        <v>875516776</v>
      </c>
      <c r="K3805">
        <v>894917804</v>
      </c>
      <c r="L3805">
        <v>820028578</v>
      </c>
      <c r="M3805">
        <v>818362884</v>
      </c>
      <c r="N3805">
        <v>407474264</v>
      </c>
      <c r="O3805">
        <v>347316587</v>
      </c>
      <c r="P3805">
        <v>84</v>
      </c>
      <c r="Q3805" t="s">
        <v>7957</v>
      </c>
    </row>
    <row r="3806" spans="1:17" x14ac:dyDescent="0.3">
      <c r="A3806" t="s">
        <v>4729</v>
      </c>
      <c r="B3806" t="str">
        <f>"300005"</f>
        <v>300005</v>
      </c>
      <c r="C3806" t="s">
        <v>7958</v>
      </c>
      <c r="D3806" t="s">
        <v>3017</v>
      </c>
      <c r="F3806">
        <v>1242687503</v>
      </c>
      <c r="G3806">
        <v>912175257</v>
      </c>
      <c r="H3806">
        <v>1511223113</v>
      </c>
      <c r="I3806">
        <v>1991684419</v>
      </c>
      <c r="J3806">
        <v>3033531403</v>
      </c>
      <c r="K3806">
        <v>2877833343</v>
      </c>
      <c r="L3806">
        <v>3807592035</v>
      </c>
      <c r="M3806">
        <v>1715241927</v>
      </c>
      <c r="N3806">
        <v>1445348131</v>
      </c>
      <c r="O3806">
        <v>1105531033</v>
      </c>
      <c r="P3806">
        <v>181</v>
      </c>
      <c r="Q3806" t="s">
        <v>7959</v>
      </c>
    </row>
    <row r="3807" spans="1:17" x14ac:dyDescent="0.3">
      <c r="A3807" t="s">
        <v>4729</v>
      </c>
      <c r="B3807" t="str">
        <f>"300006"</f>
        <v>300006</v>
      </c>
      <c r="C3807" t="s">
        <v>7960</v>
      </c>
      <c r="D3807" t="s">
        <v>143</v>
      </c>
      <c r="F3807">
        <v>1225224189</v>
      </c>
      <c r="G3807">
        <v>1583529914</v>
      </c>
      <c r="H3807">
        <v>1859010760</v>
      </c>
      <c r="I3807">
        <v>1562367032</v>
      </c>
      <c r="J3807">
        <v>1282070992</v>
      </c>
      <c r="K3807">
        <v>990216373</v>
      </c>
      <c r="L3807">
        <v>963975193</v>
      </c>
      <c r="M3807">
        <v>911801665</v>
      </c>
      <c r="N3807">
        <v>759117979</v>
      </c>
      <c r="O3807">
        <v>631461353</v>
      </c>
      <c r="P3807">
        <v>136</v>
      </c>
      <c r="Q3807" t="s">
        <v>7961</v>
      </c>
    </row>
    <row r="3808" spans="1:17" x14ac:dyDescent="0.3">
      <c r="A3808" t="s">
        <v>4729</v>
      </c>
      <c r="B3808" t="str">
        <f>"300007"</f>
        <v>300007</v>
      </c>
      <c r="C3808" t="s">
        <v>7962</v>
      </c>
      <c r="D3808" t="s">
        <v>2566</v>
      </c>
      <c r="F3808">
        <v>2316212045</v>
      </c>
      <c r="G3808">
        <v>1941168911</v>
      </c>
      <c r="H3808">
        <v>1819480487</v>
      </c>
      <c r="I3808">
        <v>1512330589</v>
      </c>
      <c r="J3808">
        <v>1444179090</v>
      </c>
      <c r="K3808">
        <v>1107719248</v>
      </c>
      <c r="L3808">
        <v>746718624</v>
      </c>
      <c r="M3808">
        <v>399306830</v>
      </c>
      <c r="N3808">
        <v>302472420</v>
      </c>
      <c r="O3808">
        <v>264491528</v>
      </c>
      <c r="P3808">
        <v>314</v>
      </c>
      <c r="Q3808" t="s">
        <v>7963</v>
      </c>
    </row>
    <row r="3809" spans="1:17" x14ac:dyDescent="0.3">
      <c r="A3809" t="s">
        <v>4729</v>
      </c>
      <c r="B3809" t="str">
        <f>"300008"</f>
        <v>300008</v>
      </c>
      <c r="C3809" t="s">
        <v>7964</v>
      </c>
      <c r="D3809" t="s">
        <v>167</v>
      </c>
      <c r="F3809">
        <v>1421746410</v>
      </c>
      <c r="G3809">
        <v>523552745</v>
      </c>
      <c r="H3809">
        <v>589369325</v>
      </c>
      <c r="I3809">
        <v>1028627302</v>
      </c>
      <c r="J3809">
        <v>1483928878</v>
      </c>
      <c r="K3809">
        <v>1517999954</v>
      </c>
      <c r="L3809">
        <v>1196842724</v>
      </c>
      <c r="M3809">
        <v>846669359</v>
      </c>
      <c r="N3809">
        <v>236938440</v>
      </c>
      <c r="O3809">
        <v>266539224</v>
      </c>
      <c r="P3809">
        <v>107</v>
      </c>
      <c r="Q3809" t="s">
        <v>7965</v>
      </c>
    </row>
    <row r="3810" spans="1:17" x14ac:dyDescent="0.3">
      <c r="A3810" t="s">
        <v>4729</v>
      </c>
      <c r="B3810" t="str">
        <f>"300009"</f>
        <v>300009</v>
      </c>
      <c r="C3810" t="s">
        <v>7966</v>
      </c>
      <c r="D3810" t="s">
        <v>1379</v>
      </c>
      <c r="F3810">
        <v>2168765206</v>
      </c>
      <c r="G3810">
        <v>1701417216</v>
      </c>
      <c r="H3810">
        <v>1712529669</v>
      </c>
      <c r="I3810">
        <v>1461550203</v>
      </c>
      <c r="J3810">
        <v>1096268315</v>
      </c>
      <c r="K3810">
        <v>849216434</v>
      </c>
      <c r="L3810">
        <v>635755075</v>
      </c>
      <c r="M3810">
        <v>542405933</v>
      </c>
      <c r="N3810">
        <v>430346122</v>
      </c>
      <c r="O3810">
        <v>337940100</v>
      </c>
      <c r="P3810">
        <v>840</v>
      </c>
      <c r="Q3810" t="s">
        <v>7967</v>
      </c>
    </row>
    <row r="3811" spans="1:17" x14ac:dyDescent="0.3">
      <c r="A3811" t="s">
        <v>4729</v>
      </c>
      <c r="B3811" t="str">
        <f>"300010"</f>
        <v>300010</v>
      </c>
      <c r="C3811" t="s">
        <v>7968</v>
      </c>
      <c r="D3811" t="s">
        <v>1336</v>
      </c>
      <c r="F3811">
        <v>1122117271</v>
      </c>
      <c r="G3811">
        <v>1386158997</v>
      </c>
      <c r="H3811">
        <v>1979337719</v>
      </c>
      <c r="I3811">
        <v>1952377778</v>
      </c>
      <c r="J3811">
        <v>2161075107</v>
      </c>
      <c r="K3811">
        <v>1883633834</v>
      </c>
      <c r="L3811">
        <v>1023145466</v>
      </c>
      <c r="M3811">
        <v>847031232</v>
      </c>
      <c r="N3811">
        <v>617788347</v>
      </c>
      <c r="O3811">
        <v>522597024</v>
      </c>
      <c r="P3811">
        <v>262</v>
      </c>
      <c r="Q3811" t="s">
        <v>7969</v>
      </c>
    </row>
    <row r="3812" spans="1:17" x14ac:dyDescent="0.3">
      <c r="A3812" t="s">
        <v>4729</v>
      </c>
      <c r="B3812" t="str">
        <f>"300011"</f>
        <v>300011</v>
      </c>
      <c r="C3812" t="s">
        <v>7970</v>
      </c>
      <c r="D3812" t="s">
        <v>1012</v>
      </c>
      <c r="F3812">
        <v>1381722788</v>
      </c>
      <c r="G3812">
        <v>1219750005</v>
      </c>
      <c r="H3812">
        <v>1600082356</v>
      </c>
      <c r="I3812">
        <v>1357128761</v>
      </c>
      <c r="J3812">
        <v>1236580675</v>
      </c>
      <c r="K3812">
        <v>953988372</v>
      </c>
      <c r="L3812">
        <v>1144577635</v>
      </c>
      <c r="M3812">
        <v>795722952</v>
      </c>
      <c r="N3812">
        <v>451767774</v>
      </c>
      <c r="O3812">
        <v>272325977</v>
      </c>
      <c r="P3812">
        <v>109</v>
      </c>
      <c r="Q3812" t="s">
        <v>7971</v>
      </c>
    </row>
    <row r="3813" spans="1:17" x14ac:dyDescent="0.3">
      <c r="A3813" t="s">
        <v>4729</v>
      </c>
      <c r="B3813" t="str">
        <f>"300012"</f>
        <v>300012</v>
      </c>
      <c r="C3813" t="s">
        <v>7972</v>
      </c>
      <c r="D3813" t="s">
        <v>2510</v>
      </c>
      <c r="F3813">
        <v>4329088629</v>
      </c>
      <c r="G3813">
        <v>3567712762</v>
      </c>
      <c r="H3813">
        <v>3183255713</v>
      </c>
      <c r="I3813">
        <v>2680881245</v>
      </c>
      <c r="J3813">
        <v>2118230538</v>
      </c>
      <c r="K3813">
        <v>1652260675</v>
      </c>
      <c r="L3813">
        <v>1287835397</v>
      </c>
      <c r="M3813">
        <v>926045515</v>
      </c>
      <c r="N3813">
        <v>776924650</v>
      </c>
      <c r="O3813">
        <v>616368724</v>
      </c>
      <c r="P3813">
        <v>1302</v>
      </c>
      <c r="Q3813" t="s">
        <v>7973</v>
      </c>
    </row>
    <row r="3814" spans="1:17" x14ac:dyDescent="0.3">
      <c r="A3814" t="s">
        <v>4729</v>
      </c>
      <c r="B3814" t="str">
        <f>"300013"</f>
        <v>300013</v>
      </c>
      <c r="C3814" t="s">
        <v>7974</v>
      </c>
      <c r="D3814" t="s">
        <v>3125</v>
      </c>
      <c r="F3814">
        <v>883432248</v>
      </c>
      <c r="G3814">
        <v>806714035</v>
      </c>
      <c r="H3814">
        <v>898624298</v>
      </c>
      <c r="I3814">
        <v>1044880718</v>
      </c>
      <c r="J3814">
        <v>902338885</v>
      </c>
      <c r="K3814">
        <v>758686910</v>
      </c>
      <c r="L3814">
        <v>590274020</v>
      </c>
      <c r="M3814">
        <v>404288366</v>
      </c>
      <c r="N3814">
        <v>368341989</v>
      </c>
      <c r="O3814">
        <v>325910777</v>
      </c>
      <c r="P3814">
        <v>70</v>
      </c>
      <c r="Q3814" t="s">
        <v>7975</v>
      </c>
    </row>
    <row r="3815" spans="1:17" x14ac:dyDescent="0.3">
      <c r="A3815" t="s">
        <v>4729</v>
      </c>
      <c r="B3815" t="str">
        <f>"300014"</f>
        <v>300014</v>
      </c>
      <c r="C3815" t="s">
        <v>7976</v>
      </c>
      <c r="D3815" t="s">
        <v>359</v>
      </c>
      <c r="F3815">
        <v>16899804086</v>
      </c>
      <c r="G3815">
        <v>8161806164</v>
      </c>
      <c r="H3815">
        <v>6411641552</v>
      </c>
      <c r="I3815">
        <v>4351190560</v>
      </c>
      <c r="J3815">
        <v>2982304750</v>
      </c>
      <c r="K3815">
        <v>2339712008</v>
      </c>
      <c r="L3815">
        <v>1348932918</v>
      </c>
      <c r="M3815">
        <v>1208923955</v>
      </c>
      <c r="N3815">
        <v>1039066507</v>
      </c>
      <c r="O3815">
        <v>606097650</v>
      </c>
      <c r="P3815">
        <v>2493</v>
      </c>
      <c r="Q3815" t="s">
        <v>7977</v>
      </c>
    </row>
    <row r="3816" spans="1:17" x14ac:dyDescent="0.3">
      <c r="A3816" t="s">
        <v>4729</v>
      </c>
      <c r="B3816" t="str">
        <f>"300015"</f>
        <v>300015</v>
      </c>
      <c r="C3816" t="s">
        <v>7978</v>
      </c>
      <c r="D3816" t="s">
        <v>1147</v>
      </c>
      <c r="F3816">
        <v>15000809438</v>
      </c>
      <c r="G3816">
        <v>11912409985</v>
      </c>
      <c r="H3816">
        <v>9990103976</v>
      </c>
      <c r="I3816">
        <v>8008573955</v>
      </c>
      <c r="J3816">
        <v>5962845560</v>
      </c>
      <c r="K3816">
        <v>4000401671</v>
      </c>
      <c r="L3816">
        <v>3165580471</v>
      </c>
      <c r="M3816">
        <v>2402047617</v>
      </c>
      <c r="N3816">
        <v>1984967287</v>
      </c>
      <c r="O3816">
        <v>1640130451</v>
      </c>
      <c r="P3816">
        <v>11090</v>
      </c>
      <c r="Q3816" t="s">
        <v>7979</v>
      </c>
    </row>
    <row r="3817" spans="1:17" x14ac:dyDescent="0.3">
      <c r="A3817" t="s">
        <v>4729</v>
      </c>
      <c r="B3817" t="str">
        <f>"300016"</f>
        <v>300016</v>
      </c>
      <c r="C3817" t="s">
        <v>7980</v>
      </c>
      <c r="D3817" t="s">
        <v>143</v>
      </c>
      <c r="F3817">
        <v>843901446</v>
      </c>
      <c r="G3817">
        <v>827337626</v>
      </c>
      <c r="H3817">
        <v>819119390</v>
      </c>
      <c r="I3817">
        <v>608053473</v>
      </c>
      <c r="J3817">
        <v>522538130</v>
      </c>
      <c r="K3817">
        <v>498860619</v>
      </c>
      <c r="L3817">
        <v>491430960</v>
      </c>
      <c r="M3817">
        <v>439980366</v>
      </c>
      <c r="N3817">
        <v>331615821</v>
      </c>
      <c r="O3817">
        <v>273979344</v>
      </c>
      <c r="P3817">
        <v>305</v>
      </c>
      <c r="Q3817" t="s">
        <v>7981</v>
      </c>
    </row>
    <row r="3818" spans="1:17" x14ac:dyDescent="0.3">
      <c r="A3818" t="s">
        <v>4729</v>
      </c>
      <c r="B3818" t="str">
        <f>"300017"</f>
        <v>300017</v>
      </c>
      <c r="C3818" t="s">
        <v>7982</v>
      </c>
      <c r="D3818" t="s">
        <v>316</v>
      </c>
      <c r="F3818">
        <v>4575014681</v>
      </c>
      <c r="G3818">
        <v>5686641003</v>
      </c>
      <c r="H3818">
        <v>6007497816</v>
      </c>
      <c r="I3818">
        <v>6337460593</v>
      </c>
      <c r="J3818">
        <v>5372671118</v>
      </c>
      <c r="K3818">
        <v>4446527249</v>
      </c>
      <c r="L3818">
        <v>2931661538</v>
      </c>
      <c r="M3818">
        <v>1910767116</v>
      </c>
      <c r="N3818">
        <v>1204990980</v>
      </c>
      <c r="O3818">
        <v>814799486</v>
      </c>
      <c r="P3818">
        <v>759</v>
      </c>
      <c r="Q3818" t="s">
        <v>7983</v>
      </c>
    </row>
    <row r="3819" spans="1:17" x14ac:dyDescent="0.3">
      <c r="A3819" t="s">
        <v>4729</v>
      </c>
      <c r="B3819" t="str">
        <f>"300018"</f>
        <v>300018</v>
      </c>
      <c r="C3819" t="s">
        <v>7984</v>
      </c>
      <c r="D3819" t="s">
        <v>610</v>
      </c>
      <c r="F3819">
        <v>420509087</v>
      </c>
      <c r="G3819">
        <v>406391732</v>
      </c>
      <c r="H3819">
        <v>393913219</v>
      </c>
      <c r="I3819">
        <v>376223053</v>
      </c>
      <c r="J3819">
        <v>404040310</v>
      </c>
      <c r="K3819">
        <v>359010984</v>
      </c>
      <c r="L3819">
        <v>270961136</v>
      </c>
      <c r="M3819">
        <v>225106837</v>
      </c>
      <c r="N3819">
        <v>205221494</v>
      </c>
      <c r="O3819">
        <v>223306833</v>
      </c>
      <c r="P3819">
        <v>127</v>
      </c>
      <c r="Q3819" t="s">
        <v>7985</v>
      </c>
    </row>
    <row r="3820" spans="1:17" x14ac:dyDescent="0.3">
      <c r="A3820" t="s">
        <v>4729</v>
      </c>
      <c r="B3820" t="str">
        <f>"300019"</f>
        <v>300019</v>
      </c>
      <c r="C3820" t="s">
        <v>7986</v>
      </c>
      <c r="D3820" t="s">
        <v>1205</v>
      </c>
      <c r="F3820">
        <v>2555679739</v>
      </c>
      <c r="G3820">
        <v>1523634033</v>
      </c>
      <c r="H3820">
        <v>1018035009</v>
      </c>
      <c r="I3820">
        <v>870572981</v>
      </c>
      <c r="J3820">
        <v>728230613</v>
      </c>
      <c r="K3820">
        <v>652473399</v>
      </c>
      <c r="L3820">
        <v>606156362</v>
      </c>
      <c r="M3820">
        <v>549499629</v>
      </c>
      <c r="N3820">
        <v>464671690</v>
      </c>
      <c r="O3820">
        <v>372037836</v>
      </c>
      <c r="P3820">
        <v>295</v>
      </c>
      <c r="Q3820" t="s">
        <v>7987</v>
      </c>
    </row>
    <row r="3821" spans="1:17" x14ac:dyDescent="0.3">
      <c r="A3821" t="s">
        <v>4729</v>
      </c>
      <c r="B3821" t="str">
        <f>"300020"</f>
        <v>300020</v>
      </c>
      <c r="C3821" t="s">
        <v>7988</v>
      </c>
      <c r="D3821" t="s">
        <v>316</v>
      </c>
      <c r="F3821">
        <v>1999686204</v>
      </c>
      <c r="G3821">
        <v>2138181930</v>
      </c>
      <c r="H3821">
        <v>2079504435</v>
      </c>
      <c r="I3821">
        <v>2413277807</v>
      </c>
      <c r="J3821">
        <v>1942221214</v>
      </c>
      <c r="K3821">
        <v>1655303898</v>
      </c>
      <c r="L3821">
        <v>1935002049</v>
      </c>
      <c r="M3821">
        <v>2319053655</v>
      </c>
      <c r="N3821">
        <v>1854656450</v>
      </c>
      <c r="O3821">
        <v>1487450366</v>
      </c>
      <c r="P3821">
        <v>237</v>
      </c>
      <c r="Q3821" t="s">
        <v>7989</v>
      </c>
    </row>
    <row r="3822" spans="1:17" x14ac:dyDescent="0.3">
      <c r="A3822" t="s">
        <v>4729</v>
      </c>
      <c r="B3822" t="str">
        <f>"300021"</f>
        <v>300021</v>
      </c>
      <c r="C3822" t="s">
        <v>7990</v>
      </c>
      <c r="D3822" t="s">
        <v>6903</v>
      </c>
      <c r="F3822">
        <v>3515088578</v>
      </c>
      <c r="G3822">
        <v>2017704488</v>
      </c>
      <c r="H3822">
        <v>2165853141</v>
      </c>
      <c r="I3822">
        <v>1779589085</v>
      </c>
      <c r="J3822">
        <v>1284423666</v>
      </c>
      <c r="K3822">
        <v>1029195760</v>
      </c>
      <c r="L3822">
        <v>1160097898</v>
      </c>
      <c r="M3822">
        <v>789115049</v>
      </c>
      <c r="N3822">
        <v>721505769</v>
      </c>
      <c r="O3822">
        <v>570247275</v>
      </c>
      <c r="P3822">
        <v>174</v>
      </c>
      <c r="Q3822" t="s">
        <v>7991</v>
      </c>
    </row>
    <row r="3823" spans="1:17" x14ac:dyDescent="0.3">
      <c r="A3823" t="s">
        <v>4729</v>
      </c>
      <c r="B3823" t="str">
        <f>"300022"</f>
        <v>300022</v>
      </c>
      <c r="C3823" t="s">
        <v>7992</v>
      </c>
      <c r="D3823" t="s">
        <v>295</v>
      </c>
      <c r="F3823">
        <v>2386063734</v>
      </c>
      <c r="G3823">
        <v>2496984038</v>
      </c>
      <c r="H3823">
        <v>2295229259</v>
      </c>
      <c r="I3823">
        <v>2972935403</v>
      </c>
      <c r="J3823">
        <v>3097332642</v>
      </c>
      <c r="K3823">
        <v>3566285746</v>
      </c>
      <c r="L3823">
        <v>3285005430</v>
      </c>
      <c r="M3823">
        <v>3897486405</v>
      </c>
      <c r="N3823">
        <v>5953765434</v>
      </c>
      <c r="O3823">
        <v>5790683307</v>
      </c>
      <c r="P3823">
        <v>63</v>
      </c>
      <c r="Q3823" t="s">
        <v>7993</v>
      </c>
    </row>
    <row r="3824" spans="1:17" x14ac:dyDescent="0.3">
      <c r="A3824" t="s">
        <v>4729</v>
      </c>
      <c r="B3824" t="str">
        <f>"300023"</f>
        <v>300023</v>
      </c>
      <c r="C3824" t="s">
        <v>7994</v>
      </c>
      <c r="D3824" t="s">
        <v>140</v>
      </c>
      <c r="F3824">
        <v>60850083</v>
      </c>
      <c r="G3824">
        <v>32644695</v>
      </c>
      <c r="H3824">
        <v>124817328</v>
      </c>
      <c r="I3824">
        <v>418236047</v>
      </c>
      <c r="J3824">
        <v>721537564</v>
      </c>
      <c r="K3824">
        <v>677069806</v>
      </c>
      <c r="L3824">
        <v>332773586</v>
      </c>
      <c r="M3824">
        <v>90750271</v>
      </c>
      <c r="N3824">
        <v>44718491</v>
      </c>
      <c r="O3824">
        <v>63684379</v>
      </c>
      <c r="P3824">
        <v>61</v>
      </c>
      <c r="Q3824" t="s">
        <v>7995</v>
      </c>
    </row>
    <row r="3825" spans="1:17" x14ac:dyDescent="0.3">
      <c r="A3825" t="s">
        <v>4729</v>
      </c>
      <c r="B3825" t="str">
        <f>"300024"</f>
        <v>300024</v>
      </c>
      <c r="C3825" t="s">
        <v>2938</v>
      </c>
      <c r="D3825" t="s">
        <v>2938</v>
      </c>
      <c r="F3825">
        <v>3298191289</v>
      </c>
      <c r="G3825">
        <v>2659636080</v>
      </c>
      <c r="H3825">
        <v>2745485120</v>
      </c>
      <c r="I3825">
        <v>3094726945</v>
      </c>
      <c r="J3825">
        <v>2455063972</v>
      </c>
      <c r="K3825">
        <v>2033481030</v>
      </c>
      <c r="L3825">
        <v>1685391508</v>
      </c>
      <c r="M3825">
        <v>1523535057</v>
      </c>
      <c r="N3825">
        <v>1319075626</v>
      </c>
      <c r="O3825">
        <v>1044419979</v>
      </c>
      <c r="P3825">
        <v>547</v>
      </c>
      <c r="Q3825" t="s">
        <v>7996</v>
      </c>
    </row>
    <row r="3826" spans="1:17" x14ac:dyDescent="0.3">
      <c r="A3826" t="s">
        <v>4729</v>
      </c>
      <c r="B3826" t="str">
        <f>"300025"</f>
        <v>300025</v>
      </c>
      <c r="C3826" t="s">
        <v>7997</v>
      </c>
      <c r="D3826" t="s">
        <v>654</v>
      </c>
      <c r="F3826">
        <v>716526546</v>
      </c>
      <c r="G3826">
        <v>794262006</v>
      </c>
      <c r="H3826">
        <v>1046948302</v>
      </c>
      <c r="I3826">
        <v>1363927579</v>
      </c>
      <c r="J3826">
        <v>1415404854</v>
      </c>
      <c r="K3826">
        <v>1310119642</v>
      </c>
      <c r="L3826">
        <v>1281457219</v>
      </c>
      <c r="M3826">
        <v>1058755552</v>
      </c>
      <c r="N3826">
        <v>716417048</v>
      </c>
      <c r="O3826">
        <v>626906121</v>
      </c>
      <c r="P3826">
        <v>223</v>
      </c>
      <c r="Q3826" t="s">
        <v>7998</v>
      </c>
    </row>
    <row r="3827" spans="1:17" x14ac:dyDescent="0.3">
      <c r="A3827" t="s">
        <v>4729</v>
      </c>
      <c r="B3827" t="str">
        <f>"300026"</f>
        <v>300026</v>
      </c>
      <c r="C3827" t="s">
        <v>7999</v>
      </c>
      <c r="D3827" t="s">
        <v>188</v>
      </c>
      <c r="F3827">
        <v>7670525029</v>
      </c>
      <c r="G3827">
        <v>6488115933</v>
      </c>
      <c r="H3827">
        <v>5002938538</v>
      </c>
      <c r="I3827">
        <v>4223964734</v>
      </c>
      <c r="J3827">
        <v>3374018962</v>
      </c>
      <c r="K3827">
        <v>3867017307</v>
      </c>
      <c r="L3827">
        <v>3348250748</v>
      </c>
      <c r="M3827">
        <v>2863559600</v>
      </c>
      <c r="N3827">
        <v>2097201203</v>
      </c>
      <c r="O3827">
        <v>1229251678</v>
      </c>
      <c r="P3827">
        <v>417</v>
      </c>
      <c r="Q3827" t="s">
        <v>8000</v>
      </c>
    </row>
    <row r="3828" spans="1:17" x14ac:dyDescent="0.3">
      <c r="A3828" t="s">
        <v>4729</v>
      </c>
      <c r="B3828" t="str">
        <f>"300027"</f>
        <v>300027</v>
      </c>
      <c r="C3828" t="s">
        <v>8001</v>
      </c>
      <c r="D3828" t="s">
        <v>113</v>
      </c>
      <c r="F3828">
        <v>1399063819</v>
      </c>
      <c r="G3828">
        <v>1499998802</v>
      </c>
      <c r="H3828">
        <v>2243545642</v>
      </c>
      <c r="I3828">
        <v>3814468574</v>
      </c>
      <c r="J3828">
        <v>3946276084</v>
      </c>
      <c r="K3828">
        <v>3503457273</v>
      </c>
      <c r="L3828">
        <v>3873565085</v>
      </c>
      <c r="M3828">
        <v>2389022827</v>
      </c>
      <c r="N3828">
        <v>2013963791</v>
      </c>
      <c r="O3828">
        <v>1386401582</v>
      </c>
      <c r="P3828">
        <v>475</v>
      </c>
      <c r="Q3828" t="s">
        <v>8002</v>
      </c>
    </row>
    <row r="3829" spans="1:17" x14ac:dyDescent="0.3">
      <c r="A3829" t="s">
        <v>4729</v>
      </c>
      <c r="B3829" t="str">
        <f>"300028"</f>
        <v>300028</v>
      </c>
      <c r="C3829" t="s">
        <v>8003</v>
      </c>
      <c r="H3829">
        <v>3246329</v>
      </c>
      <c r="I3829">
        <v>13157424</v>
      </c>
      <c r="J3829">
        <v>22919324</v>
      </c>
      <c r="K3829">
        <v>143450239</v>
      </c>
      <c r="L3829">
        <v>248379773</v>
      </c>
      <c r="M3829">
        <v>558229470</v>
      </c>
      <c r="N3829">
        <v>593578989</v>
      </c>
      <c r="O3829">
        <v>476496995</v>
      </c>
      <c r="P3829">
        <v>31</v>
      </c>
      <c r="Q3829" t="s">
        <v>8004</v>
      </c>
    </row>
    <row r="3830" spans="1:17" x14ac:dyDescent="0.3">
      <c r="A3830" t="s">
        <v>4729</v>
      </c>
      <c r="B3830" t="str">
        <f>"300029"</f>
        <v>300029</v>
      </c>
      <c r="C3830" t="s">
        <v>8005</v>
      </c>
      <c r="D3830" t="s">
        <v>2671</v>
      </c>
      <c r="F3830">
        <v>317170710</v>
      </c>
      <c r="G3830">
        <v>112525654</v>
      </c>
      <c r="H3830">
        <v>17186793</v>
      </c>
      <c r="I3830">
        <v>9576609</v>
      </c>
      <c r="J3830">
        <v>333720632</v>
      </c>
      <c r="K3830">
        <v>131948961</v>
      </c>
      <c r="L3830">
        <v>130143079</v>
      </c>
      <c r="M3830">
        <v>138592182</v>
      </c>
      <c r="N3830">
        <v>220574964</v>
      </c>
      <c r="O3830">
        <v>176032036</v>
      </c>
      <c r="P3830">
        <v>66</v>
      </c>
      <c r="Q3830" t="s">
        <v>8006</v>
      </c>
    </row>
    <row r="3831" spans="1:17" x14ac:dyDescent="0.3">
      <c r="A3831" t="s">
        <v>4729</v>
      </c>
      <c r="B3831" t="str">
        <f>"300030"</f>
        <v>300030</v>
      </c>
      <c r="C3831" t="s">
        <v>8007</v>
      </c>
      <c r="D3831" t="s">
        <v>122</v>
      </c>
      <c r="F3831">
        <v>799833987</v>
      </c>
      <c r="G3831">
        <v>919225504</v>
      </c>
      <c r="H3831">
        <v>575061343</v>
      </c>
      <c r="I3831">
        <v>549963262</v>
      </c>
      <c r="J3831">
        <v>549652843</v>
      </c>
      <c r="K3831">
        <v>517103043</v>
      </c>
      <c r="L3831">
        <v>545348932</v>
      </c>
      <c r="M3831">
        <v>461792180</v>
      </c>
      <c r="N3831">
        <v>396737494</v>
      </c>
      <c r="O3831">
        <v>304084984</v>
      </c>
      <c r="P3831">
        <v>182</v>
      </c>
      <c r="Q3831" t="s">
        <v>8008</v>
      </c>
    </row>
    <row r="3832" spans="1:17" x14ac:dyDescent="0.3">
      <c r="A3832" t="s">
        <v>4729</v>
      </c>
      <c r="B3832" t="str">
        <f>"300031"</f>
        <v>300031</v>
      </c>
      <c r="C3832" t="s">
        <v>8009</v>
      </c>
      <c r="D3832" t="s">
        <v>517</v>
      </c>
      <c r="F3832">
        <v>2759779257</v>
      </c>
      <c r="G3832">
        <v>2637922427</v>
      </c>
      <c r="H3832">
        <v>2475616071</v>
      </c>
      <c r="I3832">
        <v>2166229148</v>
      </c>
      <c r="J3832">
        <v>1579818747</v>
      </c>
      <c r="K3832">
        <v>1464601971</v>
      </c>
      <c r="L3832">
        <v>469820352</v>
      </c>
      <c r="M3832">
        <v>502450642</v>
      </c>
      <c r="N3832">
        <v>561008965</v>
      </c>
      <c r="O3832">
        <v>553008232</v>
      </c>
      <c r="P3832">
        <v>259</v>
      </c>
      <c r="Q3832" t="s">
        <v>8010</v>
      </c>
    </row>
    <row r="3833" spans="1:17" x14ac:dyDescent="0.3">
      <c r="A3833" t="s">
        <v>4729</v>
      </c>
      <c r="B3833" t="str">
        <f>"300032"</f>
        <v>300032</v>
      </c>
      <c r="C3833" t="s">
        <v>8011</v>
      </c>
      <c r="D3833" t="s">
        <v>313</v>
      </c>
      <c r="F3833">
        <v>1888426737</v>
      </c>
      <c r="G3833">
        <v>1742206673</v>
      </c>
      <c r="H3833">
        <v>1731784240</v>
      </c>
      <c r="I3833">
        <v>3369309669</v>
      </c>
      <c r="J3833">
        <v>3705052544</v>
      </c>
      <c r="K3833">
        <v>3376020546</v>
      </c>
      <c r="L3833">
        <v>3033641869</v>
      </c>
      <c r="M3833">
        <v>1226575982</v>
      </c>
      <c r="N3833">
        <v>445938274</v>
      </c>
      <c r="O3833">
        <v>317693496</v>
      </c>
      <c r="P3833">
        <v>152</v>
      </c>
      <c r="Q3833" t="s">
        <v>8012</v>
      </c>
    </row>
    <row r="3834" spans="1:17" x14ac:dyDescent="0.3">
      <c r="A3834" t="s">
        <v>4729</v>
      </c>
      <c r="B3834" t="str">
        <f>"300033"</f>
        <v>300033</v>
      </c>
      <c r="C3834" t="s">
        <v>8013</v>
      </c>
      <c r="D3834" t="s">
        <v>945</v>
      </c>
      <c r="F3834">
        <v>3509864834</v>
      </c>
      <c r="G3834">
        <v>2843697938</v>
      </c>
      <c r="H3834">
        <v>1742093893</v>
      </c>
      <c r="I3834">
        <v>1386887015</v>
      </c>
      <c r="J3834">
        <v>1409698260</v>
      </c>
      <c r="K3834">
        <v>1733656404</v>
      </c>
      <c r="L3834">
        <v>1441944902</v>
      </c>
      <c r="M3834">
        <v>265597078</v>
      </c>
      <c r="N3834">
        <v>183880522</v>
      </c>
      <c r="O3834">
        <v>172026023</v>
      </c>
      <c r="P3834">
        <v>2725</v>
      </c>
      <c r="Q3834" t="s">
        <v>8014</v>
      </c>
    </row>
    <row r="3835" spans="1:17" x14ac:dyDescent="0.3">
      <c r="A3835" t="s">
        <v>4729</v>
      </c>
      <c r="B3835" t="str">
        <f>"300034"</f>
        <v>300034</v>
      </c>
      <c r="C3835" t="s">
        <v>8015</v>
      </c>
      <c r="D3835" t="s">
        <v>98</v>
      </c>
      <c r="F3835">
        <v>2002632278</v>
      </c>
      <c r="G3835">
        <v>1584951960</v>
      </c>
      <c r="H3835">
        <v>1446458606</v>
      </c>
      <c r="I3835">
        <v>892587882</v>
      </c>
      <c r="J3835">
        <v>674910098</v>
      </c>
      <c r="K3835">
        <v>681427926</v>
      </c>
      <c r="L3835">
        <v>709623005</v>
      </c>
      <c r="M3835">
        <v>616583168</v>
      </c>
      <c r="N3835">
        <v>519770246</v>
      </c>
      <c r="O3835">
        <v>455841075</v>
      </c>
      <c r="P3835">
        <v>282</v>
      </c>
      <c r="Q3835" t="s">
        <v>8016</v>
      </c>
    </row>
    <row r="3836" spans="1:17" x14ac:dyDescent="0.3">
      <c r="A3836" t="s">
        <v>4729</v>
      </c>
      <c r="B3836" t="str">
        <f>"300035"</f>
        <v>300035</v>
      </c>
      <c r="C3836" t="s">
        <v>8017</v>
      </c>
      <c r="D3836" t="s">
        <v>1790</v>
      </c>
      <c r="F3836">
        <v>2193871383</v>
      </c>
      <c r="G3836">
        <v>973626798</v>
      </c>
      <c r="H3836">
        <v>929090421</v>
      </c>
      <c r="I3836">
        <v>619320062</v>
      </c>
      <c r="J3836">
        <v>420670309</v>
      </c>
      <c r="K3836">
        <v>162831205</v>
      </c>
      <c r="L3836">
        <v>167034800</v>
      </c>
      <c r="M3836">
        <v>207068149</v>
      </c>
      <c r="N3836">
        <v>255726153</v>
      </c>
      <c r="O3836">
        <v>221872090</v>
      </c>
      <c r="P3836">
        <v>272</v>
      </c>
      <c r="Q3836" t="s">
        <v>8018</v>
      </c>
    </row>
    <row r="3837" spans="1:17" x14ac:dyDescent="0.3">
      <c r="A3837" t="s">
        <v>4729</v>
      </c>
      <c r="B3837" t="str">
        <f>"300036"</f>
        <v>300036</v>
      </c>
      <c r="C3837" t="s">
        <v>8019</v>
      </c>
      <c r="D3837" t="s">
        <v>1189</v>
      </c>
      <c r="F3837">
        <v>1875094134</v>
      </c>
      <c r="G3837">
        <v>1610047437</v>
      </c>
      <c r="H3837">
        <v>1735021983</v>
      </c>
      <c r="I3837">
        <v>1517788227</v>
      </c>
      <c r="J3837">
        <v>1249758548</v>
      </c>
      <c r="K3837">
        <v>833150645</v>
      </c>
      <c r="L3837">
        <v>467150996</v>
      </c>
      <c r="M3837">
        <v>361112847</v>
      </c>
      <c r="N3837">
        <v>312899447</v>
      </c>
      <c r="O3837">
        <v>264028849</v>
      </c>
      <c r="P3837">
        <v>547</v>
      </c>
      <c r="Q3837" t="s">
        <v>8020</v>
      </c>
    </row>
    <row r="3838" spans="1:17" x14ac:dyDescent="0.3">
      <c r="A3838" t="s">
        <v>4729</v>
      </c>
      <c r="B3838" t="str">
        <f>"300037"</f>
        <v>300037</v>
      </c>
      <c r="C3838" t="s">
        <v>8021</v>
      </c>
      <c r="D3838" t="s">
        <v>1790</v>
      </c>
      <c r="F3838">
        <v>6951272040</v>
      </c>
      <c r="G3838">
        <v>2961035387</v>
      </c>
      <c r="H3838">
        <v>2324827620</v>
      </c>
      <c r="I3838">
        <v>2164805981</v>
      </c>
      <c r="J3838">
        <v>1815626792</v>
      </c>
      <c r="K3838">
        <v>1589213791</v>
      </c>
      <c r="L3838">
        <v>934256740</v>
      </c>
      <c r="M3838">
        <v>756781962</v>
      </c>
      <c r="N3838">
        <v>684352214</v>
      </c>
      <c r="O3838">
        <v>661194104</v>
      </c>
      <c r="P3838">
        <v>830</v>
      </c>
      <c r="Q3838" t="s">
        <v>8022</v>
      </c>
    </row>
    <row r="3839" spans="1:17" x14ac:dyDescent="0.3">
      <c r="A3839" t="s">
        <v>4729</v>
      </c>
      <c r="B3839" t="str">
        <f>"300038"</f>
        <v>300038</v>
      </c>
      <c r="C3839" t="s">
        <v>8023</v>
      </c>
      <c r="D3839" t="s">
        <v>207</v>
      </c>
      <c r="F3839">
        <v>2324346467</v>
      </c>
      <c r="G3839">
        <v>4504137564</v>
      </c>
      <c r="H3839">
        <v>5721465227</v>
      </c>
      <c r="I3839">
        <v>5454088588</v>
      </c>
      <c r="J3839">
        <v>2751327887</v>
      </c>
      <c r="K3839">
        <v>984218703</v>
      </c>
      <c r="L3839">
        <v>768049374</v>
      </c>
      <c r="M3839">
        <v>635659228</v>
      </c>
      <c r="N3839">
        <v>583370853</v>
      </c>
      <c r="O3839">
        <v>438250622</v>
      </c>
      <c r="P3839">
        <v>263</v>
      </c>
      <c r="Q3839" t="s">
        <v>8024</v>
      </c>
    </row>
    <row r="3840" spans="1:17" x14ac:dyDescent="0.3">
      <c r="A3840" t="s">
        <v>4729</v>
      </c>
      <c r="B3840" t="str">
        <f>"300039"</f>
        <v>300039</v>
      </c>
      <c r="C3840" t="s">
        <v>8025</v>
      </c>
      <c r="D3840" t="s">
        <v>188</v>
      </c>
      <c r="F3840">
        <v>1100578391</v>
      </c>
      <c r="G3840">
        <v>908008861</v>
      </c>
      <c r="H3840">
        <v>1419026170</v>
      </c>
      <c r="I3840">
        <v>1500676455</v>
      </c>
      <c r="J3840">
        <v>1569916033</v>
      </c>
      <c r="K3840">
        <v>1497151218</v>
      </c>
      <c r="L3840">
        <v>1395788576</v>
      </c>
      <c r="M3840">
        <v>1481076884</v>
      </c>
      <c r="N3840">
        <v>1323215435</v>
      </c>
      <c r="O3840">
        <v>1102004884</v>
      </c>
      <c r="P3840">
        <v>223</v>
      </c>
      <c r="Q3840" t="s">
        <v>8026</v>
      </c>
    </row>
    <row r="3841" spans="1:17" x14ac:dyDescent="0.3">
      <c r="A3841" t="s">
        <v>4729</v>
      </c>
      <c r="B3841" t="str">
        <f>"300040"</f>
        <v>300040</v>
      </c>
      <c r="C3841" t="s">
        <v>8027</v>
      </c>
      <c r="D3841" t="s">
        <v>610</v>
      </c>
      <c r="F3841">
        <v>1409967922</v>
      </c>
      <c r="G3841">
        <v>1279867537</v>
      </c>
      <c r="H3841">
        <v>791481333</v>
      </c>
      <c r="I3841">
        <v>1023786713</v>
      </c>
      <c r="J3841">
        <v>1428214706</v>
      </c>
      <c r="K3841">
        <v>1319491445</v>
      </c>
      <c r="L3841">
        <v>758767189</v>
      </c>
      <c r="M3841">
        <v>189513676</v>
      </c>
      <c r="N3841">
        <v>209203049</v>
      </c>
      <c r="O3841">
        <v>426752174</v>
      </c>
      <c r="P3841">
        <v>214</v>
      </c>
      <c r="Q3841" t="s">
        <v>8028</v>
      </c>
    </row>
    <row r="3842" spans="1:17" x14ac:dyDescent="0.3">
      <c r="A3842" t="s">
        <v>4729</v>
      </c>
      <c r="B3842" t="str">
        <f>"300041"</f>
        <v>300041</v>
      </c>
      <c r="C3842" t="s">
        <v>8029</v>
      </c>
      <c r="D3842" t="s">
        <v>1205</v>
      </c>
      <c r="F3842">
        <v>2954341707</v>
      </c>
      <c r="G3842">
        <v>2163730555</v>
      </c>
      <c r="H3842">
        <v>1879964466</v>
      </c>
      <c r="I3842">
        <v>1739673887</v>
      </c>
      <c r="J3842">
        <v>1515257953</v>
      </c>
      <c r="K3842">
        <v>1131596089</v>
      </c>
      <c r="L3842">
        <v>975212457</v>
      </c>
      <c r="M3842">
        <v>843724956</v>
      </c>
      <c r="N3842">
        <v>642097815</v>
      </c>
      <c r="O3842">
        <v>505734456</v>
      </c>
      <c r="P3842">
        <v>253</v>
      </c>
      <c r="Q3842" t="s">
        <v>8030</v>
      </c>
    </row>
    <row r="3843" spans="1:17" x14ac:dyDescent="0.3">
      <c r="A3843" t="s">
        <v>4729</v>
      </c>
      <c r="B3843" t="str">
        <f>"300042"</f>
        <v>300042</v>
      </c>
      <c r="C3843" t="s">
        <v>8031</v>
      </c>
      <c r="D3843" t="s">
        <v>236</v>
      </c>
      <c r="F3843">
        <v>1912861728</v>
      </c>
      <c r="G3843">
        <v>1490916556</v>
      </c>
      <c r="H3843">
        <v>1194123466</v>
      </c>
      <c r="I3843">
        <v>966909463</v>
      </c>
      <c r="J3843">
        <v>928828140</v>
      </c>
      <c r="K3843">
        <v>590886606</v>
      </c>
      <c r="L3843">
        <v>404139890</v>
      </c>
      <c r="M3843">
        <v>211017956</v>
      </c>
      <c r="N3843">
        <v>231361273</v>
      </c>
      <c r="O3843">
        <v>204925489</v>
      </c>
      <c r="P3843">
        <v>116</v>
      </c>
      <c r="Q3843" t="s">
        <v>8032</v>
      </c>
    </row>
    <row r="3844" spans="1:17" x14ac:dyDescent="0.3">
      <c r="A3844" t="s">
        <v>4729</v>
      </c>
      <c r="B3844" t="str">
        <f>"300043"</f>
        <v>300043</v>
      </c>
      <c r="C3844" t="s">
        <v>8033</v>
      </c>
      <c r="D3844" t="s">
        <v>517</v>
      </c>
      <c r="F3844">
        <v>1406891139</v>
      </c>
      <c r="G3844">
        <v>1742854011</v>
      </c>
      <c r="H3844">
        <v>2594420044</v>
      </c>
      <c r="I3844">
        <v>2820325349</v>
      </c>
      <c r="J3844">
        <v>2755489345</v>
      </c>
      <c r="K3844">
        <v>2393272594</v>
      </c>
      <c r="L3844">
        <v>1672660686</v>
      </c>
      <c r="M3844">
        <v>2517684366</v>
      </c>
      <c r="N3844">
        <v>2219177288</v>
      </c>
      <c r="O3844">
        <v>1118434208</v>
      </c>
      <c r="P3844">
        <v>182</v>
      </c>
      <c r="Q3844" t="s">
        <v>8034</v>
      </c>
    </row>
    <row r="3845" spans="1:17" x14ac:dyDescent="0.3">
      <c r="A3845" t="s">
        <v>4729</v>
      </c>
      <c r="B3845" t="str">
        <f>"300044"</f>
        <v>300044</v>
      </c>
      <c r="C3845" t="s">
        <v>8035</v>
      </c>
      <c r="D3845" t="s">
        <v>316</v>
      </c>
      <c r="F3845">
        <v>1032394739</v>
      </c>
      <c r="G3845">
        <v>1569504579</v>
      </c>
      <c r="H3845">
        <v>1276629503</v>
      </c>
      <c r="I3845">
        <v>1267806110</v>
      </c>
      <c r="J3845">
        <v>1498494145</v>
      </c>
      <c r="K3845">
        <v>1002014202</v>
      </c>
      <c r="L3845">
        <v>664943610</v>
      </c>
      <c r="M3845">
        <v>619585846</v>
      </c>
      <c r="N3845">
        <v>428292638</v>
      </c>
      <c r="O3845">
        <v>313729232</v>
      </c>
      <c r="P3845">
        <v>289</v>
      </c>
      <c r="Q3845" t="s">
        <v>8036</v>
      </c>
    </row>
    <row r="3846" spans="1:17" x14ac:dyDescent="0.3">
      <c r="A3846" t="s">
        <v>4729</v>
      </c>
      <c r="B3846" t="str">
        <f>"300045"</f>
        <v>300045</v>
      </c>
      <c r="C3846" t="s">
        <v>8037</v>
      </c>
      <c r="D3846" t="s">
        <v>1136</v>
      </c>
      <c r="F3846">
        <v>665045725</v>
      </c>
      <c r="G3846">
        <v>645075495</v>
      </c>
      <c r="H3846">
        <v>640914663</v>
      </c>
      <c r="I3846">
        <v>679077425</v>
      </c>
      <c r="J3846">
        <v>570923684</v>
      </c>
      <c r="K3846">
        <v>418541969</v>
      </c>
      <c r="L3846">
        <v>414993380</v>
      </c>
      <c r="M3846">
        <v>403386422</v>
      </c>
      <c r="N3846">
        <v>303700133</v>
      </c>
      <c r="O3846">
        <v>279833856</v>
      </c>
      <c r="P3846">
        <v>158</v>
      </c>
      <c r="Q3846" t="s">
        <v>8038</v>
      </c>
    </row>
    <row r="3847" spans="1:17" x14ac:dyDescent="0.3">
      <c r="A3847" t="s">
        <v>4729</v>
      </c>
      <c r="B3847" t="str">
        <f>"300046"</f>
        <v>300046</v>
      </c>
      <c r="C3847" t="s">
        <v>8039</v>
      </c>
      <c r="D3847" t="s">
        <v>795</v>
      </c>
      <c r="F3847">
        <v>329009071</v>
      </c>
      <c r="G3847">
        <v>388244929</v>
      </c>
      <c r="H3847">
        <v>264937838</v>
      </c>
      <c r="I3847">
        <v>418108793</v>
      </c>
      <c r="J3847">
        <v>278651806</v>
      </c>
      <c r="K3847">
        <v>242091866</v>
      </c>
      <c r="L3847">
        <v>166154460</v>
      </c>
      <c r="M3847">
        <v>221713222</v>
      </c>
      <c r="N3847">
        <v>220113207</v>
      </c>
      <c r="O3847">
        <v>269672212</v>
      </c>
      <c r="P3847">
        <v>225</v>
      </c>
      <c r="Q3847" t="s">
        <v>8040</v>
      </c>
    </row>
    <row r="3848" spans="1:17" x14ac:dyDescent="0.3">
      <c r="A3848" t="s">
        <v>4729</v>
      </c>
      <c r="B3848" t="str">
        <f>"300047"</f>
        <v>300047</v>
      </c>
      <c r="C3848" t="s">
        <v>8041</v>
      </c>
      <c r="D3848" t="s">
        <v>945</v>
      </c>
      <c r="F3848">
        <v>5614223550</v>
      </c>
      <c r="G3848">
        <v>5254159765</v>
      </c>
      <c r="H3848">
        <v>4470792753</v>
      </c>
      <c r="I3848">
        <v>3766826443</v>
      </c>
      <c r="J3848">
        <v>2963058965</v>
      </c>
      <c r="K3848">
        <v>2448219642</v>
      </c>
      <c r="L3848">
        <v>1676615031</v>
      </c>
      <c r="M3848">
        <v>1186644496</v>
      </c>
      <c r="N3848">
        <v>1023069902</v>
      </c>
      <c r="O3848">
        <v>665088035</v>
      </c>
      <c r="P3848">
        <v>338</v>
      </c>
      <c r="Q3848" t="s">
        <v>8042</v>
      </c>
    </row>
    <row r="3849" spans="1:17" x14ac:dyDescent="0.3">
      <c r="A3849" t="s">
        <v>4729</v>
      </c>
      <c r="B3849" t="str">
        <f>"300048"</f>
        <v>300048</v>
      </c>
      <c r="C3849" t="s">
        <v>8043</v>
      </c>
      <c r="D3849" t="s">
        <v>2432</v>
      </c>
      <c r="F3849">
        <v>1204203247</v>
      </c>
      <c r="G3849">
        <v>1256569347</v>
      </c>
      <c r="H3849">
        <v>1303728043</v>
      </c>
      <c r="I3849">
        <v>1206297162</v>
      </c>
      <c r="J3849">
        <v>1350928407</v>
      </c>
      <c r="K3849">
        <v>1417391175</v>
      </c>
      <c r="L3849">
        <v>807515587</v>
      </c>
      <c r="M3849">
        <v>667446655</v>
      </c>
      <c r="N3849">
        <v>661851893</v>
      </c>
      <c r="O3849">
        <v>702565780</v>
      </c>
      <c r="P3849">
        <v>119</v>
      </c>
      <c r="Q3849" t="s">
        <v>8044</v>
      </c>
    </row>
    <row r="3850" spans="1:17" x14ac:dyDescent="0.3">
      <c r="A3850" t="s">
        <v>4729</v>
      </c>
      <c r="B3850" t="str">
        <f>"300049"</f>
        <v>300049</v>
      </c>
      <c r="C3850" t="s">
        <v>8045</v>
      </c>
      <c r="D3850" t="s">
        <v>122</v>
      </c>
      <c r="F3850">
        <v>898483229</v>
      </c>
      <c r="G3850">
        <v>807532608</v>
      </c>
      <c r="H3850">
        <v>831739342</v>
      </c>
      <c r="I3850">
        <v>867029328</v>
      </c>
      <c r="J3850">
        <v>849675042</v>
      </c>
      <c r="K3850">
        <v>826987167</v>
      </c>
      <c r="L3850">
        <v>604191265</v>
      </c>
      <c r="M3850">
        <v>645517669</v>
      </c>
      <c r="N3850">
        <v>523483189</v>
      </c>
      <c r="O3850">
        <v>407639040</v>
      </c>
      <c r="P3850">
        <v>144</v>
      </c>
      <c r="Q3850" t="s">
        <v>8046</v>
      </c>
    </row>
    <row r="3851" spans="1:17" x14ac:dyDescent="0.3">
      <c r="A3851" t="s">
        <v>4729</v>
      </c>
      <c r="B3851" t="str">
        <f>"300050"</f>
        <v>300050</v>
      </c>
      <c r="C3851" t="s">
        <v>8047</v>
      </c>
      <c r="D3851" t="s">
        <v>654</v>
      </c>
      <c r="F3851">
        <v>376870422</v>
      </c>
      <c r="G3851">
        <v>675174188</v>
      </c>
      <c r="H3851">
        <v>1244350147</v>
      </c>
      <c r="I3851">
        <v>983233236</v>
      </c>
      <c r="J3851">
        <v>884874468</v>
      </c>
      <c r="K3851">
        <v>735686360</v>
      </c>
      <c r="L3851">
        <v>696042386</v>
      </c>
      <c r="M3851">
        <v>447054333</v>
      </c>
      <c r="N3851">
        <v>351167703</v>
      </c>
      <c r="O3851">
        <v>368850004</v>
      </c>
      <c r="P3851">
        <v>164</v>
      </c>
      <c r="Q3851" t="s">
        <v>8048</v>
      </c>
    </row>
    <row r="3852" spans="1:17" x14ac:dyDescent="0.3">
      <c r="A3852" t="s">
        <v>4729</v>
      </c>
      <c r="B3852" t="str">
        <f>"300051"</f>
        <v>300051</v>
      </c>
      <c r="C3852" t="s">
        <v>8049</v>
      </c>
      <c r="D3852" t="s">
        <v>517</v>
      </c>
      <c r="F3852">
        <v>184290861</v>
      </c>
      <c r="G3852">
        <v>221676658</v>
      </c>
      <c r="H3852">
        <v>288308608</v>
      </c>
      <c r="I3852">
        <v>234806559</v>
      </c>
      <c r="J3852">
        <v>325681938</v>
      </c>
      <c r="K3852">
        <v>311642705</v>
      </c>
      <c r="L3852">
        <v>248964117</v>
      </c>
      <c r="M3852">
        <v>279899915</v>
      </c>
      <c r="N3852">
        <v>290378586</v>
      </c>
      <c r="O3852">
        <v>266800956</v>
      </c>
      <c r="P3852">
        <v>104</v>
      </c>
      <c r="Q3852" t="s">
        <v>8050</v>
      </c>
    </row>
    <row r="3853" spans="1:17" x14ac:dyDescent="0.3">
      <c r="A3853" t="s">
        <v>4729</v>
      </c>
      <c r="B3853" t="str">
        <f>"300052"</f>
        <v>300052</v>
      </c>
      <c r="C3853" t="s">
        <v>8051</v>
      </c>
      <c r="D3853" t="s">
        <v>517</v>
      </c>
      <c r="F3853">
        <v>355131475</v>
      </c>
      <c r="G3853">
        <v>293843948</v>
      </c>
      <c r="H3853">
        <v>468826314</v>
      </c>
      <c r="I3853">
        <v>334005441</v>
      </c>
      <c r="J3853">
        <v>313223143</v>
      </c>
      <c r="K3853">
        <v>321348057</v>
      </c>
      <c r="L3853">
        <v>343090937</v>
      </c>
      <c r="M3853">
        <v>489527553</v>
      </c>
      <c r="N3853">
        <v>324475994</v>
      </c>
      <c r="O3853">
        <v>184988422</v>
      </c>
      <c r="P3853">
        <v>219</v>
      </c>
      <c r="Q3853" t="s">
        <v>8052</v>
      </c>
    </row>
    <row r="3854" spans="1:17" x14ac:dyDescent="0.3">
      <c r="A3854" t="s">
        <v>4729</v>
      </c>
      <c r="B3854" t="str">
        <f>"300053"</f>
        <v>300053</v>
      </c>
      <c r="C3854" t="s">
        <v>8053</v>
      </c>
      <c r="D3854" t="s">
        <v>461</v>
      </c>
      <c r="F3854">
        <v>696010562</v>
      </c>
      <c r="G3854">
        <v>869831526</v>
      </c>
      <c r="H3854">
        <v>851703526</v>
      </c>
      <c r="I3854">
        <v>905992734</v>
      </c>
      <c r="J3854">
        <v>738851450</v>
      </c>
      <c r="K3854">
        <v>559936657</v>
      </c>
      <c r="L3854">
        <v>388817483</v>
      </c>
      <c r="M3854">
        <v>176501957</v>
      </c>
      <c r="N3854">
        <v>151237402</v>
      </c>
      <c r="O3854">
        <v>160537381</v>
      </c>
      <c r="P3854">
        <v>264</v>
      </c>
      <c r="Q3854" t="s">
        <v>8054</v>
      </c>
    </row>
    <row r="3855" spans="1:17" x14ac:dyDescent="0.3">
      <c r="A3855" t="s">
        <v>4729</v>
      </c>
      <c r="B3855" t="str">
        <f>"300054"</f>
        <v>300054</v>
      </c>
      <c r="C3855" t="s">
        <v>8055</v>
      </c>
      <c r="D3855" t="s">
        <v>2408</v>
      </c>
      <c r="F3855">
        <v>2355886992</v>
      </c>
      <c r="G3855">
        <v>1816859092</v>
      </c>
      <c r="H3855">
        <v>1148795536</v>
      </c>
      <c r="I3855">
        <v>1337596555</v>
      </c>
      <c r="J3855">
        <v>1700240338</v>
      </c>
      <c r="K3855">
        <v>1306332067</v>
      </c>
      <c r="L3855">
        <v>1049836364</v>
      </c>
      <c r="M3855">
        <v>918637820</v>
      </c>
      <c r="N3855">
        <v>490537683</v>
      </c>
      <c r="O3855">
        <v>316505558</v>
      </c>
      <c r="P3855">
        <v>367</v>
      </c>
      <c r="Q3855" t="s">
        <v>8056</v>
      </c>
    </row>
    <row r="3856" spans="1:17" x14ac:dyDescent="0.3">
      <c r="A3856" t="s">
        <v>4729</v>
      </c>
      <c r="B3856" t="str">
        <f>"300055"</f>
        <v>300055</v>
      </c>
      <c r="C3856" t="s">
        <v>8057</v>
      </c>
      <c r="D3856" t="s">
        <v>33</v>
      </c>
      <c r="F3856">
        <v>2009317667</v>
      </c>
      <c r="G3856">
        <v>631016329</v>
      </c>
      <c r="H3856">
        <v>840125825</v>
      </c>
      <c r="I3856">
        <v>1324280445</v>
      </c>
      <c r="J3856">
        <v>2071246442</v>
      </c>
      <c r="K3856">
        <v>1684669310</v>
      </c>
      <c r="L3856">
        <v>1971283226</v>
      </c>
      <c r="M3856">
        <v>1029153051</v>
      </c>
      <c r="N3856">
        <v>771990269</v>
      </c>
      <c r="O3856">
        <v>580921635</v>
      </c>
      <c r="P3856">
        <v>163</v>
      </c>
      <c r="Q3856" t="s">
        <v>8058</v>
      </c>
    </row>
    <row r="3857" spans="1:17" x14ac:dyDescent="0.3">
      <c r="A3857" t="s">
        <v>4729</v>
      </c>
      <c r="B3857" t="str">
        <f>"300056"</f>
        <v>300056</v>
      </c>
      <c r="C3857" t="s">
        <v>8059</v>
      </c>
      <c r="D3857" t="s">
        <v>663</v>
      </c>
      <c r="F3857">
        <v>1142038158</v>
      </c>
      <c r="G3857">
        <v>1824388663</v>
      </c>
      <c r="H3857">
        <v>1475739097</v>
      </c>
      <c r="I3857">
        <v>786491642</v>
      </c>
      <c r="J3857">
        <v>1309103505</v>
      </c>
      <c r="K3857">
        <v>948059058</v>
      </c>
      <c r="L3857">
        <v>688206693</v>
      </c>
      <c r="M3857">
        <v>454528620</v>
      </c>
      <c r="N3857">
        <v>433957654</v>
      </c>
      <c r="O3857">
        <v>299781407</v>
      </c>
      <c r="P3857">
        <v>87</v>
      </c>
      <c r="Q3857" t="s">
        <v>8060</v>
      </c>
    </row>
    <row r="3858" spans="1:17" x14ac:dyDescent="0.3">
      <c r="A3858" t="s">
        <v>4729</v>
      </c>
      <c r="B3858" t="str">
        <f>"300057"</f>
        <v>300057</v>
      </c>
      <c r="C3858" t="s">
        <v>8061</v>
      </c>
      <c r="D3858" t="s">
        <v>504</v>
      </c>
      <c r="F3858">
        <v>5437457033</v>
      </c>
      <c r="G3858">
        <v>5068584855</v>
      </c>
      <c r="H3858">
        <v>4452155649</v>
      </c>
      <c r="I3858">
        <v>4168791936</v>
      </c>
      <c r="J3858">
        <v>3212808241</v>
      </c>
      <c r="K3858">
        <v>2235919518</v>
      </c>
      <c r="L3858">
        <v>2193542489</v>
      </c>
      <c r="M3858">
        <v>2173981330</v>
      </c>
      <c r="N3858">
        <v>2034046910</v>
      </c>
      <c r="O3858">
        <v>1704399443</v>
      </c>
      <c r="P3858">
        <v>438</v>
      </c>
      <c r="Q3858" t="s">
        <v>8062</v>
      </c>
    </row>
    <row r="3859" spans="1:17" x14ac:dyDescent="0.3">
      <c r="A3859" t="s">
        <v>4729</v>
      </c>
      <c r="B3859" t="str">
        <f>"300058"</f>
        <v>300058</v>
      </c>
      <c r="C3859" t="s">
        <v>8063</v>
      </c>
      <c r="D3859" t="s">
        <v>207</v>
      </c>
      <c r="F3859">
        <v>40077913635</v>
      </c>
      <c r="G3859">
        <v>40526890931</v>
      </c>
      <c r="H3859">
        <v>28105717717</v>
      </c>
      <c r="I3859">
        <v>23103968544</v>
      </c>
      <c r="J3859">
        <v>15230837652</v>
      </c>
      <c r="K3859">
        <v>12319105878</v>
      </c>
      <c r="L3859">
        <v>8347269023</v>
      </c>
      <c r="M3859">
        <v>5979088239</v>
      </c>
      <c r="N3859">
        <v>3583998130</v>
      </c>
      <c r="O3859">
        <v>2175378052</v>
      </c>
      <c r="P3859">
        <v>457</v>
      </c>
      <c r="Q3859" t="s">
        <v>8064</v>
      </c>
    </row>
    <row r="3860" spans="1:17" x14ac:dyDescent="0.3">
      <c r="A3860" t="s">
        <v>4729</v>
      </c>
      <c r="B3860" t="str">
        <f>"300059"</f>
        <v>300059</v>
      </c>
      <c r="C3860" t="s">
        <v>8065</v>
      </c>
      <c r="D3860" t="s">
        <v>80</v>
      </c>
      <c r="F3860">
        <v>13094320648</v>
      </c>
      <c r="G3860">
        <v>3252288346</v>
      </c>
      <c r="H3860">
        <v>1478041023</v>
      </c>
      <c r="I3860">
        <v>1309580717</v>
      </c>
      <c r="J3860">
        <v>1112337141</v>
      </c>
      <c r="K3860">
        <v>1203051297</v>
      </c>
      <c r="L3860">
        <v>2812712721</v>
      </c>
      <c r="M3860">
        <v>612007005</v>
      </c>
      <c r="N3860">
        <v>248474868</v>
      </c>
      <c r="O3860">
        <v>222701536</v>
      </c>
      <c r="P3860">
        <v>5893</v>
      </c>
      <c r="Q3860" t="s">
        <v>8066</v>
      </c>
    </row>
    <row r="3861" spans="1:17" x14ac:dyDescent="0.3">
      <c r="A3861" t="s">
        <v>4729</v>
      </c>
      <c r="B3861" t="str">
        <f>"300061"</f>
        <v>300061</v>
      </c>
      <c r="C3861" t="s">
        <v>8067</v>
      </c>
      <c r="D3861" t="s">
        <v>207</v>
      </c>
      <c r="F3861">
        <v>1054373936</v>
      </c>
      <c r="G3861">
        <v>1465204978</v>
      </c>
      <c r="H3861">
        <v>1233452879</v>
      </c>
      <c r="I3861">
        <v>2305336480</v>
      </c>
      <c r="J3861">
        <v>1987346441</v>
      </c>
      <c r="K3861">
        <v>1000944963</v>
      </c>
      <c r="L3861">
        <v>694441211</v>
      </c>
      <c r="M3861">
        <v>620737929</v>
      </c>
      <c r="N3861">
        <v>419456188</v>
      </c>
      <c r="O3861">
        <v>354128640</v>
      </c>
      <c r="P3861">
        <v>120</v>
      </c>
      <c r="Q3861" t="s">
        <v>8068</v>
      </c>
    </row>
    <row r="3862" spans="1:17" x14ac:dyDescent="0.3">
      <c r="A3862" t="s">
        <v>4729</v>
      </c>
      <c r="B3862" t="str">
        <f>"300062"</f>
        <v>300062</v>
      </c>
      <c r="C3862" t="s">
        <v>8069</v>
      </c>
      <c r="D3862" t="s">
        <v>210</v>
      </c>
      <c r="F3862">
        <v>1029566414</v>
      </c>
      <c r="G3862">
        <v>949974460</v>
      </c>
      <c r="H3862">
        <v>920632509</v>
      </c>
      <c r="I3862">
        <v>995644467</v>
      </c>
      <c r="J3862">
        <v>805906278</v>
      </c>
      <c r="K3862">
        <v>1000206118</v>
      </c>
      <c r="L3862">
        <v>730841090</v>
      </c>
      <c r="M3862">
        <v>457528773</v>
      </c>
      <c r="N3862">
        <v>446129668</v>
      </c>
      <c r="O3862">
        <v>314971803</v>
      </c>
      <c r="P3862">
        <v>125</v>
      </c>
      <c r="Q3862" t="s">
        <v>8070</v>
      </c>
    </row>
    <row r="3863" spans="1:17" x14ac:dyDescent="0.3">
      <c r="A3863" t="s">
        <v>4729</v>
      </c>
      <c r="B3863" t="str">
        <f>"300063"</f>
        <v>300063</v>
      </c>
      <c r="C3863" t="s">
        <v>8071</v>
      </c>
      <c r="D3863" t="s">
        <v>207</v>
      </c>
      <c r="F3863">
        <v>10641504277</v>
      </c>
      <c r="G3863">
        <v>10674947587</v>
      </c>
      <c r="H3863">
        <v>8673655780</v>
      </c>
      <c r="I3863">
        <v>7967709804</v>
      </c>
      <c r="J3863">
        <v>6876115332</v>
      </c>
      <c r="K3863">
        <v>5289656149</v>
      </c>
      <c r="L3863">
        <v>1714069388</v>
      </c>
      <c r="M3863">
        <v>905289713</v>
      </c>
      <c r="N3863">
        <v>656268806</v>
      </c>
      <c r="O3863">
        <v>357807882</v>
      </c>
      <c r="P3863">
        <v>109</v>
      </c>
      <c r="Q3863" t="s">
        <v>8072</v>
      </c>
    </row>
    <row r="3864" spans="1:17" x14ac:dyDescent="0.3">
      <c r="A3864" t="s">
        <v>4729</v>
      </c>
      <c r="B3864" t="str">
        <f>"300064"</f>
        <v>300064</v>
      </c>
      <c r="C3864" t="s">
        <v>8073</v>
      </c>
      <c r="D3864" t="s">
        <v>404</v>
      </c>
      <c r="F3864">
        <v>781725054</v>
      </c>
      <c r="G3864">
        <v>478374497</v>
      </c>
      <c r="H3864">
        <v>955446218</v>
      </c>
      <c r="I3864">
        <v>1240180826</v>
      </c>
      <c r="J3864">
        <v>1532773223</v>
      </c>
      <c r="K3864">
        <v>964423168</v>
      </c>
      <c r="L3864">
        <v>763212111</v>
      </c>
      <c r="M3864">
        <v>637596257</v>
      </c>
      <c r="N3864">
        <v>524417772</v>
      </c>
      <c r="O3864">
        <v>550536596</v>
      </c>
      <c r="P3864">
        <v>77</v>
      </c>
      <c r="Q3864" t="s">
        <v>8074</v>
      </c>
    </row>
    <row r="3865" spans="1:17" x14ac:dyDescent="0.3">
      <c r="A3865" t="s">
        <v>4729</v>
      </c>
      <c r="B3865" t="str">
        <f>"300065"</f>
        <v>300065</v>
      </c>
      <c r="C3865" t="s">
        <v>8075</v>
      </c>
      <c r="D3865" t="s">
        <v>167</v>
      </c>
      <c r="F3865">
        <v>902381597</v>
      </c>
      <c r="G3865">
        <v>870931040</v>
      </c>
      <c r="H3865">
        <v>812157032</v>
      </c>
      <c r="I3865">
        <v>769603636</v>
      </c>
      <c r="J3865">
        <v>805146996</v>
      </c>
      <c r="K3865">
        <v>716569929</v>
      </c>
      <c r="L3865">
        <v>327812510</v>
      </c>
      <c r="M3865">
        <v>392820727</v>
      </c>
      <c r="N3865">
        <v>358501468</v>
      </c>
      <c r="O3865">
        <v>257791264</v>
      </c>
      <c r="P3865">
        <v>152</v>
      </c>
      <c r="Q3865" t="s">
        <v>8076</v>
      </c>
    </row>
    <row r="3866" spans="1:17" x14ac:dyDescent="0.3">
      <c r="A3866" t="s">
        <v>4729</v>
      </c>
      <c r="B3866" t="str">
        <f>"300066"</f>
        <v>300066</v>
      </c>
      <c r="C3866" t="s">
        <v>8077</v>
      </c>
      <c r="D3866" t="s">
        <v>2566</v>
      </c>
      <c r="F3866">
        <v>936939519</v>
      </c>
      <c r="G3866">
        <v>938315741</v>
      </c>
      <c r="H3866">
        <v>987501235</v>
      </c>
      <c r="I3866">
        <v>687188056</v>
      </c>
      <c r="J3866">
        <v>610367498</v>
      </c>
      <c r="K3866">
        <v>695124139</v>
      </c>
      <c r="L3866">
        <v>647047213</v>
      </c>
      <c r="M3866">
        <v>697933365</v>
      </c>
      <c r="N3866">
        <v>676209984</v>
      </c>
      <c r="O3866">
        <v>612976594</v>
      </c>
      <c r="P3866">
        <v>190</v>
      </c>
      <c r="Q3866" t="s">
        <v>8078</v>
      </c>
    </row>
    <row r="3867" spans="1:17" x14ac:dyDescent="0.3">
      <c r="A3867" t="s">
        <v>4729</v>
      </c>
      <c r="B3867" t="str">
        <f>"300067"</f>
        <v>300067</v>
      </c>
      <c r="C3867" t="s">
        <v>8079</v>
      </c>
      <c r="D3867" t="s">
        <v>779</v>
      </c>
      <c r="F3867">
        <v>1052000568</v>
      </c>
      <c r="G3867">
        <v>995043552</v>
      </c>
      <c r="H3867">
        <v>1124493081</v>
      </c>
      <c r="I3867">
        <v>1159937624</v>
      </c>
      <c r="J3867">
        <v>1332897473</v>
      </c>
      <c r="K3867">
        <v>1003779196</v>
      </c>
      <c r="L3867">
        <v>689948792</v>
      </c>
      <c r="M3867">
        <v>746362291</v>
      </c>
      <c r="N3867">
        <v>506744129</v>
      </c>
      <c r="O3867">
        <v>262449750</v>
      </c>
      <c r="P3867">
        <v>100</v>
      </c>
      <c r="Q3867" t="s">
        <v>8080</v>
      </c>
    </row>
    <row r="3868" spans="1:17" x14ac:dyDescent="0.3">
      <c r="A3868" t="s">
        <v>4729</v>
      </c>
      <c r="B3868" t="str">
        <f>"300068"</f>
        <v>300068</v>
      </c>
      <c r="C3868" t="s">
        <v>8081</v>
      </c>
      <c r="D3868" t="s">
        <v>555</v>
      </c>
      <c r="F3868">
        <v>11847570284</v>
      </c>
      <c r="G3868">
        <v>10259772565</v>
      </c>
      <c r="H3868">
        <v>9008443265</v>
      </c>
      <c r="I3868">
        <v>8063134839</v>
      </c>
      <c r="J3868">
        <v>8636812561</v>
      </c>
      <c r="K3868">
        <v>7141421743</v>
      </c>
      <c r="L3868">
        <v>5153126944</v>
      </c>
      <c r="M3868">
        <v>3786361272</v>
      </c>
      <c r="N3868">
        <v>3507527394</v>
      </c>
      <c r="O3868">
        <v>3104406048</v>
      </c>
      <c r="P3868">
        <v>305</v>
      </c>
      <c r="Q3868" t="s">
        <v>8082</v>
      </c>
    </row>
    <row r="3869" spans="1:17" x14ac:dyDescent="0.3">
      <c r="A3869" t="s">
        <v>4729</v>
      </c>
      <c r="B3869" t="str">
        <f>"300069"</f>
        <v>300069</v>
      </c>
      <c r="C3869" t="s">
        <v>8083</v>
      </c>
      <c r="D3869" t="s">
        <v>1164</v>
      </c>
      <c r="F3869">
        <v>229555685</v>
      </c>
      <c r="G3869">
        <v>128531448</v>
      </c>
      <c r="H3869">
        <v>197971172</v>
      </c>
      <c r="I3869">
        <v>184283907</v>
      </c>
      <c r="J3869">
        <v>260073861</v>
      </c>
      <c r="K3869">
        <v>336734744</v>
      </c>
      <c r="L3869">
        <v>213439684</v>
      </c>
      <c r="M3869">
        <v>207725904</v>
      </c>
      <c r="N3869">
        <v>192103155</v>
      </c>
      <c r="O3869">
        <v>145098826</v>
      </c>
      <c r="P3869">
        <v>57</v>
      </c>
      <c r="Q3869" t="s">
        <v>8084</v>
      </c>
    </row>
    <row r="3870" spans="1:17" x14ac:dyDescent="0.3">
      <c r="A3870" t="s">
        <v>4729</v>
      </c>
      <c r="B3870" t="str">
        <f>"300070"</f>
        <v>300070</v>
      </c>
      <c r="C3870" t="s">
        <v>8085</v>
      </c>
      <c r="D3870" t="s">
        <v>33</v>
      </c>
      <c r="F3870">
        <v>9548781385</v>
      </c>
      <c r="G3870">
        <v>9617575766</v>
      </c>
      <c r="H3870">
        <v>12255320528</v>
      </c>
      <c r="I3870">
        <v>11517809423</v>
      </c>
      <c r="J3870">
        <v>13767286080</v>
      </c>
      <c r="K3870">
        <v>8892285138</v>
      </c>
      <c r="L3870">
        <v>5214260273</v>
      </c>
      <c r="M3870">
        <v>3449157893</v>
      </c>
      <c r="N3870">
        <v>3133272800</v>
      </c>
      <c r="O3870">
        <v>1771545780</v>
      </c>
      <c r="P3870">
        <v>1163</v>
      </c>
      <c r="Q3870" t="s">
        <v>8086</v>
      </c>
    </row>
    <row r="3871" spans="1:17" x14ac:dyDescent="0.3">
      <c r="A3871" t="s">
        <v>4729</v>
      </c>
      <c r="B3871" t="str">
        <f>"300071"</f>
        <v>300071</v>
      </c>
      <c r="C3871" t="s">
        <v>8087</v>
      </c>
      <c r="D3871" t="s">
        <v>207</v>
      </c>
      <c r="F3871">
        <v>1035383336</v>
      </c>
      <c r="G3871">
        <v>970211435</v>
      </c>
      <c r="H3871">
        <v>2250371946</v>
      </c>
      <c r="I3871">
        <v>3415577695</v>
      </c>
      <c r="J3871">
        <v>3503265844</v>
      </c>
      <c r="K3871">
        <v>3452979899</v>
      </c>
      <c r="L3871">
        <v>3250056298</v>
      </c>
      <c r="M3871">
        <v>1559839302</v>
      </c>
      <c r="N3871">
        <v>1755241140</v>
      </c>
      <c r="O3871">
        <v>1237824497</v>
      </c>
      <c r="P3871">
        <v>84</v>
      </c>
      <c r="Q3871" t="s">
        <v>8088</v>
      </c>
    </row>
    <row r="3872" spans="1:17" x14ac:dyDescent="0.3">
      <c r="A3872" t="s">
        <v>4729</v>
      </c>
      <c r="B3872" t="str">
        <f>"300072"</f>
        <v>300072</v>
      </c>
      <c r="C3872" t="s">
        <v>8089</v>
      </c>
      <c r="D3872" t="s">
        <v>663</v>
      </c>
      <c r="F3872">
        <v>5750649463</v>
      </c>
      <c r="G3872">
        <v>7133442299</v>
      </c>
      <c r="H3872">
        <v>8483192867</v>
      </c>
      <c r="I3872">
        <v>15380522348</v>
      </c>
      <c r="J3872">
        <v>22477733022</v>
      </c>
      <c r="K3872">
        <v>17531101493</v>
      </c>
      <c r="L3872">
        <v>5698115188</v>
      </c>
      <c r="M3872">
        <v>3009914537</v>
      </c>
      <c r="N3872">
        <v>1200829195</v>
      </c>
      <c r="O3872">
        <v>808569984</v>
      </c>
      <c r="P3872">
        <v>1138</v>
      </c>
      <c r="Q3872" t="s">
        <v>8090</v>
      </c>
    </row>
    <row r="3873" spans="1:17" x14ac:dyDescent="0.3">
      <c r="A3873" t="s">
        <v>4729</v>
      </c>
      <c r="B3873" t="str">
        <f>"300073"</f>
        <v>300073</v>
      </c>
      <c r="C3873" t="s">
        <v>8091</v>
      </c>
      <c r="D3873" t="s">
        <v>1790</v>
      </c>
      <c r="F3873">
        <v>8257865421</v>
      </c>
      <c r="G3873">
        <v>3183317246</v>
      </c>
      <c r="H3873">
        <v>2284175396</v>
      </c>
      <c r="I3873">
        <v>3280669417</v>
      </c>
      <c r="J3873">
        <v>2157906139</v>
      </c>
      <c r="K3873">
        <v>1334546619</v>
      </c>
      <c r="L3873">
        <v>860422735</v>
      </c>
      <c r="M3873">
        <v>624997970</v>
      </c>
      <c r="N3873">
        <v>629954046</v>
      </c>
      <c r="O3873">
        <v>626123525</v>
      </c>
      <c r="P3873">
        <v>826</v>
      </c>
      <c r="Q3873" t="s">
        <v>8092</v>
      </c>
    </row>
    <row r="3874" spans="1:17" x14ac:dyDescent="0.3">
      <c r="A3874" t="s">
        <v>4729</v>
      </c>
      <c r="B3874" t="str">
        <f>"300074"</f>
        <v>300074</v>
      </c>
      <c r="C3874" t="s">
        <v>8093</v>
      </c>
      <c r="D3874" t="s">
        <v>945</v>
      </c>
      <c r="F3874">
        <v>448628273</v>
      </c>
      <c r="G3874">
        <v>445330382</v>
      </c>
      <c r="H3874">
        <v>477681229</v>
      </c>
      <c r="I3874">
        <v>448788597</v>
      </c>
      <c r="J3874">
        <v>455536432</v>
      </c>
      <c r="K3874">
        <v>341738285</v>
      </c>
      <c r="L3874">
        <v>331213090</v>
      </c>
      <c r="M3874">
        <v>220879523</v>
      </c>
      <c r="N3874">
        <v>255228596</v>
      </c>
      <c r="O3874">
        <v>199440269</v>
      </c>
      <c r="P3874">
        <v>162</v>
      </c>
      <c r="Q3874" t="s">
        <v>8094</v>
      </c>
    </row>
    <row r="3875" spans="1:17" x14ac:dyDescent="0.3">
      <c r="A3875" t="s">
        <v>4729</v>
      </c>
      <c r="B3875" t="str">
        <f>"300075"</f>
        <v>300075</v>
      </c>
      <c r="C3875" t="s">
        <v>8095</v>
      </c>
      <c r="D3875" t="s">
        <v>945</v>
      </c>
      <c r="F3875">
        <v>1480608705</v>
      </c>
      <c r="G3875">
        <v>1413997068</v>
      </c>
      <c r="H3875">
        <v>1257538950</v>
      </c>
      <c r="I3875">
        <v>1288815521</v>
      </c>
      <c r="J3875">
        <v>1202976974</v>
      </c>
      <c r="K3875">
        <v>967336066</v>
      </c>
      <c r="L3875">
        <v>651135339</v>
      </c>
      <c r="M3875">
        <v>546086754</v>
      </c>
      <c r="N3875">
        <v>406357113</v>
      </c>
      <c r="O3875">
        <v>221977116</v>
      </c>
      <c r="P3875">
        <v>258</v>
      </c>
      <c r="Q3875" t="s">
        <v>8096</v>
      </c>
    </row>
    <row r="3876" spans="1:17" x14ac:dyDescent="0.3">
      <c r="A3876" t="s">
        <v>4729</v>
      </c>
      <c r="B3876" t="str">
        <f>"300076"</f>
        <v>300076</v>
      </c>
      <c r="C3876" t="s">
        <v>8097</v>
      </c>
      <c r="D3876" t="s">
        <v>1117</v>
      </c>
      <c r="F3876">
        <v>132452140</v>
      </c>
      <c r="G3876">
        <v>179632394</v>
      </c>
      <c r="H3876">
        <v>86573641</v>
      </c>
      <c r="I3876">
        <v>200442564</v>
      </c>
      <c r="J3876">
        <v>136218205</v>
      </c>
      <c r="K3876">
        <v>172011699</v>
      </c>
      <c r="L3876">
        <v>203519356</v>
      </c>
      <c r="M3876">
        <v>264328555</v>
      </c>
      <c r="N3876">
        <v>331632832</v>
      </c>
      <c r="O3876">
        <v>360285422</v>
      </c>
      <c r="P3876">
        <v>93</v>
      </c>
      <c r="Q3876" t="s">
        <v>8098</v>
      </c>
    </row>
    <row r="3877" spans="1:17" x14ac:dyDescent="0.3">
      <c r="A3877" t="s">
        <v>4729</v>
      </c>
      <c r="B3877" t="str">
        <f>"300077"</f>
        <v>300077</v>
      </c>
      <c r="C3877" t="s">
        <v>8099</v>
      </c>
      <c r="D3877" t="s">
        <v>461</v>
      </c>
      <c r="F3877">
        <v>1017608714</v>
      </c>
      <c r="G3877">
        <v>379707203</v>
      </c>
      <c r="H3877">
        <v>394733173</v>
      </c>
      <c r="I3877">
        <v>602059727</v>
      </c>
      <c r="J3877">
        <v>694957148</v>
      </c>
      <c r="K3877">
        <v>706124095</v>
      </c>
      <c r="L3877">
        <v>560592463</v>
      </c>
      <c r="M3877">
        <v>425695458</v>
      </c>
      <c r="N3877">
        <v>433621613</v>
      </c>
      <c r="O3877">
        <v>428380208</v>
      </c>
      <c r="P3877">
        <v>3150</v>
      </c>
      <c r="Q3877" t="s">
        <v>8100</v>
      </c>
    </row>
    <row r="3878" spans="1:17" x14ac:dyDescent="0.3">
      <c r="A3878" t="s">
        <v>4729</v>
      </c>
      <c r="B3878" t="str">
        <f>"300078"</f>
        <v>300078</v>
      </c>
      <c r="C3878" t="s">
        <v>8101</v>
      </c>
      <c r="D3878" t="s">
        <v>316</v>
      </c>
      <c r="F3878">
        <v>961549940</v>
      </c>
      <c r="G3878">
        <v>1471264743</v>
      </c>
      <c r="H3878">
        <v>1573993606</v>
      </c>
      <c r="I3878">
        <v>1294633556</v>
      </c>
      <c r="J3878">
        <v>1112251720</v>
      </c>
      <c r="K3878">
        <v>1089965891</v>
      </c>
      <c r="L3878">
        <v>852947003</v>
      </c>
      <c r="M3878">
        <v>491174773</v>
      </c>
      <c r="N3878">
        <v>424959278</v>
      </c>
      <c r="O3878">
        <v>334277609</v>
      </c>
      <c r="P3878">
        <v>296</v>
      </c>
      <c r="Q3878" t="s">
        <v>8102</v>
      </c>
    </row>
    <row r="3879" spans="1:17" x14ac:dyDescent="0.3">
      <c r="A3879" t="s">
        <v>4729</v>
      </c>
      <c r="B3879" t="str">
        <f>"300079"</f>
        <v>300079</v>
      </c>
      <c r="C3879" t="s">
        <v>8103</v>
      </c>
      <c r="D3879" t="s">
        <v>316</v>
      </c>
      <c r="F3879">
        <v>1027704205</v>
      </c>
      <c r="G3879">
        <v>986667923</v>
      </c>
      <c r="H3879">
        <v>1016372859</v>
      </c>
      <c r="I3879">
        <v>1566240828</v>
      </c>
      <c r="J3879">
        <v>1350158439</v>
      </c>
      <c r="K3879">
        <v>1474848649</v>
      </c>
      <c r="L3879">
        <v>1028872282</v>
      </c>
      <c r="M3879">
        <v>547320603</v>
      </c>
      <c r="N3879">
        <v>386551049</v>
      </c>
      <c r="O3879">
        <v>524819669</v>
      </c>
      <c r="P3879">
        <v>261</v>
      </c>
      <c r="Q3879" t="s">
        <v>8104</v>
      </c>
    </row>
    <row r="3880" spans="1:17" x14ac:dyDescent="0.3">
      <c r="A3880" t="s">
        <v>4729</v>
      </c>
      <c r="B3880" t="str">
        <f>"300080"</f>
        <v>300080</v>
      </c>
      <c r="C3880" t="s">
        <v>8105</v>
      </c>
      <c r="D3880" t="s">
        <v>404</v>
      </c>
      <c r="F3880">
        <v>5777829210</v>
      </c>
      <c r="G3880">
        <v>3968500794</v>
      </c>
      <c r="H3880">
        <v>5982139363</v>
      </c>
      <c r="I3880">
        <v>2786296208</v>
      </c>
      <c r="J3880">
        <v>1825753778</v>
      </c>
      <c r="K3880">
        <v>2401627909</v>
      </c>
      <c r="L3880">
        <v>1708760928</v>
      </c>
      <c r="M3880">
        <v>2259034655</v>
      </c>
      <c r="N3880">
        <v>1547704536</v>
      </c>
      <c r="O3880">
        <v>867939657</v>
      </c>
      <c r="P3880">
        <v>111</v>
      </c>
      <c r="Q3880" t="s">
        <v>8106</v>
      </c>
    </row>
    <row r="3881" spans="1:17" x14ac:dyDescent="0.3">
      <c r="A3881" t="s">
        <v>4729</v>
      </c>
      <c r="B3881" t="str">
        <f>"300081"</f>
        <v>300081</v>
      </c>
      <c r="C3881" t="s">
        <v>8107</v>
      </c>
      <c r="D3881" t="s">
        <v>5670</v>
      </c>
      <c r="F3881">
        <v>486798921</v>
      </c>
      <c r="G3881">
        <v>330326158</v>
      </c>
      <c r="H3881">
        <v>546414933</v>
      </c>
      <c r="I3881">
        <v>697723348</v>
      </c>
      <c r="J3881">
        <v>414396876</v>
      </c>
      <c r="K3881">
        <v>407170494</v>
      </c>
      <c r="L3881">
        <v>474880086</v>
      </c>
      <c r="M3881">
        <v>667357603</v>
      </c>
      <c r="N3881">
        <v>937859634</v>
      </c>
      <c r="O3881">
        <v>1099455267</v>
      </c>
      <c r="P3881">
        <v>160</v>
      </c>
      <c r="Q3881" t="s">
        <v>8108</v>
      </c>
    </row>
    <row r="3882" spans="1:17" x14ac:dyDescent="0.3">
      <c r="A3882" t="s">
        <v>4729</v>
      </c>
      <c r="B3882" t="str">
        <f>"300082"</f>
        <v>300082</v>
      </c>
      <c r="C3882" t="s">
        <v>8109</v>
      </c>
      <c r="D3882" t="s">
        <v>1233</v>
      </c>
      <c r="F3882">
        <v>6717428323</v>
      </c>
      <c r="G3882">
        <v>5708496215</v>
      </c>
      <c r="H3882">
        <v>6288423897</v>
      </c>
      <c r="I3882">
        <v>7449022410</v>
      </c>
      <c r="J3882">
        <v>5698886494</v>
      </c>
      <c r="K3882">
        <v>4347120627</v>
      </c>
      <c r="L3882">
        <v>2965318841</v>
      </c>
      <c r="M3882">
        <v>2883095180</v>
      </c>
      <c r="N3882">
        <v>2494097816</v>
      </c>
      <c r="O3882">
        <v>2077383065</v>
      </c>
      <c r="P3882">
        <v>176</v>
      </c>
      <c r="Q3882" t="s">
        <v>8110</v>
      </c>
    </row>
    <row r="3883" spans="1:17" x14ac:dyDescent="0.3">
      <c r="A3883" t="s">
        <v>4729</v>
      </c>
      <c r="B3883" t="str">
        <f>"300083"</f>
        <v>300083</v>
      </c>
      <c r="C3883" t="s">
        <v>8111</v>
      </c>
      <c r="D3883" t="s">
        <v>2432</v>
      </c>
      <c r="F3883">
        <v>5261746246</v>
      </c>
      <c r="G3883">
        <v>3475381154</v>
      </c>
      <c r="H3883">
        <v>5439269238</v>
      </c>
      <c r="I3883">
        <v>5506543759</v>
      </c>
      <c r="J3883">
        <v>6421723026</v>
      </c>
      <c r="K3883">
        <v>5136245300</v>
      </c>
      <c r="L3883">
        <v>3566693241</v>
      </c>
      <c r="M3883">
        <v>3980510949</v>
      </c>
      <c r="N3883">
        <v>3278007700</v>
      </c>
      <c r="O3883">
        <v>2029377191</v>
      </c>
      <c r="P3883">
        <v>487</v>
      </c>
      <c r="Q3883" t="s">
        <v>8112</v>
      </c>
    </row>
    <row r="3884" spans="1:17" x14ac:dyDescent="0.3">
      <c r="A3884" t="s">
        <v>4729</v>
      </c>
      <c r="B3884" t="str">
        <f>"300084"</f>
        <v>300084</v>
      </c>
      <c r="C3884" t="s">
        <v>8113</v>
      </c>
      <c r="D3884" t="s">
        <v>395</v>
      </c>
      <c r="F3884">
        <v>608636390</v>
      </c>
      <c r="G3884">
        <v>503660110</v>
      </c>
      <c r="H3884">
        <v>692308236</v>
      </c>
      <c r="I3884">
        <v>701814796</v>
      </c>
      <c r="J3884">
        <v>511638748</v>
      </c>
      <c r="K3884">
        <v>284695186</v>
      </c>
      <c r="L3884">
        <v>407028690</v>
      </c>
      <c r="M3884">
        <v>315563871</v>
      </c>
      <c r="N3884">
        <v>233541092</v>
      </c>
      <c r="O3884">
        <v>173019637</v>
      </c>
      <c r="P3884">
        <v>69</v>
      </c>
      <c r="Q3884" t="s">
        <v>8114</v>
      </c>
    </row>
    <row r="3885" spans="1:17" x14ac:dyDescent="0.3">
      <c r="A3885" t="s">
        <v>4729</v>
      </c>
      <c r="B3885" t="str">
        <f>"300085"</f>
        <v>300085</v>
      </c>
      <c r="C3885" t="s">
        <v>8115</v>
      </c>
      <c r="D3885" t="s">
        <v>945</v>
      </c>
      <c r="F3885">
        <v>1188137635</v>
      </c>
      <c r="G3885">
        <v>1390460208</v>
      </c>
      <c r="H3885">
        <v>1181006554</v>
      </c>
      <c r="I3885">
        <v>1299251173</v>
      </c>
      <c r="J3885">
        <v>1147678765</v>
      </c>
      <c r="K3885">
        <v>937521066</v>
      </c>
      <c r="L3885">
        <v>619663716</v>
      </c>
      <c r="M3885">
        <v>192124041</v>
      </c>
      <c r="N3885">
        <v>110074729</v>
      </c>
      <c r="O3885">
        <v>100527998</v>
      </c>
      <c r="P3885">
        <v>255</v>
      </c>
      <c r="Q3885" t="s">
        <v>8116</v>
      </c>
    </row>
    <row r="3886" spans="1:17" x14ac:dyDescent="0.3">
      <c r="A3886" t="s">
        <v>4729</v>
      </c>
      <c r="B3886" t="str">
        <f>"300086"</f>
        <v>300086</v>
      </c>
      <c r="C3886" t="s">
        <v>8117</v>
      </c>
      <c r="D3886" t="s">
        <v>143</v>
      </c>
      <c r="F3886">
        <v>836565806</v>
      </c>
      <c r="G3886">
        <v>921642903</v>
      </c>
      <c r="H3886">
        <v>1008431483</v>
      </c>
      <c r="I3886">
        <v>882744803</v>
      </c>
      <c r="J3886">
        <v>480831720</v>
      </c>
      <c r="K3886">
        <v>471474596</v>
      </c>
      <c r="L3886">
        <v>409757277</v>
      </c>
      <c r="M3886">
        <v>408538465</v>
      </c>
      <c r="N3886">
        <v>309337001</v>
      </c>
      <c r="O3886">
        <v>368780280</v>
      </c>
      <c r="P3886">
        <v>106</v>
      </c>
      <c r="Q3886" t="s">
        <v>8118</v>
      </c>
    </row>
    <row r="3887" spans="1:17" x14ac:dyDescent="0.3">
      <c r="A3887" t="s">
        <v>4729</v>
      </c>
      <c r="B3887" t="str">
        <f>"300087"</f>
        <v>300087</v>
      </c>
      <c r="C3887" t="s">
        <v>8119</v>
      </c>
      <c r="D3887" t="s">
        <v>706</v>
      </c>
      <c r="F3887">
        <v>2520772779</v>
      </c>
      <c r="G3887">
        <v>1601709080</v>
      </c>
      <c r="H3887">
        <v>1153661614</v>
      </c>
      <c r="I3887">
        <v>910315373</v>
      </c>
      <c r="J3887">
        <v>947465898</v>
      </c>
      <c r="K3887">
        <v>757218222</v>
      </c>
      <c r="L3887">
        <v>607448026</v>
      </c>
      <c r="M3887">
        <v>469022777</v>
      </c>
      <c r="N3887">
        <v>466066717</v>
      </c>
      <c r="O3887">
        <v>406748489</v>
      </c>
      <c r="P3887">
        <v>231</v>
      </c>
      <c r="Q3887" t="s">
        <v>8120</v>
      </c>
    </row>
    <row r="3888" spans="1:17" x14ac:dyDescent="0.3">
      <c r="A3888" t="s">
        <v>4729</v>
      </c>
      <c r="B3888" t="str">
        <f>"300088"</f>
        <v>300088</v>
      </c>
      <c r="C3888" t="s">
        <v>8121</v>
      </c>
      <c r="D3888" t="s">
        <v>1117</v>
      </c>
      <c r="F3888">
        <v>7018425455</v>
      </c>
      <c r="G3888">
        <v>6843956121</v>
      </c>
      <c r="H3888">
        <v>6023777582</v>
      </c>
      <c r="I3888">
        <v>9614875119</v>
      </c>
      <c r="J3888">
        <v>10884372419</v>
      </c>
      <c r="K3888">
        <v>8541662085</v>
      </c>
      <c r="L3888">
        <v>3986994516</v>
      </c>
      <c r="M3888">
        <v>1643380579</v>
      </c>
      <c r="N3888">
        <v>1097352514</v>
      </c>
      <c r="O3888">
        <v>810345077</v>
      </c>
      <c r="P3888">
        <v>949</v>
      </c>
      <c r="Q3888" t="s">
        <v>8122</v>
      </c>
    </row>
    <row r="3889" spans="1:17" x14ac:dyDescent="0.3">
      <c r="A3889" t="s">
        <v>4729</v>
      </c>
      <c r="B3889" t="str">
        <f>"300089"</f>
        <v>300089</v>
      </c>
      <c r="C3889" t="s">
        <v>8123</v>
      </c>
      <c r="D3889" t="s">
        <v>1336</v>
      </c>
      <c r="F3889">
        <v>75771159</v>
      </c>
      <c r="G3889">
        <v>126552542</v>
      </c>
      <c r="H3889">
        <v>271336353</v>
      </c>
      <c r="I3889">
        <v>376925223</v>
      </c>
      <c r="J3889">
        <v>540117837</v>
      </c>
      <c r="K3889">
        <v>452394180</v>
      </c>
      <c r="L3889">
        <v>444932650</v>
      </c>
      <c r="M3889">
        <v>448608115</v>
      </c>
      <c r="N3889">
        <v>415376055</v>
      </c>
      <c r="O3889">
        <v>371313399</v>
      </c>
      <c r="P3889">
        <v>101</v>
      </c>
      <c r="Q3889" t="s">
        <v>8124</v>
      </c>
    </row>
    <row r="3890" spans="1:17" x14ac:dyDescent="0.3">
      <c r="A3890" t="s">
        <v>4729</v>
      </c>
      <c r="B3890" t="str">
        <f>"300090"</f>
        <v>300090</v>
      </c>
      <c r="C3890" t="s">
        <v>8125</v>
      </c>
      <c r="H3890">
        <v>635669561</v>
      </c>
      <c r="I3890">
        <v>515475081</v>
      </c>
      <c r="J3890">
        <v>1357802858</v>
      </c>
      <c r="K3890">
        <v>1572382068</v>
      </c>
      <c r="L3890">
        <v>1640325013</v>
      </c>
      <c r="M3890">
        <v>1210136819</v>
      </c>
      <c r="N3890">
        <v>1170070054</v>
      </c>
      <c r="O3890">
        <v>848742181</v>
      </c>
      <c r="P3890">
        <v>72</v>
      </c>
      <c r="Q3890" t="s">
        <v>8126</v>
      </c>
    </row>
    <row r="3891" spans="1:17" x14ac:dyDescent="0.3">
      <c r="A3891" t="s">
        <v>4729</v>
      </c>
      <c r="B3891" t="str">
        <f>"300091"</f>
        <v>300091</v>
      </c>
      <c r="C3891" t="s">
        <v>8127</v>
      </c>
      <c r="D3891" t="s">
        <v>560</v>
      </c>
      <c r="F3891">
        <v>1754853936</v>
      </c>
      <c r="G3891">
        <v>1436058154</v>
      </c>
      <c r="H3891">
        <v>1880330200</v>
      </c>
      <c r="I3891">
        <v>1945256809</v>
      </c>
      <c r="J3891">
        <v>1463461741</v>
      </c>
      <c r="K3891">
        <v>946065766</v>
      </c>
      <c r="L3891">
        <v>902525213</v>
      </c>
      <c r="M3891">
        <v>856701778</v>
      </c>
      <c r="N3891">
        <v>703666588</v>
      </c>
      <c r="O3891">
        <v>605935096</v>
      </c>
      <c r="P3891">
        <v>101</v>
      </c>
      <c r="Q3891" t="s">
        <v>8128</v>
      </c>
    </row>
    <row r="3892" spans="1:17" x14ac:dyDescent="0.3">
      <c r="A3892" t="s">
        <v>4729</v>
      </c>
      <c r="B3892" t="str">
        <f>"300092"</f>
        <v>300092</v>
      </c>
      <c r="C3892" t="s">
        <v>8129</v>
      </c>
      <c r="D3892" t="s">
        <v>274</v>
      </c>
      <c r="F3892">
        <v>948136952</v>
      </c>
      <c r="G3892">
        <v>735160832</v>
      </c>
      <c r="H3892">
        <v>594322537</v>
      </c>
      <c r="I3892">
        <v>475538627</v>
      </c>
      <c r="J3892">
        <v>333637069</v>
      </c>
      <c r="K3892">
        <v>374372570</v>
      </c>
      <c r="L3892">
        <v>235317240</v>
      </c>
      <c r="M3892">
        <v>311273922</v>
      </c>
      <c r="N3892">
        <v>226051538</v>
      </c>
      <c r="O3892">
        <v>169115141</v>
      </c>
      <c r="P3892">
        <v>81</v>
      </c>
      <c r="Q3892" t="s">
        <v>8130</v>
      </c>
    </row>
    <row r="3893" spans="1:17" x14ac:dyDescent="0.3">
      <c r="A3893" t="s">
        <v>4729</v>
      </c>
      <c r="B3893" t="str">
        <f>"300093"</f>
        <v>300093</v>
      </c>
      <c r="C3893" t="s">
        <v>8131</v>
      </c>
      <c r="D3893" t="s">
        <v>666</v>
      </c>
      <c r="F3893">
        <v>320734662</v>
      </c>
      <c r="G3893">
        <v>329294717</v>
      </c>
      <c r="H3893">
        <v>612769305</v>
      </c>
      <c r="I3893">
        <v>737677318</v>
      </c>
      <c r="J3893">
        <v>600548553</v>
      </c>
      <c r="K3893">
        <v>352259956</v>
      </c>
      <c r="L3893">
        <v>349886473</v>
      </c>
      <c r="M3893">
        <v>433172013</v>
      </c>
      <c r="N3893">
        <v>400435133</v>
      </c>
      <c r="O3893">
        <v>357956818</v>
      </c>
      <c r="P3893">
        <v>80</v>
      </c>
      <c r="Q3893" t="s">
        <v>8132</v>
      </c>
    </row>
    <row r="3894" spans="1:17" x14ac:dyDescent="0.3">
      <c r="A3894" t="s">
        <v>4729</v>
      </c>
      <c r="B3894" t="str">
        <f>"300094"</f>
        <v>300094</v>
      </c>
      <c r="C3894" t="s">
        <v>8133</v>
      </c>
      <c r="D3894" t="s">
        <v>587</v>
      </c>
      <c r="F3894">
        <v>4474169975</v>
      </c>
      <c r="G3894">
        <v>4494106123</v>
      </c>
      <c r="H3894">
        <v>4627638027</v>
      </c>
      <c r="I3894">
        <v>4729162475</v>
      </c>
      <c r="J3894">
        <v>4095806660</v>
      </c>
      <c r="K3894">
        <v>2621366941</v>
      </c>
      <c r="L3894">
        <v>2070469927</v>
      </c>
      <c r="M3894">
        <v>2129362232</v>
      </c>
      <c r="N3894">
        <v>2213827410</v>
      </c>
      <c r="O3894">
        <v>1452799068</v>
      </c>
      <c r="P3894">
        <v>123</v>
      </c>
      <c r="Q3894" t="s">
        <v>8134</v>
      </c>
    </row>
    <row r="3895" spans="1:17" x14ac:dyDescent="0.3">
      <c r="A3895" t="s">
        <v>4729</v>
      </c>
      <c r="B3895" t="str">
        <f>"300095"</f>
        <v>300095</v>
      </c>
      <c r="C3895" t="s">
        <v>8135</v>
      </c>
      <c r="D3895" t="s">
        <v>274</v>
      </c>
      <c r="F3895">
        <v>1435468449</v>
      </c>
      <c r="G3895">
        <v>1314830576</v>
      </c>
      <c r="H3895">
        <v>1073675537</v>
      </c>
      <c r="I3895">
        <v>925290768</v>
      </c>
      <c r="J3895">
        <v>679932407</v>
      </c>
      <c r="K3895">
        <v>594345649</v>
      </c>
      <c r="L3895">
        <v>566014288</v>
      </c>
      <c r="M3895">
        <v>677903253</v>
      </c>
      <c r="N3895">
        <v>422710035</v>
      </c>
      <c r="O3895">
        <v>321210770</v>
      </c>
      <c r="P3895">
        <v>128</v>
      </c>
      <c r="Q3895" t="s">
        <v>8136</v>
      </c>
    </row>
    <row r="3896" spans="1:17" x14ac:dyDescent="0.3">
      <c r="A3896" t="s">
        <v>4729</v>
      </c>
      <c r="B3896" t="str">
        <f>"300096"</f>
        <v>300096</v>
      </c>
      <c r="C3896" t="s">
        <v>8137</v>
      </c>
      <c r="D3896" t="s">
        <v>316</v>
      </c>
      <c r="F3896">
        <v>871000843</v>
      </c>
      <c r="G3896">
        <v>1051064058</v>
      </c>
      <c r="H3896">
        <v>948718437</v>
      </c>
      <c r="I3896">
        <v>729805790</v>
      </c>
      <c r="J3896">
        <v>625540124</v>
      </c>
      <c r="K3896">
        <v>514673329</v>
      </c>
      <c r="L3896">
        <v>374099218</v>
      </c>
      <c r="M3896">
        <v>402179494</v>
      </c>
      <c r="N3896">
        <v>300929841</v>
      </c>
      <c r="O3896">
        <v>279797748</v>
      </c>
      <c r="P3896">
        <v>169</v>
      </c>
      <c r="Q3896" t="s">
        <v>8138</v>
      </c>
    </row>
    <row r="3897" spans="1:17" x14ac:dyDescent="0.3">
      <c r="A3897" t="s">
        <v>4729</v>
      </c>
      <c r="B3897" t="str">
        <f>"300097"</f>
        <v>300097</v>
      </c>
      <c r="C3897" t="s">
        <v>8139</v>
      </c>
      <c r="D3897" t="s">
        <v>3477</v>
      </c>
      <c r="F3897">
        <v>709676356</v>
      </c>
      <c r="G3897">
        <v>1187325842</v>
      </c>
      <c r="H3897">
        <v>303145104</v>
      </c>
      <c r="I3897">
        <v>975900111</v>
      </c>
      <c r="J3897">
        <v>912991825</v>
      </c>
      <c r="K3897">
        <v>602028932</v>
      </c>
      <c r="L3897">
        <v>421020487</v>
      </c>
      <c r="M3897">
        <v>219029992</v>
      </c>
      <c r="N3897">
        <v>221118869</v>
      </c>
      <c r="O3897">
        <v>162354430</v>
      </c>
      <c r="P3897">
        <v>203</v>
      </c>
      <c r="Q3897" t="s">
        <v>8140</v>
      </c>
    </row>
    <row r="3898" spans="1:17" x14ac:dyDescent="0.3">
      <c r="A3898" t="s">
        <v>4729</v>
      </c>
      <c r="B3898" t="str">
        <f>"300098"</f>
        <v>300098</v>
      </c>
      <c r="C3898" t="s">
        <v>8141</v>
      </c>
      <c r="D3898" t="s">
        <v>945</v>
      </c>
      <c r="F3898">
        <v>2672941318</v>
      </c>
      <c r="G3898">
        <v>2326086511</v>
      </c>
      <c r="H3898">
        <v>2693234817</v>
      </c>
      <c r="I3898">
        <v>3562832790</v>
      </c>
      <c r="J3898">
        <v>2237019732</v>
      </c>
      <c r="K3898">
        <v>1307666649</v>
      </c>
      <c r="L3898">
        <v>1080593151</v>
      </c>
      <c r="M3898">
        <v>737332004</v>
      </c>
      <c r="N3898">
        <v>536831460</v>
      </c>
      <c r="O3898">
        <v>302196863</v>
      </c>
      <c r="P3898">
        <v>368</v>
      </c>
      <c r="Q3898" t="s">
        <v>8142</v>
      </c>
    </row>
    <row r="3899" spans="1:17" x14ac:dyDescent="0.3">
      <c r="A3899" t="s">
        <v>4729</v>
      </c>
      <c r="B3899" t="str">
        <f>"300099"</f>
        <v>300099</v>
      </c>
      <c r="C3899" t="s">
        <v>8143</v>
      </c>
      <c r="D3899" t="s">
        <v>395</v>
      </c>
      <c r="F3899">
        <v>754017566</v>
      </c>
      <c r="G3899">
        <v>537135316</v>
      </c>
      <c r="H3899">
        <v>471866245</v>
      </c>
      <c r="I3899">
        <v>446156029</v>
      </c>
      <c r="J3899">
        <v>422911718</v>
      </c>
      <c r="K3899">
        <v>230358279</v>
      </c>
      <c r="L3899">
        <v>165066017</v>
      </c>
      <c r="M3899">
        <v>179044587</v>
      </c>
      <c r="N3899">
        <v>173864169</v>
      </c>
      <c r="O3899">
        <v>194995210</v>
      </c>
      <c r="P3899">
        <v>134</v>
      </c>
      <c r="Q3899" t="s">
        <v>8144</v>
      </c>
    </row>
    <row r="3900" spans="1:17" x14ac:dyDescent="0.3">
      <c r="A3900" t="s">
        <v>4729</v>
      </c>
      <c r="B3900" t="str">
        <f>"300100"</f>
        <v>300100</v>
      </c>
      <c r="C3900" t="s">
        <v>8145</v>
      </c>
      <c r="D3900" t="s">
        <v>191</v>
      </c>
      <c r="F3900">
        <v>3682298615</v>
      </c>
      <c r="G3900">
        <v>3576735899</v>
      </c>
      <c r="H3900">
        <v>4302205376</v>
      </c>
      <c r="I3900">
        <v>5559874292</v>
      </c>
      <c r="J3900">
        <v>4279171692</v>
      </c>
      <c r="K3900">
        <v>3303729514</v>
      </c>
      <c r="L3900">
        <v>2472233671</v>
      </c>
      <c r="M3900">
        <v>1497240270</v>
      </c>
      <c r="N3900">
        <v>1205672153</v>
      </c>
      <c r="O3900">
        <v>1074140850</v>
      </c>
      <c r="P3900">
        <v>129</v>
      </c>
      <c r="Q3900" t="s">
        <v>8146</v>
      </c>
    </row>
    <row r="3901" spans="1:17" x14ac:dyDescent="0.3">
      <c r="A3901" t="s">
        <v>4729</v>
      </c>
      <c r="B3901" t="str">
        <f>"300101"</f>
        <v>300101</v>
      </c>
      <c r="C3901" t="s">
        <v>8147</v>
      </c>
      <c r="D3901" t="s">
        <v>1136</v>
      </c>
      <c r="F3901">
        <v>793506207</v>
      </c>
      <c r="G3901">
        <v>577177641</v>
      </c>
      <c r="H3901">
        <v>471613448</v>
      </c>
      <c r="I3901">
        <v>443563011</v>
      </c>
      <c r="J3901">
        <v>441185432</v>
      </c>
      <c r="K3901">
        <v>436578527</v>
      </c>
      <c r="L3901">
        <v>535150030</v>
      </c>
      <c r="M3901">
        <v>407197358</v>
      </c>
      <c r="N3901">
        <v>260801414</v>
      </c>
      <c r="O3901">
        <v>202292724</v>
      </c>
      <c r="P3901">
        <v>3120</v>
      </c>
      <c r="Q3901" t="s">
        <v>8148</v>
      </c>
    </row>
    <row r="3902" spans="1:17" x14ac:dyDescent="0.3">
      <c r="A3902" t="s">
        <v>4729</v>
      </c>
      <c r="B3902" t="str">
        <f>"300102"</f>
        <v>300102</v>
      </c>
      <c r="C3902" t="s">
        <v>8149</v>
      </c>
      <c r="D3902" t="s">
        <v>803</v>
      </c>
      <c r="F3902">
        <v>1879142371</v>
      </c>
      <c r="G3902">
        <v>1315719834</v>
      </c>
      <c r="H3902">
        <v>1039240844</v>
      </c>
      <c r="I3902">
        <v>1029561966</v>
      </c>
      <c r="J3902">
        <v>1130287914</v>
      </c>
      <c r="K3902">
        <v>1149632814</v>
      </c>
      <c r="L3902">
        <v>614470377</v>
      </c>
      <c r="M3902">
        <v>426368263</v>
      </c>
      <c r="N3902">
        <v>479500571</v>
      </c>
      <c r="O3902">
        <v>376268820</v>
      </c>
      <c r="P3902">
        <v>158</v>
      </c>
      <c r="Q3902" t="s">
        <v>8150</v>
      </c>
    </row>
    <row r="3903" spans="1:17" x14ac:dyDescent="0.3">
      <c r="A3903" t="s">
        <v>4729</v>
      </c>
      <c r="B3903" t="str">
        <f>"300103"</f>
        <v>300103</v>
      </c>
      <c r="C3903" t="s">
        <v>8151</v>
      </c>
      <c r="D3903" t="s">
        <v>741</v>
      </c>
      <c r="F3903">
        <v>1007805689</v>
      </c>
      <c r="G3903">
        <v>1279083607</v>
      </c>
      <c r="H3903">
        <v>1170639804</v>
      </c>
      <c r="I3903">
        <v>233981513</v>
      </c>
      <c r="J3903">
        <v>293622847</v>
      </c>
      <c r="K3903">
        <v>219707250</v>
      </c>
      <c r="L3903">
        <v>226820713</v>
      </c>
      <c r="M3903">
        <v>330683611</v>
      </c>
      <c r="N3903">
        <v>533873608</v>
      </c>
      <c r="O3903">
        <v>241842061</v>
      </c>
      <c r="P3903">
        <v>53</v>
      </c>
      <c r="Q3903" t="s">
        <v>8152</v>
      </c>
    </row>
    <row r="3904" spans="1:17" x14ac:dyDescent="0.3">
      <c r="A3904" t="s">
        <v>4729</v>
      </c>
      <c r="B3904" t="str">
        <f>"300104"</f>
        <v>300104</v>
      </c>
      <c r="C3904" t="s">
        <v>8153</v>
      </c>
      <c r="H3904">
        <v>485548236</v>
      </c>
      <c r="I3904">
        <v>1557777927</v>
      </c>
      <c r="J3904">
        <v>7025215802</v>
      </c>
      <c r="K3904">
        <v>21950951410</v>
      </c>
      <c r="L3904">
        <v>13016725124.120001</v>
      </c>
      <c r="M3904">
        <v>6818938622.3800001</v>
      </c>
      <c r="N3904">
        <v>2361244730.8600001</v>
      </c>
      <c r="O3904">
        <v>1167307146.72</v>
      </c>
      <c r="P3904">
        <v>205</v>
      </c>
      <c r="Q3904" t="s">
        <v>8154</v>
      </c>
    </row>
    <row r="3905" spans="1:17" x14ac:dyDescent="0.3">
      <c r="A3905" t="s">
        <v>4729</v>
      </c>
      <c r="B3905" t="str">
        <f>"300105"</f>
        <v>300105</v>
      </c>
      <c r="C3905" t="s">
        <v>8155</v>
      </c>
      <c r="D3905" t="s">
        <v>470</v>
      </c>
      <c r="F3905">
        <v>541774831</v>
      </c>
      <c r="G3905">
        <v>458294144</v>
      </c>
      <c r="H3905">
        <v>513336357</v>
      </c>
      <c r="I3905">
        <v>463838042</v>
      </c>
      <c r="J3905">
        <v>595959880</v>
      </c>
      <c r="K3905">
        <v>444533830</v>
      </c>
      <c r="L3905">
        <v>837764720</v>
      </c>
      <c r="M3905">
        <v>1637947973</v>
      </c>
      <c r="N3905">
        <v>1380484136</v>
      </c>
      <c r="O3905">
        <v>1236712620</v>
      </c>
      <c r="P3905">
        <v>56</v>
      </c>
      <c r="Q3905" t="s">
        <v>8156</v>
      </c>
    </row>
    <row r="3906" spans="1:17" x14ac:dyDescent="0.3">
      <c r="A3906" t="s">
        <v>4729</v>
      </c>
      <c r="B3906" t="str">
        <f>"300106"</f>
        <v>300106</v>
      </c>
      <c r="C3906" t="s">
        <v>8157</v>
      </c>
      <c r="D3906" t="s">
        <v>900</v>
      </c>
      <c r="F3906">
        <v>1127956763</v>
      </c>
      <c r="G3906">
        <v>820327472</v>
      </c>
      <c r="H3906">
        <v>649011242</v>
      </c>
      <c r="I3906">
        <v>677811827</v>
      </c>
      <c r="J3906">
        <v>692557177</v>
      </c>
      <c r="K3906">
        <v>664584792</v>
      </c>
      <c r="L3906">
        <v>599902012</v>
      </c>
      <c r="M3906">
        <v>771379831</v>
      </c>
      <c r="N3906">
        <v>451460275</v>
      </c>
      <c r="O3906">
        <v>481038880</v>
      </c>
      <c r="P3906">
        <v>124</v>
      </c>
      <c r="Q3906" t="s">
        <v>8158</v>
      </c>
    </row>
    <row r="3907" spans="1:17" x14ac:dyDescent="0.3">
      <c r="A3907" t="s">
        <v>4729</v>
      </c>
      <c r="B3907" t="str">
        <f>"300107"</f>
        <v>300107</v>
      </c>
      <c r="C3907" t="s">
        <v>8159</v>
      </c>
      <c r="D3907" t="s">
        <v>779</v>
      </c>
      <c r="F3907">
        <v>628149907</v>
      </c>
      <c r="G3907">
        <v>563706642</v>
      </c>
      <c r="H3907">
        <v>925158518</v>
      </c>
      <c r="I3907">
        <v>1418294158</v>
      </c>
      <c r="J3907">
        <v>535879621</v>
      </c>
      <c r="K3907">
        <v>331189777</v>
      </c>
      <c r="L3907">
        <v>415550820</v>
      </c>
      <c r="M3907">
        <v>466351108</v>
      </c>
      <c r="N3907">
        <v>411312678</v>
      </c>
      <c r="O3907">
        <v>351711158</v>
      </c>
      <c r="P3907">
        <v>239</v>
      </c>
      <c r="Q3907" t="s">
        <v>8160</v>
      </c>
    </row>
    <row r="3908" spans="1:17" x14ac:dyDescent="0.3">
      <c r="A3908" t="s">
        <v>4729</v>
      </c>
      <c r="B3908" t="str">
        <f>"300108"</f>
        <v>300108</v>
      </c>
      <c r="C3908" t="s">
        <v>8161</v>
      </c>
      <c r="D3908" t="s">
        <v>188</v>
      </c>
      <c r="G3908">
        <v>648546129</v>
      </c>
      <c r="H3908">
        <v>1065807540</v>
      </c>
      <c r="I3908">
        <v>942251630</v>
      </c>
      <c r="J3908">
        <v>700439095</v>
      </c>
      <c r="K3908">
        <v>746504134</v>
      </c>
      <c r="L3908">
        <v>678400229</v>
      </c>
      <c r="M3908">
        <v>343262551</v>
      </c>
      <c r="N3908">
        <v>164814147</v>
      </c>
      <c r="O3908">
        <v>159898590</v>
      </c>
      <c r="P3908">
        <v>121</v>
      </c>
      <c r="Q3908" t="s">
        <v>8162</v>
      </c>
    </row>
    <row r="3909" spans="1:17" x14ac:dyDescent="0.3">
      <c r="A3909" t="s">
        <v>4729</v>
      </c>
      <c r="B3909" t="str">
        <f>"300109"</f>
        <v>300109</v>
      </c>
      <c r="C3909" t="s">
        <v>8163</v>
      </c>
      <c r="D3909" t="s">
        <v>386</v>
      </c>
      <c r="F3909">
        <v>1220275246</v>
      </c>
      <c r="G3909">
        <v>978529110</v>
      </c>
      <c r="H3909">
        <v>924426292</v>
      </c>
      <c r="I3909">
        <v>698283178</v>
      </c>
      <c r="J3909">
        <v>488581464</v>
      </c>
      <c r="K3909">
        <v>400618889</v>
      </c>
      <c r="L3909">
        <v>290639761</v>
      </c>
      <c r="M3909">
        <v>253343477</v>
      </c>
      <c r="N3909">
        <v>209389954</v>
      </c>
      <c r="O3909">
        <v>212847088</v>
      </c>
      <c r="P3909">
        <v>122</v>
      </c>
      <c r="Q3909" t="s">
        <v>8164</v>
      </c>
    </row>
    <row r="3910" spans="1:17" x14ac:dyDescent="0.3">
      <c r="A3910" t="s">
        <v>4729</v>
      </c>
      <c r="B3910" t="str">
        <f>"300110"</f>
        <v>300110</v>
      </c>
      <c r="C3910" t="s">
        <v>8165</v>
      </c>
      <c r="D3910" t="s">
        <v>143</v>
      </c>
      <c r="F3910">
        <v>1560855395</v>
      </c>
      <c r="G3910">
        <v>1616318828</v>
      </c>
      <c r="H3910">
        <v>1461940624</v>
      </c>
      <c r="I3910">
        <v>1383859338</v>
      </c>
      <c r="J3910">
        <v>1311875366</v>
      </c>
      <c r="K3910">
        <v>1248972198</v>
      </c>
      <c r="L3910">
        <v>1105896042</v>
      </c>
      <c r="M3910">
        <v>916761353</v>
      </c>
      <c r="N3910">
        <v>867200340</v>
      </c>
      <c r="O3910">
        <v>562034145</v>
      </c>
      <c r="P3910">
        <v>125</v>
      </c>
      <c r="Q3910" t="s">
        <v>8166</v>
      </c>
    </row>
    <row r="3911" spans="1:17" x14ac:dyDescent="0.3">
      <c r="A3911" t="s">
        <v>4729</v>
      </c>
      <c r="B3911" t="str">
        <f>"300111"</f>
        <v>300111</v>
      </c>
      <c r="C3911" t="s">
        <v>8167</v>
      </c>
      <c r="D3911" t="s">
        <v>356</v>
      </c>
      <c r="F3911">
        <v>297289900</v>
      </c>
      <c r="G3911">
        <v>286955031</v>
      </c>
      <c r="H3911">
        <v>836610096</v>
      </c>
      <c r="I3911">
        <v>657371845</v>
      </c>
      <c r="J3911">
        <v>1530021009</v>
      </c>
      <c r="K3911">
        <v>1602802843</v>
      </c>
      <c r="L3911">
        <v>1824241469</v>
      </c>
      <c r="M3911">
        <v>1643895449</v>
      </c>
      <c r="N3911">
        <v>1122921747</v>
      </c>
      <c r="O3911">
        <v>1226008550</v>
      </c>
      <c r="P3911">
        <v>124</v>
      </c>
      <c r="Q3911" t="s">
        <v>8168</v>
      </c>
    </row>
    <row r="3912" spans="1:17" x14ac:dyDescent="0.3">
      <c r="A3912" t="s">
        <v>4729</v>
      </c>
      <c r="B3912" t="str">
        <f>"300112"</f>
        <v>300112</v>
      </c>
      <c r="C3912" t="s">
        <v>8169</v>
      </c>
      <c r="D3912" t="s">
        <v>2566</v>
      </c>
      <c r="F3912">
        <v>947633767</v>
      </c>
      <c r="G3912">
        <v>732202204</v>
      </c>
      <c r="H3912">
        <v>697149079</v>
      </c>
      <c r="I3912">
        <v>593548506</v>
      </c>
      <c r="J3912">
        <v>551912823</v>
      </c>
      <c r="K3912">
        <v>448337436</v>
      </c>
      <c r="L3912">
        <v>390165275</v>
      </c>
      <c r="M3912">
        <v>336973094</v>
      </c>
      <c r="N3912">
        <v>330858390</v>
      </c>
      <c r="O3912">
        <v>281098095</v>
      </c>
      <c r="P3912">
        <v>123</v>
      </c>
      <c r="Q3912" t="s">
        <v>8170</v>
      </c>
    </row>
    <row r="3913" spans="1:17" x14ac:dyDescent="0.3">
      <c r="A3913" t="s">
        <v>4729</v>
      </c>
      <c r="B3913" t="str">
        <f>"300113"</f>
        <v>300113</v>
      </c>
      <c r="C3913" t="s">
        <v>8171</v>
      </c>
      <c r="D3913" t="s">
        <v>517</v>
      </c>
      <c r="F3913">
        <v>1141984521</v>
      </c>
      <c r="G3913">
        <v>1044126474</v>
      </c>
      <c r="H3913">
        <v>1572332758</v>
      </c>
      <c r="I3913">
        <v>1984862606</v>
      </c>
      <c r="J3913">
        <v>1815809316</v>
      </c>
      <c r="K3913">
        <v>1701734075</v>
      </c>
      <c r="L3913">
        <v>1022147307</v>
      </c>
      <c r="M3913">
        <v>649029848</v>
      </c>
      <c r="N3913">
        <v>346929719</v>
      </c>
      <c r="O3913">
        <v>273803119</v>
      </c>
      <c r="P3913">
        <v>481</v>
      </c>
      <c r="Q3913" t="s">
        <v>8172</v>
      </c>
    </row>
    <row r="3914" spans="1:17" x14ac:dyDescent="0.3">
      <c r="A3914" t="s">
        <v>4729</v>
      </c>
      <c r="B3914" t="str">
        <f>"300114"</f>
        <v>300114</v>
      </c>
      <c r="C3914" t="s">
        <v>8173</v>
      </c>
      <c r="D3914" t="s">
        <v>1136</v>
      </c>
      <c r="F3914">
        <v>1942801972</v>
      </c>
      <c r="G3914">
        <v>1759918752</v>
      </c>
      <c r="H3914">
        <v>1544752375</v>
      </c>
      <c r="I3914">
        <v>1388338961</v>
      </c>
      <c r="J3914">
        <v>1240987228</v>
      </c>
      <c r="K3914">
        <v>1086059417</v>
      </c>
      <c r="L3914">
        <v>1024065451</v>
      </c>
      <c r="M3914">
        <v>916903892</v>
      </c>
      <c r="N3914">
        <v>705603497</v>
      </c>
      <c r="O3914">
        <v>567894430</v>
      </c>
      <c r="P3914">
        <v>258</v>
      </c>
      <c r="Q3914" t="s">
        <v>8174</v>
      </c>
    </row>
    <row r="3915" spans="1:17" x14ac:dyDescent="0.3">
      <c r="A3915" t="s">
        <v>4729</v>
      </c>
      <c r="B3915" t="str">
        <f>"300115"</f>
        <v>300115</v>
      </c>
      <c r="C3915" t="s">
        <v>8175</v>
      </c>
      <c r="D3915" t="s">
        <v>313</v>
      </c>
      <c r="F3915">
        <v>11046514988</v>
      </c>
      <c r="G3915">
        <v>9797911445</v>
      </c>
      <c r="H3915">
        <v>8655207884</v>
      </c>
      <c r="I3915">
        <v>8625571967</v>
      </c>
      <c r="J3915">
        <v>8431603741</v>
      </c>
      <c r="K3915">
        <v>6119450934</v>
      </c>
      <c r="L3915">
        <v>3888800544</v>
      </c>
      <c r="M3915">
        <v>2320366459</v>
      </c>
      <c r="N3915">
        <v>1725720986</v>
      </c>
      <c r="O3915">
        <v>1221890011</v>
      </c>
      <c r="P3915">
        <v>870</v>
      </c>
      <c r="Q3915" t="s">
        <v>8176</v>
      </c>
    </row>
    <row r="3916" spans="1:17" x14ac:dyDescent="0.3">
      <c r="A3916" t="s">
        <v>4729</v>
      </c>
      <c r="B3916" t="str">
        <f>"300116"</f>
        <v>300116</v>
      </c>
      <c r="C3916" t="s">
        <v>8177</v>
      </c>
      <c r="D3916" t="s">
        <v>359</v>
      </c>
      <c r="F3916">
        <v>163505219</v>
      </c>
      <c r="G3916">
        <v>140504994</v>
      </c>
      <c r="H3916">
        <v>543815131</v>
      </c>
      <c r="I3916">
        <v>3997392090</v>
      </c>
      <c r="J3916">
        <v>9659611267</v>
      </c>
      <c r="K3916">
        <v>3819601315</v>
      </c>
      <c r="L3916">
        <v>581343054</v>
      </c>
      <c r="M3916">
        <v>351074075</v>
      </c>
      <c r="N3916">
        <v>269464494</v>
      </c>
      <c r="O3916">
        <v>170022180</v>
      </c>
      <c r="P3916">
        <v>173</v>
      </c>
      <c r="Q3916" t="s">
        <v>8178</v>
      </c>
    </row>
    <row r="3917" spans="1:17" x14ac:dyDescent="0.3">
      <c r="A3917" t="s">
        <v>4729</v>
      </c>
      <c r="B3917" t="str">
        <f>"300117"</f>
        <v>300117</v>
      </c>
      <c r="C3917" t="s">
        <v>8179</v>
      </c>
      <c r="D3917" t="s">
        <v>1992</v>
      </c>
      <c r="F3917">
        <v>1429580885</v>
      </c>
      <c r="G3917">
        <v>2078633676</v>
      </c>
      <c r="H3917">
        <v>3437198147</v>
      </c>
      <c r="I3917">
        <v>4254546205</v>
      </c>
      <c r="J3917">
        <v>2929856974</v>
      </c>
      <c r="K3917">
        <v>2152202590</v>
      </c>
      <c r="L3917">
        <v>2098037596</v>
      </c>
      <c r="M3917">
        <v>1833497362</v>
      </c>
      <c r="N3917">
        <v>1390385190</v>
      </c>
      <c r="O3917">
        <v>1109790083</v>
      </c>
      <c r="P3917">
        <v>179</v>
      </c>
      <c r="Q3917" t="s">
        <v>8180</v>
      </c>
    </row>
    <row r="3918" spans="1:17" x14ac:dyDescent="0.3">
      <c r="A3918" t="s">
        <v>4729</v>
      </c>
      <c r="B3918" t="str">
        <f>"300118"</f>
        <v>300118</v>
      </c>
      <c r="C3918" t="s">
        <v>8181</v>
      </c>
      <c r="D3918" t="s">
        <v>356</v>
      </c>
      <c r="F3918">
        <v>18830724181</v>
      </c>
      <c r="G3918">
        <v>16063492271</v>
      </c>
      <c r="H3918">
        <v>14404248251</v>
      </c>
      <c r="I3918">
        <v>9752171142</v>
      </c>
      <c r="J3918">
        <v>11451758846</v>
      </c>
      <c r="K3918">
        <v>7016754698</v>
      </c>
      <c r="L3918">
        <v>5259441986</v>
      </c>
      <c r="M3918">
        <v>2952192280</v>
      </c>
      <c r="N3918">
        <v>2163717175</v>
      </c>
      <c r="O3918">
        <v>1015902911</v>
      </c>
      <c r="P3918">
        <v>443</v>
      </c>
      <c r="Q3918" t="s">
        <v>8182</v>
      </c>
    </row>
    <row r="3919" spans="1:17" x14ac:dyDescent="0.3">
      <c r="A3919" t="s">
        <v>4729</v>
      </c>
      <c r="B3919" t="str">
        <f>"300119"</f>
        <v>300119</v>
      </c>
      <c r="C3919" t="s">
        <v>8183</v>
      </c>
      <c r="D3919" t="s">
        <v>453</v>
      </c>
      <c r="F3919">
        <v>2007138305</v>
      </c>
      <c r="G3919">
        <v>2000407106</v>
      </c>
      <c r="H3919">
        <v>1466580504</v>
      </c>
      <c r="I3919">
        <v>1189866012</v>
      </c>
      <c r="J3919">
        <v>1047334489</v>
      </c>
      <c r="K3919">
        <v>969858494</v>
      </c>
      <c r="L3919">
        <v>792834473</v>
      </c>
      <c r="M3919">
        <v>585196984</v>
      </c>
      <c r="N3919">
        <v>754904372</v>
      </c>
      <c r="O3919">
        <v>656393898</v>
      </c>
      <c r="P3919">
        <v>388</v>
      </c>
      <c r="Q3919" t="s">
        <v>8184</v>
      </c>
    </row>
    <row r="3920" spans="1:17" x14ac:dyDescent="0.3">
      <c r="A3920" t="s">
        <v>4729</v>
      </c>
      <c r="B3920" t="str">
        <f>"300120"</f>
        <v>300120</v>
      </c>
      <c r="C3920" t="s">
        <v>8185</v>
      </c>
      <c r="D3920" t="s">
        <v>1117</v>
      </c>
      <c r="F3920">
        <v>3305858978</v>
      </c>
      <c r="G3920">
        <v>3115096153</v>
      </c>
      <c r="H3920">
        <v>2332307830</v>
      </c>
      <c r="I3920">
        <v>2062642337</v>
      </c>
      <c r="J3920">
        <v>888612678</v>
      </c>
      <c r="K3920">
        <v>630075306</v>
      </c>
      <c r="L3920">
        <v>507100886</v>
      </c>
      <c r="M3920">
        <v>425020519</v>
      </c>
      <c r="N3920">
        <v>413385891</v>
      </c>
      <c r="O3920">
        <v>311908791</v>
      </c>
      <c r="P3920">
        <v>105</v>
      </c>
      <c r="Q3920" t="s">
        <v>8186</v>
      </c>
    </row>
    <row r="3921" spans="1:17" x14ac:dyDescent="0.3">
      <c r="A3921" t="s">
        <v>4729</v>
      </c>
      <c r="B3921" t="str">
        <f>"300121"</f>
        <v>300121</v>
      </c>
      <c r="C3921" t="s">
        <v>8187</v>
      </c>
      <c r="D3921" t="s">
        <v>3128</v>
      </c>
      <c r="F3921">
        <v>2705300824</v>
      </c>
      <c r="G3921">
        <v>1943387548</v>
      </c>
      <c r="H3921">
        <v>2014294669</v>
      </c>
      <c r="I3921">
        <v>2081925236</v>
      </c>
      <c r="J3921">
        <v>1637802829</v>
      </c>
      <c r="K3921">
        <v>1239888904</v>
      </c>
      <c r="L3921">
        <v>860026621</v>
      </c>
      <c r="M3921">
        <v>745357273</v>
      </c>
      <c r="N3921">
        <v>633740019</v>
      </c>
      <c r="O3921">
        <v>389112254</v>
      </c>
      <c r="P3921">
        <v>353</v>
      </c>
      <c r="Q3921" t="s">
        <v>8188</v>
      </c>
    </row>
    <row r="3922" spans="1:17" x14ac:dyDescent="0.3">
      <c r="A3922" t="s">
        <v>4729</v>
      </c>
      <c r="B3922" t="str">
        <f>"300122"</f>
        <v>300122</v>
      </c>
      <c r="C3922" t="s">
        <v>8189</v>
      </c>
      <c r="D3922" t="s">
        <v>1499</v>
      </c>
      <c r="F3922">
        <v>30652415907</v>
      </c>
      <c r="G3922">
        <v>15190366231</v>
      </c>
      <c r="H3922">
        <v>10587318312</v>
      </c>
      <c r="I3922">
        <v>5228307728</v>
      </c>
      <c r="J3922">
        <v>1342568633</v>
      </c>
      <c r="K3922">
        <v>445947152</v>
      </c>
      <c r="L3922">
        <v>712738059</v>
      </c>
      <c r="M3922">
        <v>800937518</v>
      </c>
      <c r="N3922">
        <v>780177947</v>
      </c>
      <c r="O3922">
        <v>760326498</v>
      </c>
      <c r="P3922">
        <v>3426</v>
      </c>
      <c r="Q3922" t="s">
        <v>8190</v>
      </c>
    </row>
    <row r="3923" spans="1:17" x14ac:dyDescent="0.3">
      <c r="A3923" t="s">
        <v>4729</v>
      </c>
      <c r="B3923" t="str">
        <f>"300123"</f>
        <v>300123</v>
      </c>
      <c r="C3923" t="s">
        <v>8191</v>
      </c>
      <c r="D3923" t="s">
        <v>1136</v>
      </c>
      <c r="F3923">
        <v>1587879458</v>
      </c>
      <c r="G3923">
        <v>1812879619</v>
      </c>
      <c r="H3923">
        <v>2205591182</v>
      </c>
      <c r="I3923">
        <v>1411328548</v>
      </c>
      <c r="J3923">
        <v>1046825196</v>
      </c>
      <c r="K3923">
        <v>587122688</v>
      </c>
      <c r="L3923">
        <v>441566516</v>
      </c>
      <c r="M3923">
        <v>386171744</v>
      </c>
      <c r="N3923">
        <v>679780838</v>
      </c>
      <c r="O3923">
        <v>579930612</v>
      </c>
      <c r="P3923">
        <v>232</v>
      </c>
      <c r="Q3923" t="s">
        <v>8192</v>
      </c>
    </row>
    <row r="3924" spans="1:17" x14ac:dyDescent="0.3">
      <c r="A3924" t="s">
        <v>4729</v>
      </c>
      <c r="B3924" t="str">
        <f>"300124"</f>
        <v>300124</v>
      </c>
      <c r="C3924" t="s">
        <v>8193</v>
      </c>
      <c r="D3924" t="s">
        <v>2432</v>
      </c>
      <c r="F3924">
        <v>17943256595</v>
      </c>
      <c r="G3924">
        <v>11511316766</v>
      </c>
      <c r="H3924">
        <v>7390370858</v>
      </c>
      <c r="I3924">
        <v>5874357771</v>
      </c>
      <c r="J3924">
        <v>4777295691</v>
      </c>
      <c r="K3924">
        <v>3660045213</v>
      </c>
      <c r="L3924">
        <v>2770529880</v>
      </c>
      <c r="M3924">
        <v>2242550146</v>
      </c>
      <c r="N3924">
        <v>1725868254</v>
      </c>
      <c r="O3924">
        <v>1193186614</v>
      </c>
      <c r="P3924">
        <v>2412</v>
      </c>
      <c r="Q3924" t="s">
        <v>8194</v>
      </c>
    </row>
    <row r="3925" spans="1:17" x14ac:dyDescent="0.3">
      <c r="A3925" t="s">
        <v>4729</v>
      </c>
      <c r="B3925" t="str">
        <f>"300125"</f>
        <v>300125</v>
      </c>
      <c r="C3925" t="s">
        <v>8195</v>
      </c>
      <c r="D3925" t="s">
        <v>86</v>
      </c>
      <c r="F3925">
        <v>1051376255</v>
      </c>
      <c r="G3925">
        <v>282327985</v>
      </c>
      <c r="H3925">
        <v>110927502</v>
      </c>
      <c r="I3925">
        <v>152256568</v>
      </c>
      <c r="J3925">
        <v>112684305</v>
      </c>
      <c r="K3925">
        <v>162605435</v>
      </c>
      <c r="L3925">
        <v>374410456</v>
      </c>
      <c r="M3925">
        <v>271064412</v>
      </c>
      <c r="N3925">
        <v>417217115</v>
      </c>
      <c r="O3925">
        <v>480506180</v>
      </c>
      <c r="P3925">
        <v>59</v>
      </c>
      <c r="Q3925" t="s">
        <v>8196</v>
      </c>
    </row>
    <row r="3926" spans="1:17" x14ac:dyDescent="0.3">
      <c r="A3926" t="s">
        <v>4729</v>
      </c>
      <c r="B3926" t="str">
        <f>"300126"</f>
        <v>300126</v>
      </c>
      <c r="C3926" t="s">
        <v>8197</v>
      </c>
      <c r="D3926" t="s">
        <v>560</v>
      </c>
      <c r="F3926">
        <v>625928495</v>
      </c>
      <c r="G3926">
        <v>429186076</v>
      </c>
      <c r="H3926">
        <v>459117421</v>
      </c>
      <c r="I3926">
        <v>583196649</v>
      </c>
      <c r="J3926">
        <v>549141830</v>
      </c>
      <c r="K3926">
        <v>527177408</v>
      </c>
      <c r="L3926">
        <v>557153688</v>
      </c>
      <c r="M3926">
        <v>673873586</v>
      </c>
      <c r="N3926">
        <v>600426117</v>
      </c>
      <c r="O3926">
        <v>538082226</v>
      </c>
      <c r="P3926">
        <v>50</v>
      </c>
      <c r="Q3926" t="s">
        <v>8198</v>
      </c>
    </row>
    <row r="3927" spans="1:17" x14ac:dyDescent="0.3">
      <c r="A3927" t="s">
        <v>4729</v>
      </c>
      <c r="B3927" t="str">
        <f>"300127"</f>
        <v>300127</v>
      </c>
      <c r="C3927" t="s">
        <v>8199</v>
      </c>
      <c r="D3927" t="s">
        <v>808</v>
      </c>
      <c r="F3927">
        <v>861144351</v>
      </c>
      <c r="G3927">
        <v>604254589</v>
      </c>
      <c r="H3927">
        <v>602769832</v>
      </c>
      <c r="I3927">
        <v>599073370</v>
      </c>
      <c r="J3927">
        <v>526814340</v>
      </c>
      <c r="K3927">
        <v>423140310</v>
      </c>
      <c r="L3927">
        <v>382037875</v>
      </c>
      <c r="M3927">
        <v>379038193</v>
      </c>
      <c r="N3927">
        <v>353926198</v>
      </c>
      <c r="O3927">
        <v>487163119</v>
      </c>
      <c r="P3927">
        <v>205</v>
      </c>
      <c r="Q3927" t="s">
        <v>8200</v>
      </c>
    </row>
    <row r="3928" spans="1:17" x14ac:dyDescent="0.3">
      <c r="A3928" t="s">
        <v>4729</v>
      </c>
      <c r="B3928" t="str">
        <f>"300128"</f>
        <v>300128</v>
      </c>
      <c r="C3928" t="s">
        <v>8201</v>
      </c>
      <c r="D3928" t="s">
        <v>1117</v>
      </c>
      <c r="F3928">
        <v>972160152</v>
      </c>
      <c r="G3928">
        <v>1364232745</v>
      </c>
      <c r="H3928">
        <v>1579415067</v>
      </c>
      <c r="I3928">
        <v>2564248852</v>
      </c>
      <c r="J3928">
        <v>3021464069</v>
      </c>
      <c r="K3928">
        <v>2973195437</v>
      </c>
      <c r="L3928">
        <v>3154191441</v>
      </c>
      <c r="M3928">
        <v>2653012083</v>
      </c>
      <c r="N3928">
        <v>2039998273</v>
      </c>
      <c r="O3928">
        <v>1963213022</v>
      </c>
      <c r="P3928">
        <v>145</v>
      </c>
      <c r="Q3928" t="s">
        <v>8202</v>
      </c>
    </row>
    <row r="3929" spans="1:17" x14ac:dyDescent="0.3">
      <c r="A3929" t="s">
        <v>4729</v>
      </c>
      <c r="B3929" t="str">
        <f>"300129"</f>
        <v>300129</v>
      </c>
      <c r="C3929" t="s">
        <v>8203</v>
      </c>
      <c r="D3929" t="s">
        <v>950</v>
      </c>
      <c r="F3929">
        <v>3852691831</v>
      </c>
      <c r="G3929">
        <v>3603968482</v>
      </c>
      <c r="H3929">
        <v>2219025768</v>
      </c>
      <c r="I3929">
        <v>1472526169</v>
      </c>
      <c r="J3929">
        <v>1590000234</v>
      </c>
      <c r="K3929">
        <v>1505623355</v>
      </c>
      <c r="L3929">
        <v>1596976579</v>
      </c>
      <c r="M3929">
        <v>1438186434</v>
      </c>
      <c r="N3929">
        <v>1079253554</v>
      </c>
      <c r="O3929">
        <v>671321205</v>
      </c>
      <c r="P3929">
        <v>183</v>
      </c>
      <c r="Q3929" t="s">
        <v>8204</v>
      </c>
    </row>
    <row r="3930" spans="1:17" x14ac:dyDescent="0.3">
      <c r="A3930" t="s">
        <v>4729</v>
      </c>
      <c r="B3930" t="str">
        <f>"300130"</f>
        <v>300130</v>
      </c>
      <c r="C3930" t="s">
        <v>8205</v>
      </c>
      <c r="D3930" t="s">
        <v>236</v>
      </c>
      <c r="F3930">
        <v>3611738607</v>
      </c>
      <c r="G3930">
        <v>2632361743</v>
      </c>
      <c r="H3930">
        <v>3027887475</v>
      </c>
      <c r="I3930">
        <v>2319327319</v>
      </c>
      <c r="J3930">
        <v>1236913539</v>
      </c>
      <c r="K3930">
        <v>1126545907</v>
      </c>
      <c r="L3930">
        <v>977566390</v>
      </c>
      <c r="M3930">
        <v>678200327</v>
      </c>
      <c r="N3930">
        <v>499177768</v>
      </c>
      <c r="O3930">
        <v>495075045</v>
      </c>
      <c r="P3930">
        <v>204</v>
      </c>
      <c r="Q3930" t="s">
        <v>8206</v>
      </c>
    </row>
    <row r="3931" spans="1:17" x14ac:dyDescent="0.3">
      <c r="A3931" t="s">
        <v>4729</v>
      </c>
      <c r="B3931" t="str">
        <f>"300131"</f>
        <v>300131</v>
      </c>
      <c r="C3931" t="s">
        <v>8207</v>
      </c>
      <c r="D3931" t="s">
        <v>313</v>
      </c>
      <c r="F3931">
        <v>6338052198</v>
      </c>
      <c r="G3931">
        <v>10418226285</v>
      </c>
      <c r="H3931">
        <v>11950287044</v>
      </c>
      <c r="I3931">
        <v>12114106675</v>
      </c>
      <c r="J3931">
        <v>7399875317</v>
      </c>
      <c r="K3931">
        <v>4222057089</v>
      </c>
      <c r="L3931">
        <v>1771394932</v>
      </c>
      <c r="M3931">
        <v>490789213</v>
      </c>
      <c r="N3931">
        <v>627878487</v>
      </c>
      <c r="O3931">
        <v>680255890</v>
      </c>
      <c r="P3931">
        <v>207</v>
      </c>
      <c r="Q3931" t="s">
        <v>8208</v>
      </c>
    </row>
    <row r="3932" spans="1:17" x14ac:dyDescent="0.3">
      <c r="A3932" t="s">
        <v>4729</v>
      </c>
      <c r="B3932" t="str">
        <f>"300132"</f>
        <v>300132</v>
      </c>
      <c r="C3932" t="s">
        <v>8209</v>
      </c>
      <c r="D3932" t="s">
        <v>5979</v>
      </c>
      <c r="F3932">
        <v>3693254674</v>
      </c>
      <c r="G3932">
        <v>3864762215</v>
      </c>
      <c r="H3932">
        <v>2908117124</v>
      </c>
      <c r="I3932">
        <v>1421571069</v>
      </c>
      <c r="J3932">
        <v>811205144</v>
      </c>
      <c r="K3932">
        <v>557290829</v>
      </c>
      <c r="L3932">
        <v>588960344</v>
      </c>
      <c r="M3932">
        <v>763215975</v>
      </c>
      <c r="N3932">
        <v>632142165</v>
      </c>
      <c r="O3932">
        <v>554618363</v>
      </c>
      <c r="P3932">
        <v>399</v>
      </c>
      <c r="Q3932" t="s">
        <v>8210</v>
      </c>
    </row>
    <row r="3933" spans="1:17" x14ac:dyDescent="0.3">
      <c r="A3933" t="s">
        <v>4729</v>
      </c>
      <c r="B3933" t="str">
        <f>"300133"</f>
        <v>300133</v>
      </c>
      <c r="C3933" t="s">
        <v>8211</v>
      </c>
      <c r="D3933" t="s">
        <v>113</v>
      </c>
      <c r="F3933">
        <v>3806933413</v>
      </c>
      <c r="G3933">
        <v>3732275926</v>
      </c>
      <c r="H3933">
        <v>2630550523</v>
      </c>
      <c r="I3933">
        <v>5797208569</v>
      </c>
      <c r="J3933">
        <v>5245589747</v>
      </c>
      <c r="K3933">
        <v>4444975811</v>
      </c>
      <c r="L3933">
        <v>2657303261</v>
      </c>
      <c r="M3933">
        <v>1916073153</v>
      </c>
      <c r="N3933">
        <v>920465726</v>
      </c>
      <c r="O3933">
        <v>720911505</v>
      </c>
      <c r="P3933">
        <v>348</v>
      </c>
      <c r="Q3933" t="s">
        <v>8212</v>
      </c>
    </row>
    <row r="3934" spans="1:17" x14ac:dyDescent="0.3">
      <c r="A3934" t="s">
        <v>4729</v>
      </c>
      <c r="B3934" t="str">
        <f>"300134"</f>
        <v>300134</v>
      </c>
      <c r="C3934" t="s">
        <v>8213</v>
      </c>
      <c r="D3934" t="s">
        <v>1019</v>
      </c>
      <c r="F3934">
        <v>2366403116</v>
      </c>
      <c r="G3934">
        <v>2185546101</v>
      </c>
      <c r="H3934">
        <v>2337566466</v>
      </c>
      <c r="I3934">
        <v>1821491862</v>
      </c>
      <c r="J3934">
        <v>1779295196</v>
      </c>
      <c r="K3934">
        <v>2407395164</v>
      </c>
      <c r="L3934">
        <v>2060760425</v>
      </c>
      <c r="M3934">
        <v>2450864004</v>
      </c>
      <c r="N3934">
        <v>1895273112</v>
      </c>
      <c r="O3934">
        <v>1503955271</v>
      </c>
      <c r="P3934">
        <v>342</v>
      </c>
      <c r="Q3934" t="s">
        <v>8214</v>
      </c>
    </row>
    <row r="3935" spans="1:17" x14ac:dyDescent="0.3">
      <c r="A3935" t="s">
        <v>4729</v>
      </c>
      <c r="B3935" t="str">
        <f>"300135"</f>
        <v>300135</v>
      </c>
      <c r="C3935" t="s">
        <v>8215</v>
      </c>
      <c r="D3935" t="s">
        <v>1617</v>
      </c>
      <c r="F3935">
        <v>2282086648</v>
      </c>
      <c r="G3935">
        <v>2018394403</v>
      </c>
      <c r="H3935">
        <v>2429669404</v>
      </c>
      <c r="I3935">
        <v>2049843284</v>
      </c>
      <c r="J3935">
        <v>1799779368</v>
      </c>
      <c r="K3935">
        <v>1379940323</v>
      </c>
      <c r="L3935">
        <v>1752396705</v>
      </c>
      <c r="M3935">
        <v>1769564122</v>
      </c>
      <c r="N3935">
        <v>2113787598</v>
      </c>
      <c r="O3935">
        <v>2190661072</v>
      </c>
      <c r="P3935">
        <v>49</v>
      </c>
      <c r="Q3935" t="s">
        <v>8216</v>
      </c>
    </row>
    <row r="3936" spans="1:17" x14ac:dyDescent="0.3">
      <c r="A3936" t="s">
        <v>4729</v>
      </c>
      <c r="B3936" t="str">
        <f>"300136"</f>
        <v>300136</v>
      </c>
      <c r="C3936" t="s">
        <v>8217</v>
      </c>
      <c r="D3936" t="s">
        <v>313</v>
      </c>
      <c r="F3936">
        <v>7581399623</v>
      </c>
      <c r="G3936">
        <v>6393638346</v>
      </c>
      <c r="H3936">
        <v>5134041894</v>
      </c>
      <c r="I3936">
        <v>4706909439</v>
      </c>
      <c r="J3936">
        <v>3434767796</v>
      </c>
      <c r="K3936">
        <v>2412927484</v>
      </c>
      <c r="L3936">
        <v>1299970710</v>
      </c>
      <c r="M3936">
        <v>807718115</v>
      </c>
      <c r="N3936">
        <v>352281481</v>
      </c>
      <c r="O3936">
        <v>215752989</v>
      </c>
      <c r="P3936">
        <v>2618</v>
      </c>
      <c r="Q3936" t="s">
        <v>8218</v>
      </c>
    </row>
    <row r="3937" spans="1:17" x14ac:dyDescent="0.3">
      <c r="A3937" t="s">
        <v>4729</v>
      </c>
      <c r="B3937" t="str">
        <f>"300137"</f>
        <v>300137</v>
      </c>
      <c r="C3937" t="s">
        <v>8219</v>
      </c>
      <c r="D3937" t="s">
        <v>1070</v>
      </c>
      <c r="F3937">
        <v>1111157819</v>
      </c>
      <c r="G3937">
        <v>1248100876</v>
      </c>
      <c r="H3937">
        <v>1374326135</v>
      </c>
      <c r="I3937">
        <v>1374100144</v>
      </c>
      <c r="J3937">
        <v>1042537655</v>
      </c>
      <c r="K3937">
        <v>789543370</v>
      </c>
      <c r="L3937">
        <v>628141201</v>
      </c>
      <c r="M3937">
        <v>440615657</v>
      </c>
      <c r="N3937">
        <v>334779250</v>
      </c>
      <c r="O3937">
        <v>210402129</v>
      </c>
      <c r="P3937">
        <v>253</v>
      </c>
      <c r="Q3937" t="s">
        <v>8220</v>
      </c>
    </row>
    <row r="3938" spans="1:17" x14ac:dyDescent="0.3">
      <c r="A3938" t="s">
        <v>4729</v>
      </c>
      <c r="B3938" t="str">
        <f>"300138"</f>
        <v>300138</v>
      </c>
      <c r="C3938" t="s">
        <v>8221</v>
      </c>
      <c r="D3938" t="s">
        <v>445</v>
      </c>
      <c r="F3938">
        <v>4873610394</v>
      </c>
      <c r="G3938">
        <v>3912935282</v>
      </c>
      <c r="H3938">
        <v>3265232815</v>
      </c>
      <c r="I3938">
        <v>3063440575</v>
      </c>
      <c r="J3938">
        <v>2772135814</v>
      </c>
      <c r="K3938">
        <v>2140846680</v>
      </c>
      <c r="L3938">
        <v>1267629195</v>
      </c>
      <c r="M3938">
        <v>1207179702</v>
      </c>
      <c r="N3938">
        <v>1186224703</v>
      </c>
      <c r="O3938">
        <v>951326932</v>
      </c>
      <c r="P3938">
        <v>264</v>
      </c>
      <c r="Q3938" t="s">
        <v>8222</v>
      </c>
    </row>
    <row r="3939" spans="1:17" x14ac:dyDescent="0.3">
      <c r="A3939" t="s">
        <v>4729</v>
      </c>
      <c r="B3939" t="str">
        <f>"300139"</f>
        <v>300139</v>
      </c>
      <c r="C3939" t="s">
        <v>8223</v>
      </c>
      <c r="D3939" t="s">
        <v>86</v>
      </c>
      <c r="F3939">
        <v>193226804</v>
      </c>
      <c r="G3939">
        <v>184753312</v>
      </c>
      <c r="H3939">
        <v>359698409</v>
      </c>
      <c r="I3939">
        <v>164476806</v>
      </c>
      <c r="J3939">
        <v>138011778</v>
      </c>
      <c r="K3939">
        <v>225219028</v>
      </c>
      <c r="L3939">
        <v>224086169</v>
      </c>
      <c r="M3939">
        <v>254305801</v>
      </c>
      <c r="N3939">
        <v>291308239</v>
      </c>
      <c r="O3939">
        <v>292556169</v>
      </c>
      <c r="P3939">
        <v>147</v>
      </c>
      <c r="Q3939" t="s">
        <v>8224</v>
      </c>
    </row>
    <row r="3940" spans="1:17" x14ac:dyDescent="0.3">
      <c r="A3940" t="s">
        <v>4729</v>
      </c>
      <c r="B3940" t="str">
        <f>"300140"</f>
        <v>300140</v>
      </c>
      <c r="C3940" t="s">
        <v>8225</v>
      </c>
      <c r="D3940" t="s">
        <v>1070</v>
      </c>
      <c r="F3940">
        <v>1134113314</v>
      </c>
      <c r="G3940">
        <v>1883579283</v>
      </c>
      <c r="H3940">
        <v>2524734694</v>
      </c>
      <c r="I3940">
        <v>1825714129</v>
      </c>
      <c r="J3940">
        <v>1901419573</v>
      </c>
      <c r="K3940">
        <v>1315765900</v>
      </c>
      <c r="L3940">
        <v>289775825</v>
      </c>
      <c r="M3940">
        <v>267474105</v>
      </c>
      <c r="N3940">
        <v>238980130</v>
      </c>
      <c r="O3940">
        <v>206022535</v>
      </c>
      <c r="P3940">
        <v>103</v>
      </c>
      <c r="Q3940" t="s">
        <v>8226</v>
      </c>
    </row>
    <row r="3941" spans="1:17" x14ac:dyDescent="0.3">
      <c r="A3941" t="s">
        <v>4729</v>
      </c>
      <c r="B3941" t="str">
        <f>"300141"</f>
        <v>300141</v>
      </c>
      <c r="C3941" t="s">
        <v>8227</v>
      </c>
      <c r="D3941" t="s">
        <v>657</v>
      </c>
      <c r="F3941">
        <v>325031341</v>
      </c>
      <c r="G3941">
        <v>526364150</v>
      </c>
      <c r="H3941">
        <v>521165264</v>
      </c>
      <c r="I3941">
        <v>754696857</v>
      </c>
      <c r="J3941">
        <v>542710321</v>
      </c>
      <c r="K3941">
        <v>406701296</v>
      </c>
      <c r="L3941">
        <v>301386449</v>
      </c>
      <c r="M3941">
        <v>324972001</v>
      </c>
      <c r="N3941">
        <v>342881211</v>
      </c>
      <c r="O3941">
        <v>276820193</v>
      </c>
      <c r="P3941">
        <v>91</v>
      </c>
      <c r="Q3941" t="s">
        <v>8228</v>
      </c>
    </row>
    <row r="3942" spans="1:17" x14ac:dyDescent="0.3">
      <c r="A3942" t="s">
        <v>4729</v>
      </c>
      <c r="B3942" t="str">
        <f>"300142"</f>
        <v>300142</v>
      </c>
      <c r="C3942" t="s">
        <v>8229</v>
      </c>
      <c r="D3942" t="s">
        <v>1499</v>
      </c>
      <c r="F3942">
        <v>3462831094</v>
      </c>
      <c r="G3942">
        <v>2939021219</v>
      </c>
      <c r="H3942">
        <v>1121220289</v>
      </c>
      <c r="I3942">
        <v>879044696</v>
      </c>
      <c r="J3942">
        <v>668264842</v>
      </c>
      <c r="K3942">
        <v>591004604</v>
      </c>
      <c r="L3942">
        <v>1006027017</v>
      </c>
      <c r="M3942">
        <v>719021311</v>
      </c>
      <c r="N3942">
        <v>583094757</v>
      </c>
      <c r="O3942">
        <v>537558541</v>
      </c>
      <c r="P3942">
        <v>1230</v>
      </c>
      <c r="Q3942" t="s">
        <v>8230</v>
      </c>
    </row>
    <row r="3943" spans="1:17" x14ac:dyDescent="0.3">
      <c r="A3943" t="s">
        <v>4729</v>
      </c>
      <c r="B3943" t="str">
        <f>"300143"</f>
        <v>300143</v>
      </c>
      <c r="C3943" t="s">
        <v>8231</v>
      </c>
      <c r="D3943" t="s">
        <v>1147</v>
      </c>
      <c r="F3943">
        <v>1089867456</v>
      </c>
      <c r="G3943">
        <v>661054432</v>
      </c>
      <c r="H3943">
        <v>572936418</v>
      </c>
      <c r="I3943">
        <v>504024414</v>
      </c>
      <c r="J3943">
        <v>329229598</v>
      </c>
      <c r="K3943">
        <v>432454072</v>
      </c>
      <c r="L3943">
        <v>280137234</v>
      </c>
      <c r="M3943">
        <v>307842535</v>
      </c>
      <c r="N3943">
        <v>254837544</v>
      </c>
      <c r="O3943">
        <v>247828231</v>
      </c>
      <c r="P3943">
        <v>150</v>
      </c>
      <c r="Q3943" t="s">
        <v>8232</v>
      </c>
    </row>
    <row r="3944" spans="1:17" x14ac:dyDescent="0.3">
      <c r="A3944" t="s">
        <v>4729</v>
      </c>
      <c r="B3944" t="str">
        <f>"300144"</f>
        <v>300144</v>
      </c>
      <c r="C3944" t="s">
        <v>8233</v>
      </c>
      <c r="D3944" t="s">
        <v>333</v>
      </c>
      <c r="F3944">
        <v>1184864639</v>
      </c>
      <c r="G3944">
        <v>902586126</v>
      </c>
      <c r="H3944">
        <v>2611753209</v>
      </c>
      <c r="I3944">
        <v>3211192814</v>
      </c>
      <c r="J3944">
        <v>3023831231</v>
      </c>
      <c r="K3944">
        <v>2644228902</v>
      </c>
      <c r="L3944">
        <v>1694513980</v>
      </c>
      <c r="M3944">
        <v>935119130</v>
      </c>
      <c r="N3944">
        <v>678715862</v>
      </c>
      <c r="O3944">
        <v>586157063</v>
      </c>
      <c r="P3944">
        <v>3022</v>
      </c>
      <c r="Q3944" t="s">
        <v>8234</v>
      </c>
    </row>
    <row r="3945" spans="1:17" x14ac:dyDescent="0.3">
      <c r="A3945" t="s">
        <v>4729</v>
      </c>
      <c r="B3945" t="str">
        <f>"300145"</f>
        <v>300145</v>
      </c>
      <c r="C3945" t="s">
        <v>8235</v>
      </c>
      <c r="D3945" t="s">
        <v>560</v>
      </c>
      <c r="F3945">
        <v>5186501853</v>
      </c>
      <c r="G3945">
        <v>4218438814</v>
      </c>
      <c r="H3945">
        <v>4094020406</v>
      </c>
      <c r="I3945">
        <v>4362567001</v>
      </c>
      <c r="J3945">
        <v>3814653406</v>
      </c>
      <c r="K3945">
        <v>2790047965</v>
      </c>
      <c r="L3945">
        <v>1948350527</v>
      </c>
      <c r="M3945">
        <v>1571485351</v>
      </c>
      <c r="N3945">
        <v>1344509488</v>
      </c>
      <c r="O3945">
        <v>1048773863</v>
      </c>
      <c r="P3945">
        <v>281</v>
      </c>
      <c r="Q3945" t="s">
        <v>8236</v>
      </c>
    </row>
    <row r="3946" spans="1:17" x14ac:dyDescent="0.3">
      <c r="A3946" t="s">
        <v>4729</v>
      </c>
      <c r="B3946" t="str">
        <f>"300146"</f>
        <v>300146</v>
      </c>
      <c r="C3946" t="s">
        <v>8237</v>
      </c>
      <c r="D3946" t="s">
        <v>838</v>
      </c>
      <c r="F3946">
        <v>7431278130</v>
      </c>
      <c r="G3946">
        <v>6094900944</v>
      </c>
      <c r="H3946">
        <v>5261799439</v>
      </c>
      <c r="I3946">
        <v>4350775627</v>
      </c>
      <c r="J3946">
        <v>3110795388</v>
      </c>
      <c r="K3946">
        <v>2309112366</v>
      </c>
      <c r="L3946">
        <v>2266043014</v>
      </c>
      <c r="M3946">
        <v>1704980537</v>
      </c>
      <c r="N3946">
        <v>1482241904</v>
      </c>
      <c r="O3946">
        <v>1066692094</v>
      </c>
      <c r="P3946">
        <v>2832</v>
      </c>
      <c r="Q3946" t="s">
        <v>8238</v>
      </c>
    </row>
    <row r="3947" spans="1:17" x14ac:dyDescent="0.3">
      <c r="A3947" t="s">
        <v>4729</v>
      </c>
      <c r="B3947" t="str">
        <f>"300147"</f>
        <v>300147</v>
      </c>
      <c r="C3947" t="s">
        <v>8239</v>
      </c>
      <c r="D3947" t="s">
        <v>188</v>
      </c>
      <c r="F3947">
        <v>2970575842</v>
      </c>
      <c r="G3947">
        <v>3072090656</v>
      </c>
      <c r="H3947">
        <v>2786199517</v>
      </c>
      <c r="I3947">
        <v>2504252348</v>
      </c>
      <c r="J3947">
        <v>2187317438</v>
      </c>
      <c r="K3947">
        <v>1862087874</v>
      </c>
      <c r="L3947">
        <v>1464604842</v>
      </c>
      <c r="M3947">
        <v>1523980138</v>
      </c>
      <c r="N3947">
        <v>1261114652</v>
      </c>
      <c r="O3947">
        <v>801020213</v>
      </c>
      <c r="P3947">
        <v>166</v>
      </c>
      <c r="Q3947" t="s">
        <v>8240</v>
      </c>
    </row>
    <row r="3948" spans="1:17" x14ac:dyDescent="0.3">
      <c r="A3948" t="s">
        <v>4729</v>
      </c>
      <c r="B3948" t="str">
        <f>"300148"</f>
        <v>300148</v>
      </c>
      <c r="C3948" t="s">
        <v>8241</v>
      </c>
      <c r="D3948" t="s">
        <v>517</v>
      </c>
      <c r="F3948">
        <v>505470902</v>
      </c>
      <c r="G3948">
        <v>847680612</v>
      </c>
      <c r="H3948">
        <v>1239714281</v>
      </c>
      <c r="I3948">
        <v>1125804691</v>
      </c>
      <c r="J3948">
        <v>936023719</v>
      </c>
      <c r="K3948">
        <v>779939640</v>
      </c>
      <c r="L3948">
        <v>544282530</v>
      </c>
      <c r="M3948">
        <v>515755768</v>
      </c>
      <c r="N3948">
        <v>327948372</v>
      </c>
      <c r="O3948">
        <v>279907786</v>
      </c>
      <c r="P3948">
        <v>99</v>
      </c>
      <c r="Q3948" t="s">
        <v>8242</v>
      </c>
    </row>
    <row r="3949" spans="1:17" x14ac:dyDescent="0.3">
      <c r="A3949" t="s">
        <v>4729</v>
      </c>
      <c r="B3949" t="str">
        <f>"300149"</f>
        <v>300149</v>
      </c>
      <c r="C3949" t="s">
        <v>8243</v>
      </c>
      <c r="D3949" t="s">
        <v>1461</v>
      </c>
      <c r="F3949">
        <v>1690677943</v>
      </c>
      <c r="G3949">
        <v>1481591873</v>
      </c>
      <c r="H3949">
        <v>1327826062</v>
      </c>
      <c r="I3949">
        <v>996915340</v>
      </c>
      <c r="J3949">
        <v>275353625</v>
      </c>
      <c r="K3949">
        <v>258644541</v>
      </c>
      <c r="L3949">
        <v>318645039</v>
      </c>
      <c r="M3949">
        <v>281166916</v>
      </c>
      <c r="N3949">
        <v>256723741</v>
      </c>
      <c r="O3949">
        <v>238697865</v>
      </c>
      <c r="P3949">
        <v>193</v>
      </c>
      <c r="Q3949" t="s">
        <v>8244</v>
      </c>
    </row>
    <row r="3950" spans="1:17" x14ac:dyDescent="0.3">
      <c r="A3950" t="s">
        <v>4729</v>
      </c>
      <c r="B3950" t="str">
        <f>"300150"</f>
        <v>300150</v>
      </c>
      <c r="C3950" t="s">
        <v>8245</v>
      </c>
      <c r="D3950" t="s">
        <v>316</v>
      </c>
      <c r="F3950">
        <v>940392496</v>
      </c>
      <c r="G3950">
        <v>777225091</v>
      </c>
      <c r="H3950">
        <v>894333745</v>
      </c>
      <c r="I3950">
        <v>673496544</v>
      </c>
      <c r="J3950">
        <v>522835100</v>
      </c>
      <c r="K3950">
        <v>469693746</v>
      </c>
      <c r="L3950">
        <v>391890175</v>
      </c>
      <c r="M3950">
        <v>332546030</v>
      </c>
      <c r="N3950">
        <v>236849779</v>
      </c>
      <c r="O3950">
        <v>231459298</v>
      </c>
      <c r="P3950">
        <v>121</v>
      </c>
      <c r="Q3950" t="s">
        <v>8246</v>
      </c>
    </row>
    <row r="3951" spans="1:17" x14ac:dyDescent="0.3">
      <c r="A3951" t="s">
        <v>4729</v>
      </c>
      <c r="B3951" t="str">
        <f>"300151"</f>
        <v>300151</v>
      </c>
      <c r="C3951" t="s">
        <v>8247</v>
      </c>
      <c r="D3951" t="s">
        <v>741</v>
      </c>
      <c r="F3951">
        <v>1127382019</v>
      </c>
      <c r="G3951">
        <v>1118018433</v>
      </c>
      <c r="H3951">
        <v>715362940</v>
      </c>
      <c r="I3951">
        <v>693654839</v>
      </c>
      <c r="J3951">
        <v>598803876</v>
      </c>
      <c r="K3951">
        <v>588311715</v>
      </c>
      <c r="L3951">
        <v>548715488</v>
      </c>
      <c r="M3951">
        <v>578661802</v>
      </c>
      <c r="N3951">
        <v>617390940</v>
      </c>
      <c r="O3951">
        <v>493613129</v>
      </c>
      <c r="P3951">
        <v>155</v>
      </c>
      <c r="Q3951" t="s">
        <v>8248</v>
      </c>
    </row>
    <row r="3952" spans="1:17" x14ac:dyDescent="0.3">
      <c r="A3952" t="s">
        <v>4729</v>
      </c>
      <c r="B3952" t="str">
        <f>"300152"</f>
        <v>300152</v>
      </c>
      <c r="C3952" t="s">
        <v>8249</v>
      </c>
      <c r="D3952" t="s">
        <v>3575</v>
      </c>
      <c r="F3952">
        <v>176403460</v>
      </c>
      <c r="G3952">
        <v>514946526</v>
      </c>
      <c r="H3952">
        <v>513408321</v>
      </c>
      <c r="I3952">
        <v>526434766</v>
      </c>
      <c r="J3952">
        <v>654510554</v>
      </c>
      <c r="K3952">
        <v>764866898</v>
      </c>
      <c r="L3952">
        <v>998642626</v>
      </c>
      <c r="M3952">
        <v>842523041</v>
      </c>
      <c r="N3952">
        <v>570638953</v>
      </c>
      <c r="O3952">
        <v>405108661</v>
      </c>
      <c r="P3952">
        <v>92</v>
      </c>
      <c r="Q3952" t="s">
        <v>8250</v>
      </c>
    </row>
    <row r="3953" spans="1:17" x14ac:dyDescent="0.3">
      <c r="A3953" t="s">
        <v>4729</v>
      </c>
      <c r="B3953" t="str">
        <f>"300153"</f>
        <v>300153</v>
      </c>
      <c r="C3953" t="s">
        <v>8251</v>
      </c>
      <c r="D3953" t="s">
        <v>880</v>
      </c>
      <c r="F3953">
        <v>952949491</v>
      </c>
      <c r="G3953">
        <v>702130778</v>
      </c>
      <c r="H3953">
        <v>1047590310</v>
      </c>
      <c r="I3953">
        <v>1311179140</v>
      </c>
      <c r="J3953">
        <v>1073216984</v>
      </c>
      <c r="K3953">
        <v>815114039</v>
      </c>
      <c r="L3953">
        <v>817356329</v>
      </c>
      <c r="M3953">
        <v>634535346</v>
      </c>
      <c r="N3953">
        <v>465874312</v>
      </c>
      <c r="O3953">
        <v>446223956</v>
      </c>
      <c r="P3953">
        <v>108</v>
      </c>
      <c r="Q3953" t="s">
        <v>8252</v>
      </c>
    </row>
    <row r="3954" spans="1:17" x14ac:dyDescent="0.3">
      <c r="A3954" t="s">
        <v>4729</v>
      </c>
      <c r="B3954" t="str">
        <f>"300154"</f>
        <v>300154</v>
      </c>
      <c r="C3954" t="s">
        <v>8253</v>
      </c>
      <c r="D3954" t="s">
        <v>560</v>
      </c>
      <c r="F3954">
        <v>1082667085</v>
      </c>
      <c r="G3954">
        <v>555630653</v>
      </c>
      <c r="H3954">
        <v>554780889</v>
      </c>
      <c r="I3954">
        <v>577568807</v>
      </c>
      <c r="J3954">
        <v>648076567</v>
      </c>
      <c r="K3954">
        <v>545276239</v>
      </c>
      <c r="L3954">
        <v>552659572</v>
      </c>
      <c r="M3954">
        <v>681444139</v>
      </c>
      <c r="N3954">
        <v>686119252</v>
      </c>
      <c r="O3954">
        <v>758632283</v>
      </c>
      <c r="P3954">
        <v>82</v>
      </c>
      <c r="Q3954" t="s">
        <v>8254</v>
      </c>
    </row>
    <row r="3955" spans="1:17" x14ac:dyDescent="0.3">
      <c r="A3955" t="s">
        <v>4729</v>
      </c>
      <c r="B3955" t="str">
        <f>"300155"</f>
        <v>300155</v>
      </c>
      <c r="C3955" t="s">
        <v>8255</v>
      </c>
      <c r="D3955" t="s">
        <v>2980</v>
      </c>
      <c r="F3955">
        <v>759399709</v>
      </c>
      <c r="G3955">
        <v>937307627</v>
      </c>
      <c r="H3955">
        <v>924120719</v>
      </c>
      <c r="I3955">
        <v>918900258</v>
      </c>
      <c r="J3955">
        <v>845023779</v>
      </c>
      <c r="K3955">
        <v>797735732</v>
      </c>
      <c r="L3955">
        <v>784102304</v>
      </c>
      <c r="M3955">
        <v>639943230</v>
      </c>
      <c r="N3955">
        <v>522102067</v>
      </c>
      <c r="O3955">
        <v>363242031</v>
      </c>
      <c r="P3955">
        <v>68</v>
      </c>
      <c r="Q3955" t="s">
        <v>8256</v>
      </c>
    </row>
    <row r="3956" spans="1:17" x14ac:dyDescent="0.3">
      <c r="A3956" t="s">
        <v>4729</v>
      </c>
      <c r="B3956" t="str">
        <f>"300156"</f>
        <v>300156</v>
      </c>
      <c r="C3956" t="s">
        <v>8257</v>
      </c>
      <c r="I3956">
        <v>51252985</v>
      </c>
      <c r="J3956">
        <v>2809393507</v>
      </c>
      <c r="K3956">
        <v>3125095692</v>
      </c>
      <c r="L3956">
        <v>1214680329</v>
      </c>
      <c r="M3956">
        <v>301412438</v>
      </c>
      <c r="N3956">
        <v>277391251</v>
      </c>
      <c r="O3956">
        <v>724865642</v>
      </c>
      <c r="P3956">
        <v>300</v>
      </c>
      <c r="Q3956" t="s">
        <v>8258</v>
      </c>
    </row>
    <row r="3957" spans="1:17" x14ac:dyDescent="0.3">
      <c r="A3957" t="s">
        <v>4729</v>
      </c>
      <c r="B3957" t="str">
        <f>"300157"</f>
        <v>300157</v>
      </c>
      <c r="C3957" t="s">
        <v>8259</v>
      </c>
      <c r="D3957" t="s">
        <v>762</v>
      </c>
      <c r="F3957">
        <v>420559434</v>
      </c>
      <c r="G3957">
        <v>695937681</v>
      </c>
      <c r="H3957">
        <v>1064171650</v>
      </c>
      <c r="I3957">
        <v>1488450311</v>
      </c>
      <c r="J3957">
        <v>2933483520</v>
      </c>
      <c r="K3957">
        <v>1352144101</v>
      </c>
      <c r="L3957">
        <v>839805308</v>
      </c>
      <c r="M3957">
        <v>723251613</v>
      </c>
      <c r="N3957">
        <v>583294729</v>
      </c>
      <c r="O3957">
        <v>446190668</v>
      </c>
      <c r="P3957">
        <v>76</v>
      </c>
      <c r="Q3957" t="s">
        <v>8260</v>
      </c>
    </row>
    <row r="3958" spans="1:17" x14ac:dyDescent="0.3">
      <c r="A3958" t="s">
        <v>4729</v>
      </c>
      <c r="B3958" t="str">
        <f>"300158"</f>
        <v>300158</v>
      </c>
      <c r="C3958" t="s">
        <v>8261</v>
      </c>
      <c r="D3958" t="s">
        <v>143</v>
      </c>
      <c r="F3958">
        <v>5093776334</v>
      </c>
      <c r="G3958">
        <v>4847833214</v>
      </c>
      <c r="H3958">
        <v>4398753604</v>
      </c>
      <c r="I3958">
        <v>3419750405</v>
      </c>
      <c r="J3958">
        <v>3731602626</v>
      </c>
      <c r="K3958">
        <v>3282999976</v>
      </c>
      <c r="L3958">
        <v>2262093089</v>
      </c>
      <c r="M3958">
        <v>1919484998</v>
      </c>
      <c r="N3958">
        <v>1658490076</v>
      </c>
      <c r="O3958">
        <v>1387054787</v>
      </c>
      <c r="P3958">
        <v>176</v>
      </c>
      <c r="Q3958" t="s">
        <v>8262</v>
      </c>
    </row>
    <row r="3959" spans="1:17" x14ac:dyDescent="0.3">
      <c r="A3959" t="s">
        <v>4729</v>
      </c>
      <c r="B3959" t="str">
        <f>"300159"</f>
        <v>300159</v>
      </c>
      <c r="C3959" t="s">
        <v>8263</v>
      </c>
      <c r="D3959" t="s">
        <v>98</v>
      </c>
      <c r="F3959">
        <v>1362944785</v>
      </c>
      <c r="G3959">
        <v>1104741977</v>
      </c>
      <c r="H3959">
        <v>1249997905</v>
      </c>
      <c r="I3959">
        <v>1879568779</v>
      </c>
      <c r="J3959">
        <v>1853831790</v>
      </c>
      <c r="K3959">
        <v>1791410467</v>
      </c>
      <c r="L3959">
        <v>1401038861</v>
      </c>
      <c r="M3959">
        <v>560911400</v>
      </c>
      <c r="N3959">
        <v>572346556</v>
      </c>
      <c r="O3959">
        <v>410525073</v>
      </c>
      <c r="P3959">
        <v>126</v>
      </c>
      <c r="Q3959" t="s">
        <v>8264</v>
      </c>
    </row>
    <row r="3960" spans="1:17" x14ac:dyDescent="0.3">
      <c r="A3960" t="s">
        <v>4729</v>
      </c>
      <c r="B3960" t="str">
        <f>"300160"</f>
        <v>300160</v>
      </c>
      <c r="C3960" t="s">
        <v>8265</v>
      </c>
      <c r="D3960" t="s">
        <v>1253</v>
      </c>
      <c r="F3960">
        <v>1457800111</v>
      </c>
      <c r="G3960">
        <v>1286337546</v>
      </c>
      <c r="H3960">
        <v>1269053556</v>
      </c>
      <c r="I3960">
        <v>1400690105</v>
      </c>
      <c r="J3960">
        <v>1377788854</v>
      </c>
      <c r="K3960">
        <v>1147258970</v>
      </c>
      <c r="L3960">
        <v>1020069472</v>
      </c>
      <c r="M3960">
        <v>837309929</v>
      </c>
      <c r="N3960">
        <v>786784325</v>
      </c>
      <c r="O3960">
        <v>787619129</v>
      </c>
      <c r="P3960">
        <v>150</v>
      </c>
      <c r="Q3960" t="s">
        <v>8266</v>
      </c>
    </row>
    <row r="3961" spans="1:17" x14ac:dyDescent="0.3">
      <c r="A3961" t="s">
        <v>4729</v>
      </c>
      <c r="B3961" t="str">
        <f>"300161"</f>
        <v>300161</v>
      </c>
      <c r="C3961" t="s">
        <v>8267</v>
      </c>
      <c r="D3961" t="s">
        <v>2321</v>
      </c>
      <c r="F3961">
        <v>1633827491</v>
      </c>
      <c r="G3961">
        <v>1322385849</v>
      </c>
      <c r="H3961">
        <v>906039496</v>
      </c>
      <c r="I3961">
        <v>819575844</v>
      </c>
      <c r="J3961">
        <v>985192134</v>
      </c>
      <c r="K3961">
        <v>812813080</v>
      </c>
      <c r="L3961">
        <v>550736596</v>
      </c>
      <c r="M3961">
        <v>586233085</v>
      </c>
      <c r="N3961">
        <v>499941861</v>
      </c>
      <c r="O3961">
        <v>424396731</v>
      </c>
      <c r="P3961">
        <v>159</v>
      </c>
      <c r="Q3961" t="s">
        <v>8268</v>
      </c>
    </row>
    <row r="3962" spans="1:17" x14ac:dyDescent="0.3">
      <c r="A3962" t="s">
        <v>4729</v>
      </c>
      <c r="B3962" t="str">
        <f>"300162"</f>
        <v>300162</v>
      </c>
      <c r="C3962" t="s">
        <v>8269</v>
      </c>
      <c r="D3962" t="s">
        <v>803</v>
      </c>
      <c r="F3962">
        <v>1303357407</v>
      </c>
      <c r="G3962">
        <v>818833111</v>
      </c>
      <c r="H3962">
        <v>966897141</v>
      </c>
      <c r="I3962">
        <v>733522239</v>
      </c>
      <c r="J3962">
        <v>644508910</v>
      </c>
      <c r="K3962">
        <v>562499521</v>
      </c>
      <c r="L3962">
        <v>380790683</v>
      </c>
      <c r="M3962">
        <v>405053660</v>
      </c>
      <c r="N3962">
        <v>350439344</v>
      </c>
      <c r="O3962">
        <v>316345914</v>
      </c>
      <c r="P3962">
        <v>76</v>
      </c>
      <c r="Q3962" t="s">
        <v>8270</v>
      </c>
    </row>
    <row r="3963" spans="1:17" x14ac:dyDescent="0.3">
      <c r="A3963" t="s">
        <v>4729</v>
      </c>
      <c r="B3963" t="str">
        <f>"300163"</f>
        <v>300163</v>
      </c>
      <c r="C3963" t="s">
        <v>8271</v>
      </c>
      <c r="D3963" t="s">
        <v>386</v>
      </c>
      <c r="F3963">
        <v>306256010</v>
      </c>
      <c r="G3963">
        <v>275721491</v>
      </c>
      <c r="H3963">
        <v>450181969</v>
      </c>
      <c r="I3963">
        <v>586967179</v>
      </c>
      <c r="J3963">
        <v>688800571</v>
      </c>
      <c r="K3963">
        <v>762039940</v>
      </c>
      <c r="L3963">
        <v>743446728</v>
      </c>
      <c r="M3963">
        <v>447889212</v>
      </c>
      <c r="N3963">
        <v>221642689</v>
      </c>
      <c r="O3963">
        <v>203441104</v>
      </c>
      <c r="P3963">
        <v>75</v>
      </c>
      <c r="Q3963" t="s">
        <v>8272</v>
      </c>
    </row>
    <row r="3964" spans="1:17" x14ac:dyDescent="0.3">
      <c r="A3964" t="s">
        <v>4729</v>
      </c>
      <c r="B3964" t="str">
        <f>"300164"</f>
        <v>300164</v>
      </c>
      <c r="C3964" t="s">
        <v>8273</v>
      </c>
      <c r="D3964" t="s">
        <v>762</v>
      </c>
      <c r="F3964">
        <v>747400431</v>
      </c>
      <c r="G3964">
        <v>631696371</v>
      </c>
      <c r="H3964">
        <v>1555773924</v>
      </c>
      <c r="I3964">
        <v>1593095684</v>
      </c>
      <c r="J3964">
        <v>816600130</v>
      </c>
      <c r="K3964">
        <v>399863959</v>
      </c>
      <c r="L3964">
        <v>635590122</v>
      </c>
      <c r="M3964">
        <v>394149392</v>
      </c>
      <c r="N3964">
        <v>366792643</v>
      </c>
      <c r="O3964">
        <v>339688681</v>
      </c>
      <c r="P3964">
        <v>82</v>
      </c>
      <c r="Q3964" t="s">
        <v>8274</v>
      </c>
    </row>
    <row r="3965" spans="1:17" x14ac:dyDescent="0.3">
      <c r="A3965" t="s">
        <v>4729</v>
      </c>
      <c r="B3965" t="str">
        <f>"300165"</f>
        <v>300165</v>
      </c>
      <c r="C3965" t="s">
        <v>8275</v>
      </c>
      <c r="D3965" t="s">
        <v>2566</v>
      </c>
      <c r="F3965">
        <v>958340608</v>
      </c>
      <c r="G3965">
        <v>935696718</v>
      </c>
      <c r="H3965">
        <v>907813927</v>
      </c>
      <c r="I3965">
        <v>1024121245</v>
      </c>
      <c r="J3965">
        <v>792027582</v>
      </c>
      <c r="K3965">
        <v>430400414</v>
      </c>
      <c r="L3965">
        <v>321473950</v>
      </c>
      <c r="M3965">
        <v>276831367</v>
      </c>
      <c r="N3965">
        <v>325457152</v>
      </c>
      <c r="O3965">
        <v>299880765</v>
      </c>
      <c r="P3965">
        <v>103</v>
      </c>
      <c r="Q3965" t="s">
        <v>8276</v>
      </c>
    </row>
    <row r="3966" spans="1:17" x14ac:dyDescent="0.3">
      <c r="A3966" t="s">
        <v>4729</v>
      </c>
      <c r="B3966" t="str">
        <f>"300166"</f>
        <v>300166</v>
      </c>
      <c r="C3966" t="s">
        <v>8277</v>
      </c>
      <c r="D3966" t="s">
        <v>316</v>
      </c>
      <c r="F3966">
        <v>2469646424</v>
      </c>
      <c r="G3966">
        <v>2088489498</v>
      </c>
      <c r="H3966">
        <v>2150466273</v>
      </c>
      <c r="I3966">
        <v>1996177939</v>
      </c>
      <c r="J3966">
        <v>1505989518</v>
      </c>
      <c r="K3966">
        <v>1277747686</v>
      </c>
      <c r="L3966">
        <v>931109083</v>
      </c>
      <c r="M3966">
        <v>615266383</v>
      </c>
      <c r="N3966">
        <v>468161376</v>
      </c>
      <c r="O3966">
        <v>313003233</v>
      </c>
      <c r="P3966">
        <v>461</v>
      </c>
      <c r="Q3966" t="s">
        <v>8278</v>
      </c>
    </row>
    <row r="3967" spans="1:17" x14ac:dyDescent="0.3">
      <c r="A3967" t="s">
        <v>4729</v>
      </c>
      <c r="B3967" t="str">
        <f>"300167"</f>
        <v>300167</v>
      </c>
      <c r="C3967" t="s">
        <v>8279</v>
      </c>
      <c r="D3967" t="s">
        <v>316</v>
      </c>
      <c r="F3967">
        <v>316854131</v>
      </c>
      <c r="G3967">
        <v>252089287</v>
      </c>
      <c r="H3967">
        <v>525263967</v>
      </c>
      <c r="I3967">
        <v>259396420</v>
      </c>
      <c r="J3967">
        <v>557472621</v>
      </c>
      <c r="K3967">
        <v>445888898</v>
      </c>
      <c r="L3967">
        <v>336379707</v>
      </c>
      <c r="M3967">
        <v>234087846</v>
      </c>
      <c r="N3967">
        <v>216718761</v>
      </c>
      <c r="O3967">
        <v>224909896</v>
      </c>
      <c r="P3967">
        <v>131</v>
      </c>
      <c r="Q3967" t="s">
        <v>8280</v>
      </c>
    </row>
    <row r="3968" spans="1:17" x14ac:dyDescent="0.3">
      <c r="A3968" t="s">
        <v>4729</v>
      </c>
      <c r="B3968" t="str">
        <f>"300168"</f>
        <v>300168</v>
      </c>
      <c r="C3968" t="s">
        <v>8281</v>
      </c>
      <c r="D3968" t="s">
        <v>316</v>
      </c>
      <c r="F3968">
        <v>3513114014</v>
      </c>
      <c r="G3968">
        <v>3008271072</v>
      </c>
      <c r="H3968">
        <v>2124500987</v>
      </c>
      <c r="I3968">
        <v>2204681763</v>
      </c>
      <c r="J3968">
        <v>2415482575</v>
      </c>
      <c r="K3968">
        <v>2075038837</v>
      </c>
      <c r="L3968">
        <v>1868561626</v>
      </c>
      <c r="M3968">
        <v>1542805773</v>
      </c>
      <c r="N3968">
        <v>1213069757</v>
      </c>
      <c r="O3968">
        <v>884744329</v>
      </c>
      <c r="P3968">
        <v>368</v>
      </c>
      <c r="Q3968" t="s">
        <v>8282</v>
      </c>
    </row>
    <row r="3969" spans="1:17" x14ac:dyDescent="0.3">
      <c r="A3969" t="s">
        <v>4729</v>
      </c>
      <c r="B3969" t="str">
        <f>"300169"</f>
        <v>300169</v>
      </c>
      <c r="C3969" t="s">
        <v>8283</v>
      </c>
      <c r="D3969" t="s">
        <v>386</v>
      </c>
      <c r="F3969">
        <v>761001952</v>
      </c>
      <c r="G3969">
        <v>893503344</v>
      </c>
      <c r="H3969">
        <v>893508336</v>
      </c>
      <c r="I3969">
        <v>904549751</v>
      </c>
      <c r="J3969">
        <v>772336484</v>
      </c>
      <c r="K3969">
        <v>822425253</v>
      </c>
      <c r="L3969">
        <v>761186111</v>
      </c>
      <c r="M3969">
        <v>761055517</v>
      </c>
      <c r="N3969">
        <v>605861885</v>
      </c>
      <c r="O3969">
        <v>519866778</v>
      </c>
      <c r="P3969">
        <v>68</v>
      </c>
      <c r="Q3969" t="s">
        <v>8284</v>
      </c>
    </row>
    <row r="3970" spans="1:17" x14ac:dyDescent="0.3">
      <c r="A3970" t="s">
        <v>4729</v>
      </c>
      <c r="B3970" t="str">
        <f>"300170"</f>
        <v>300170</v>
      </c>
      <c r="C3970" t="s">
        <v>8285</v>
      </c>
      <c r="D3970" t="s">
        <v>316</v>
      </c>
      <c r="F3970">
        <v>2810661530</v>
      </c>
      <c r="G3970">
        <v>2493084968</v>
      </c>
      <c r="H3970">
        <v>2723440577</v>
      </c>
      <c r="I3970">
        <v>2865327513</v>
      </c>
      <c r="J3970">
        <v>2325047409</v>
      </c>
      <c r="K3970">
        <v>1710218029</v>
      </c>
      <c r="L3970">
        <v>1218798083</v>
      </c>
      <c r="M3970">
        <v>1009023906</v>
      </c>
      <c r="N3970">
        <v>846922274</v>
      </c>
      <c r="O3970">
        <v>702202973</v>
      </c>
      <c r="P3970">
        <v>3197</v>
      </c>
      <c r="Q3970" t="s">
        <v>8286</v>
      </c>
    </row>
    <row r="3971" spans="1:17" x14ac:dyDescent="0.3">
      <c r="A3971" t="s">
        <v>4729</v>
      </c>
      <c r="B3971" t="str">
        <f>"300171"</f>
        <v>300171</v>
      </c>
      <c r="C3971" t="s">
        <v>8287</v>
      </c>
      <c r="D3971" t="s">
        <v>122</v>
      </c>
      <c r="F3971">
        <v>4192421107</v>
      </c>
      <c r="G3971">
        <v>2707688162</v>
      </c>
      <c r="H3971">
        <v>2264004329</v>
      </c>
      <c r="I3971">
        <v>1916821892</v>
      </c>
      <c r="J3971">
        <v>1724879181</v>
      </c>
      <c r="K3971">
        <v>1327836602</v>
      </c>
      <c r="L3971">
        <v>1555556070</v>
      </c>
      <c r="M3971">
        <v>1258693706</v>
      </c>
      <c r="N3971">
        <v>1021120622</v>
      </c>
      <c r="O3971">
        <v>821857944</v>
      </c>
      <c r="P3971">
        <v>248</v>
      </c>
      <c r="Q3971" t="s">
        <v>8288</v>
      </c>
    </row>
    <row r="3972" spans="1:17" x14ac:dyDescent="0.3">
      <c r="A3972" t="s">
        <v>4729</v>
      </c>
      <c r="B3972" t="str">
        <f>"300172"</f>
        <v>300172</v>
      </c>
      <c r="C3972" t="s">
        <v>8289</v>
      </c>
      <c r="D3972" t="s">
        <v>33</v>
      </c>
      <c r="F3972">
        <v>874384526</v>
      </c>
      <c r="G3972">
        <v>919833076</v>
      </c>
      <c r="H3972">
        <v>906881008</v>
      </c>
      <c r="I3972">
        <v>798398771</v>
      </c>
      <c r="J3972">
        <v>680447964</v>
      </c>
      <c r="K3972">
        <v>648257709</v>
      </c>
      <c r="L3972">
        <v>607614192</v>
      </c>
      <c r="M3972">
        <v>607123564</v>
      </c>
      <c r="N3972">
        <v>540502707</v>
      </c>
      <c r="O3972">
        <v>364398641</v>
      </c>
      <c r="P3972">
        <v>110</v>
      </c>
      <c r="Q3972" t="s">
        <v>8290</v>
      </c>
    </row>
    <row r="3973" spans="1:17" x14ac:dyDescent="0.3">
      <c r="A3973" t="s">
        <v>4729</v>
      </c>
      <c r="B3973" t="str">
        <f>"300173"</f>
        <v>300173</v>
      </c>
      <c r="C3973" t="s">
        <v>8291</v>
      </c>
      <c r="D3973" t="s">
        <v>2432</v>
      </c>
      <c r="F3973">
        <v>1164422624</v>
      </c>
      <c r="G3973">
        <v>739517657</v>
      </c>
      <c r="H3973">
        <v>274541510</v>
      </c>
      <c r="I3973">
        <v>350639817</v>
      </c>
      <c r="J3973">
        <v>626808277</v>
      </c>
      <c r="K3973">
        <v>732334723</v>
      </c>
      <c r="L3973">
        <v>511858786</v>
      </c>
      <c r="M3973">
        <v>194797891</v>
      </c>
      <c r="N3973">
        <v>203129569</v>
      </c>
      <c r="O3973">
        <v>244555575</v>
      </c>
      <c r="P3973">
        <v>61</v>
      </c>
      <c r="Q3973" t="s">
        <v>8292</v>
      </c>
    </row>
    <row r="3974" spans="1:17" x14ac:dyDescent="0.3">
      <c r="A3974" t="s">
        <v>4729</v>
      </c>
      <c r="B3974" t="str">
        <f>"300174"</f>
        <v>300174</v>
      </c>
      <c r="C3974" t="s">
        <v>8293</v>
      </c>
      <c r="D3974" t="s">
        <v>386</v>
      </c>
      <c r="F3974">
        <v>1608014243</v>
      </c>
      <c r="G3974">
        <v>1136011407</v>
      </c>
      <c r="H3974">
        <v>1281614548</v>
      </c>
      <c r="I3974">
        <v>1701701973</v>
      </c>
      <c r="J3974">
        <v>853321121</v>
      </c>
      <c r="K3974">
        <v>652503287</v>
      </c>
      <c r="L3974">
        <v>588306462</v>
      </c>
      <c r="M3974">
        <v>398303360</v>
      </c>
      <c r="N3974">
        <v>373304924</v>
      </c>
      <c r="O3974">
        <v>339867072</v>
      </c>
      <c r="P3974">
        <v>90</v>
      </c>
      <c r="Q3974" t="s">
        <v>8294</v>
      </c>
    </row>
    <row r="3975" spans="1:17" x14ac:dyDescent="0.3">
      <c r="A3975" t="s">
        <v>4729</v>
      </c>
      <c r="B3975" t="str">
        <f>"300175"</f>
        <v>300175</v>
      </c>
      <c r="C3975" t="s">
        <v>8295</v>
      </c>
      <c r="D3975" t="s">
        <v>574</v>
      </c>
      <c r="F3975">
        <v>246948543</v>
      </c>
      <c r="G3975">
        <v>298020297</v>
      </c>
      <c r="H3975">
        <v>567083818</v>
      </c>
      <c r="I3975">
        <v>349024224</v>
      </c>
      <c r="J3975">
        <v>379864991</v>
      </c>
      <c r="K3975">
        <v>589371948</v>
      </c>
      <c r="L3975">
        <v>846528937</v>
      </c>
      <c r="M3975">
        <v>809161692</v>
      </c>
      <c r="N3975">
        <v>602064003</v>
      </c>
      <c r="O3975">
        <v>458207482</v>
      </c>
      <c r="P3975">
        <v>84</v>
      </c>
      <c r="Q3975" t="s">
        <v>8296</v>
      </c>
    </row>
    <row r="3976" spans="1:17" x14ac:dyDescent="0.3">
      <c r="A3976" t="s">
        <v>4729</v>
      </c>
      <c r="B3976" t="str">
        <f>"300176"</f>
        <v>300176</v>
      </c>
      <c r="C3976" t="s">
        <v>8297</v>
      </c>
      <c r="D3976" t="s">
        <v>348</v>
      </c>
      <c r="F3976">
        <v>1286553854</v>
      </c>
      <c r="G3976">
        <v>1173250063</v>
      </c>
      <c r="H3976">
        <v>1510283437</v>
      </c>
      <c r="I3976">
        <v>3441886028</v>
      </c>
      <c r="J3976">
        <v>2936889367</v>
      </c>
      <c r="K3976">
        <v>1432961642</v>
      </c>
      <c r="L3976">
        <v>1432984080</v>
      </c>
      <c r="M3976">
        <v>1235745407</v>
      </c>
      <c r="N3976">
        <v>1058382987</v>
      </c>
      <c r="O3976">
        <v>757583423</v>
      </c>
      <c r="P3976">
        <v>151</v>
      </c>
      <c r="Q3976" t="s">
        <v>8298</v>
      </c>
    </row>
    <row r="3977" spans="1:17" x14ac:dyDescent="0.3">
      <c r="A3977" t="s">
        <v>4729</v>
      </c>
      <c r="B3977" t="str">
        <f>"300177"</f>
        <v>300177</v>
      </c>
      <c r="C3977" t="s">
        <v>8299</v>
      </c>
      <c r="D3977" t="s">
        <v>1136</v>
      </c>
      <c r="F3977">
        <v>1795696869</v>
      </c>
      <c r="G3977">
        <v>1773058819</v>
      </c>
      <c r="H3977">
        <v>1619298448</v>
      </c>
      <c r="I3977">
        <v>1288807939</v>
      </c>
      <c r="J3977">
        <v>1020790750</v>
      </c>
      <c r="K3977">
        <v>765641124</v>
      </c>
      <c r="L3977">
        <v>637984747</v>
      </c>
      <c r="M3977">
        <v>687221905</v>
      </c>
      <c r="N3977">
        <v>538278465</v>
      </c>
      <c r="O3977">
        <v>381396271</v>
      </c>
      <c r="P3977">
        <v>232</v>
      </c>
      <c r="Q3977" t="s">
        <v>8300</v>
      </c>
    </row>
    <row r="3978" spans="1:17" x14ac:dyDescent="0.3">
      <c r="A3978" t="s">
        <v>4729</v>
      </c>
      <c r="B3978" t="str">
        <f>"300178"</f>
        <v>300178</v>
      </c>
      <c r="C3978" t="s">
        <v>8301</v>
      </c>
      <c r="D3978" t="s">
        <v>1120</v>
      </c>
      <c r="F3978">
        <v>1716828607</v>
      </c>
      <c r="G3978">
        <v>545075298</v>
      </c>
      <c r="H3978">
        <v>3296995454</v>
      </c>
      <c r="I3978">
        <v>4886107476</v>
      </c>
      <c r="J3978">
        <v>3529649925</v>
      </c>
      <c r="K3978">
        <v>1280243711</v>
      </c>
      <c r="L3978">
        <v>928060021</v>
      </c>
      <c r="M3978">
        <v>463777919</v>
      </c>
      <c r="N3978">
        <v>357025618</v>
      </c>
      <c r="O3978">
        <v>258378146</v>
      </c>
      <c r="P3978">
        <v>152</v>
      </c>
      <c r="Q3978" t="s">
        <v>8302</v>
      </c>
    </row>
    <row r="3979" spans="1:17" x14ac:dyDescent="0.3">
      <c r="A3979" t="s">
        <v>4729</v>
      </c>
      <c r="B3979" t="str">
        <f>"300179"</f>
        <v>300179</v>
      </c>
      <c r="C3979" t="s">
        <v>8303</v>
      </c>
      <c r="D3979" t="s">
        <v>404</v>
      </c>
      <c r="F3979">
        <v>416894538</v>
      </c>
      <c r="G3979">
        <v>318476418</v>
      </c>
      <c r="H3979">
        <v>501180366</v>
      </c>
      <c r="I3979">
        <v>376698027</v>
      </c>
      <c r="J3979">
        <v>314497694</v>
      </c>
      <c r="K3979">
        <v>166873024</v>
      </c>
      <c r="L3979">
        <v>203261730</v>
      </c>
      <c r="M3979">
        <v>189073155</v>
      </c>
      <c r="N3979">
        <v>151356758</v>
      </c>
      <c r="O3979">
        <v>131666992</v>
      </c>
      <c r="P3979">
        <v>166</v>
      </c>
      <c r="Q3979" t="s">
        <v>8304</v>
      </c>
    </row>
    <row r="3980" spans="1:17" x14ac:dyDescent="0.3">
      <c r="A3980" t="s">
        <v>4729</v>
      </c>
      <c r="B3980" t="str">
        <f>"300180"</f>
        <v>300180</v>
      </c>
      <c r="C3980" t="s">
        <v>8305</v>
      </c>
      <c r="D3980" t="s">
        <v>1192</v>
      </c>
      <c r="F3980">
        <v>4142226881</v>
      </c>
      <c r="G3980">
        <v>3219104576</v>
      </c>
      <c r="H3980">
        <v>3240344131</v>
      </c>
      <c r="I3980">
        <v>3065127059</v>
      </c>
      <c r="J3980">
        <v>2505593912</v>
      </c>
      <c r="K3980">
        <v>1439082922</v>
      </c>
      <c r="L3980">
        <v>1136957950</v>
      </c>
      <c r="M3980">
        <v>970313108</v>
      </c>
      <c r="N3980">
        <v>726549803</v>
      </c>
      <c r="O3980">
        <v>612265776</v>
      </c>
      <c r="P3980">
        <v>141</v>
      </c>
      <c r="Q3980" t="s">
        <v>8306</v>
      </c>
    </row>
    <row r="3981" spans="1:17" x14ac:dyDescent="0.3">
      <c r="A3981" t="s">
        <v>4729</v>
      </c>
      <c r="B3981" t="str">
        <f>"300181"</f>
        <v>300181</v>
      </c>
      <c r="C3981" t="s">
        <v>8307</v>
      </c>
      <c r="D3981" t="s">
        <v>188</v>
      </c>
      <c r="F3981">
        <v>1457396066</v>
      </c>
      <c r="G3981">
        <v>1090878169</v>
      </c>
      <c r="H3981">
        <v>911163976</v>
      </c>
      <c r="I3981">
        <v>730262647</v>
      </c>
      <c r="J3981">
        <v>793911691</v>
      </c>
      <c r="K3981">
        <v>840037943</v>
      </c>
      <c r="L3981">
        <v>670857130</v>
      </c>
      <c r="M3981">
        <v>514926220</v>
      </c>
      <c r="N3981">
        <v>419415230</v>
      </c>
      <c r="O3981">
        <v>343758926</v>
      </c>
      <c r="P3981">
        <v>174</v>
      </c>
      <c r="Q3981" t="s">
        <v>8308</v>
      </c>
    </row>
    <row r="3982" spans="1:17" x14ac:dyDescent="0.3">
      <c r="A3982" t="s">
        <v>4729</v>
      </c>
      <c r="B3982" t="str">
        <f>"300182"</f>
        <v>300182</v>
      </c>
      <c r="C3982" t="s">
        <v>8309</v>
      </c>
      <c r="D3982" t="s">
        <v>113</v>
      </c>
      <c r="F3982">
        <v>3727224838</v>
      </c>
      <c r="G3982">
        <v>3183822102</v>
      </c>
      <c r="H3982">
        <v>3605090213</v>
      </c>
      <c r="I3982">
        <v>5028229484</v>
      </c>
      <c r="J3982">
        <v>4365863964</v>
      </c>
      <c r="K3982">
        <v>3278164474</v>
      </c>
      <c r="L3982">
        <v>2210614695</v>
      </c>
      <c r="M3982">
        <v>1233840939</v>
      </c>
      <c r="N3982">
        <v>934465092</v>
      </c>
      <c r="O3982">
        <v>726647049</v>
      </c>
      <c r="P3982">
        <v>514</v>
      </c>
      <c r="Q3982" t="s">
        <v>8310</v>
      </c>
    </row>
    <row r="3983" spans="1:17" x14ac:dyDescent="0.3">
      <c r="A3983" t="s">
        <v>4729</v>
      </c>
      <c r="B3983" t="str">
        <f>"300183"</f>
        <v>300183</v>
      </c>
      <c r="C3983" t="s">
        <v>8311</v>
      </c>
      <c r="D3983" t="s">
        <v>595</v>
      </c>
      <c r="F3983">
        <v>906073796</v>
      </c>
      <c r="G3983">
        <v>875573705</v>
      </c>
      <c r="H3983">
        <v>828133524</v>
      </c>
      <c r="I3983">
        <v>1013301357</v>
      </c>
      <c r="J3983">
        <v>913444248</v>
      </c>
      <c r="K3983">
        <v>983908992</v>
      </c>
      <c r="L3983">
        <v>825326373</v>
      </c>
      <c r="M3983">
        <v>644395982</v>
      </c>
      <c r="N3983">
        <v>503278968</v>
      </c>
      <c r="O3983">
        <v>441635246</v>
      </c>
      <c r="P3983">
        <v>276</v>
      </c>
      <c r="Q3983" t="s">
        <v>8312</v>
      </c>
    </row>
    <row r="3984" spans="1:17" x14ac:dyDescent="0.3">
      <c r="A3984" t="s">
        <v>4729</v>
      </c>
      <c r="B3984" t="str">
        <f>"300184"</f>
        <v>300184</v>
      </c>
      <c r="C3984" t="s">
        <v>8313</v>
      </c>
      <c r="D3984" t="s">
        <v>651</v>
      </c>
      <c r="F3984">
        <v>10442450729</v>
      </c>
      <c r="G3984">
        <v>10360166207</v>
      </c>
      <c r="H3984">
        <v>13131537520</v>
      </c>
      <c r="I3984">
        <v>10797021943</v>
      </c>
      <c r="J3984">
        <v>8238311450</v>
      </c>
      <c r="K3984">
        <v>1592736868</v>
      </c>
      <c r="L3984">
        <v>1020380970</v>
      </c>
      <c r="M3984">
        <v>630778083</v>
      </c>
      <c r="N3984">
        <v>337002887</v>
      </c>
      <c r="O3984">
        <v>295091623</v>
      </c>
      <c r="P3984">
        <v>252</v>
      </c>
      <c r="Q3984" t="s">
        <v>8314</v>
      </c>
    </row>
    <row r="3985" spans="1:17" x14ac:dyDescent="0.3">
      <c r="A3985" t="s">
        <v>4729</v>
      </c>
      <c r="B3985" t="str">
        <f>"300185"</f>
        <v>300185</v>
      </c>
      <c r="C3985" t="s">
        <v>8315</v>
      </c>
      <c r="D3985" t="s">
        <v>950</v>
      </c>
      <c r="F3985">
        <v>5748727047</v>
      </c>
      <c r="G3985">
        <v>5687670426</v>
      </c>
      <c r="H3985">
        <v>4027450902</v>
      </c>
      <c r="I3985">
        <v>3535026649</v>
      </c>
      <c r="J3985">
        <v>3170681269</v>
      </c>
      <c r="K3985">
        <v>2429579843</v>
      </c>
      <c r="L3985">
        <v>2342844230</v>
      </c>
      <c r="M3985">
        <v>2055805888</v>
      </c>
      <c r="N3985">
        <v>1652102182</v>
      </c>
      <c r="O3985">
        <v>1386504422</v>
      </c>
      <c r="P3985">
        <v>201</v>
      </c>
      <c r="Q3985" t="s">
        <v>8316</v>
      </c>
    </row>
    <row r="3986" spans="1:17" x14ac:dyDescent="0.3">
      <c r="A3986" t="s">
        <v>4729</v>
      </c>
      <c r="B3986" t="str">
        <f>"300186"</f>
        <v>300186</v>
      </c>
      <c r="C3986" t="s">
        <v>8317</v>
      </c>
      <c r="M3986">
        <v>1018047987.7</v>
      </c>
      <c r="N3986">
        <v>1076824198.02</v>
      </c>
      <c r="O3986">
        <v>847432022.50999999</v>
      </c>
      <c r="P3986">
        <v>5</v>
      </c>
      <c r="Q3986" t="s">
        <v>8318</v>
      </c>
    </row>
    <row r="3987" spans="1:17" x14ac:dyDescent="0.3">
      <c r="A3987" t="s">
        <v>4729</v>
      </c>
      <c r="B3987" t="str">
        <f>"300187"</f>
        <v>300187</v>
      </c>
      <c r="C3987" t="s">
        <v>8319</v>
      </c>
      <c r="D3987" t="s">
        <v>499</v>
      </c>
      <c r="F3987">
        <v>999022553</v>
      </c>
      <c r="G3987">
        <v>748975169</v>
      </c>
      <c r="H3987">
        <v>671611813</v>
      </c>
      <c r="I3987">
        <v>951089525</v>
      </c>
      <c r="J3987">
        <v>1228939014</v>
      </c>
      <c r="K3987">
        <v>1535948714</v>
      </c>
      <c r="L3987">
        <v>773321521</v>
      </c>
      <c r="M3987">
        <v>901140330</v>
      </c>
      <c r="N3987">
        <v>639712199</v>
      </c>
      <c r="O3987">
        <v>568163404</v>
      </c>
      <c r="P3987">
        <v>110</v>
      </c>
      <c r="Q3987" t="s">
        <v>8320</v>
      </c>
    </row>
    <row r="3988" spans="1:17" x14ac:dyDescent="0.3">
      <c r="A3988" t="s">
        <v>4729</v>
      </c>
      <c r="B3988" t="str">
        <f>"300188"</f>
        <v>300188</v>
      </c>
      <c r="C3988" t="s">
        <v>8321</v>
      </c>
      <c r="D3988" t="s">
        <v>945</v>
      </c>
      <c r="F3988">
        <v>2535195495</v>
      </c>
      <c r="G3988">
        <v>2386098335</v>
      </c>
      <c r="H3988">
        <v>2067410376</v>
      </c>
      <c r="I3988">
        <v>1600584391</v>
      </c>
      <c r="J3988">
        <v>1336640411</v>
      </c>
      <c r="K3988">
        <v>997908503</v>
      </c>
      <c r="L3988">
        <v>763160357</v>
      </c>
      <c r="M3988">
        <v>603095207</v>
      </c>
      <c r="N3988">
        <v>390413350</v>
      </c>
      <c r="O3988">
        <v>349997542</v>
      </c>
      <c r="P3988">
        <v>557</v>
      </c>
      <c r="Q3988" t="s">
        <v>8322</v>
      </c>
    </row>
    <row r="3989" spans="1:17" x14ac:dyDescent="0.3">
      <c r="A3989" t="s">
        <v>4729</v>
      </c>
      <c r="B3989" t="str">
        <f>"300189"</f>
        <v>300189</v>
      </c>
      <c r="C3989" t="s">
        <v>8323</v>
      </c>
      <c r="D3989" t="s">
        <v>706</v>
      </c>
      <c r="F3989">
        <v>147833027</v>
      </c>
      <c r="G3989">
        <v>129368353</v>
      </c>
      <c r="H3989">
        <v>112458427</v>
      </c>
      <c r="I3989">
        <v>171895373</v>
      </c>
      <c r="J3989">
        <v>451438322</v>
      </c>
      <c r="K3989">
        <v>1151900611</v>
      </c>
      <c r="L3989">
        <v>310509442</v>
      </c>
      <c r="M3989">
        <v>301602338</v>
      </c>
      <c r="N3989">
        <v>454365781</v>
      </c>
      <c r="O3989">
        <v>431518434</v>
      </c>
      <c r="P3989">
        <v>111</v>
      </c>
      <c r="Q3989" t="s">
        <v>8324</v>
      </c>
    </row>
    <row r="3990" spans="1:17" x14ac:dyDescent="0.3">
      <c r="A3990" t="s">
        <v>4729</v>
      </c>
      <c r="B3990" t="str">
        <f>"300190"</f>
        <v>300190</v>
      </c>
      <c r="C3990" t="s">
        <v>8325</v>
      </c>
      <c r="D3990" t="s">
        <v>3575</v>
      </c>
      <c r="F3990">
        <v>3153242137</v>
      </c>
      <c r="G3990">
        <v>3202734194</v>
      </c>
      <c r="H3990">
        <v>2730648146</v>
      </c>
      <c r="I3990">
        <v>2064843724</v>
      </c>
      <c r="J3990">
        <v>1417765376</v>
      </c>
      <c r="K3990">
        <v>773474069</v>
      </c>
      <c r="L3990">
        <v>960909016</v>
      </c>
      <c r="M3990">
        <v>650589189</v>
      </c>
      <c r="N3990">
        <v>278305369</v>
      </c>
      <c r="O3990">
        <v>354518127</v>
      </c>
      <c r="P3990">
        <v>233</v>
      </c>
      <c r="Q3990" t="s">
        <v>8326</v>
      </c>
    </row>
    <row r="3991" spans="1:17" x14ac:dyDescent="0.3">
      <c r="A3991" t="s">
        <v>4729</v>
      </c>
      <c r="B3991" t="str">
        <f>"300191"</f>
        <v>300191</v>
      </c>
      <c r="C3991" t="s">
        <v>8327</v>
      </c>
      <c r="D3991" t="s">
        <v>762</v>
      </c>
      <c r="F3991">
        <v>406385438</v>
      </c>
      <c r="G3991">
        <v>425171414</v>
      </c>
      <c r="H3991">
        <v>174530531</v>
      </c>
      <c r="I3991">
        <v>109158820</v>
      </c>
      <c r="J3991">
        <v>82108328</v>
      </c>
      <c r="K3991">
        <v>80388885</v>
      </c>
      <c r="L3991">
        <v>44833201</v>
      </c>
      <c r="M3991">
        <v>77552912</v>
      </c>
      <c r="N3991">
        <v>168474969</v>
      </c>
      <c r="O3991">
        <v>144014342</v>
      </c>
      <c r="P3991">
        <v>75</v>
      </c>
      <c r="Q3991" t="s">
        <v>8328</v>
      </c>
    </row>
    <row r="3992" spans="1:17" x14ac:dyDescent="0.3">
      <c r="A3992" t="s">
        <v>4729</v>
      </c>
      <c r="B3992" t="str">
        <f>"300192"</f>
        <v>300192</v>
      </c>
      <c r="C3992" t="s">
        <v>8329</v>
      </c>
      <c r="D3992" t="s">
        <v>1336</v>
      </c>
      <c r="F3992">
        <v>857592690</v>
      </c>
      <c r="G3992">
        <v>848813960</v>
      </c>
      <c r="H3992">
        <v>958818505</v>
      </c>
      <c r="I3992">
        <v>959480639</v>
      </c>
      <c r="J3992">
        <v>472130926</v>
      </c>
      <c r="K3992">
        <v>489739739</v>
      </c>
      <c r="L3992">
        <v>495078530</v>
      </c>
      <c r="M3992">
        <v>521021678</v>
      </c>
      <c r="N3992">
        <v>488664671</v>
      </c>
      <c r="O3992">
        <v>396282040</v>
      </c>
      <c r="P3992">
        <v>182</v>
      </c>
      <c r="Q3992" t="s">
        <v>8330</v>
      </c>
    </row>
    <row r="3993" spans="1:17" x14ac:dyDescent="0.3">
      <c r="A3993" t="s">
        <v>4729</v>
      </c>
      <c r="B3993" t="str">
        <f>"300193"</f>
        <v>300193</v>
      </c>
      <c r="C3993" t="s">
        <v>8331</v>
      </c>
      <c r="D3993" t="s">
        <v>560</v>
      </c>
      <c r="F3993">
        <v>1249347145</v>
      </c>
      <c r="G3993">
        <v>1020262386</v>
      </c>
      <c r="H3993">
        <v>965557155</v>
      </c>
      <c r="I3993">
        <v>893304840</v>
      </c>
      <c r="J3993">
        <v>806517585</v>
      </c>
      <c r="K3993">
        <v>705532759</v>
      </c>
      <c r="L3993">
        <v>624870846</v>
      </c>
      <c r="M3993">
        <v>588241041</v>
      </c>
      <c r="N3993">
        <v>584696640</v>
      </c>
      <c r="O3993">
        <v>599685667</v>
      </c>
      <c r="P3993">
        <v>154</v>
      </c>
      <c r="Q3993" t="s">
        <v>8332</v>
      </c>
    </row>
    <row r="3994" spans="1:17" x14ac:dyDescent="0.3">
      <c r="A3994" t="s">
        <v>4729</v>
      </c>
      <c r="B3994" t="str">
        <f>"300194"</f>
        <v>300194</v>
      </c>
      <c r="C3994" t="s">
        <v>8333</v>
      </c>
      <c r="D3994" t="s">
        <v>143</v>
      </c>
      <c r="F3994">
        <v>2453144921</v>
      </c>
      <c r="G3994">
        <v>2368343297</v>
      </c>
      <c r="H3994">
        <v>2780740647</v>
      </c>
      <c r="I3994">
        <v>2669296083</v>
      </c>
      <c r="J3994">
        <v>2090806850</v>
      </c>
      <c r="K3994">
        <v>1297016911</v>
      </c>
      <c r="L3994">
        <v>708096043</v>
      </c>
      <c r="M3994">
        <v>448569652</v>
      </c>
      <c r="N3994">
        <v>357779551</v>
      </c>
      <c r="O3994">
        <v>420017314</v>
      </c>
      <c r="P3994">
        <v>149</v>
      </c>
      <c r="Q3994" t="s">
        <v>8334</v>
      </c>
    </row>
    <row r="3995" spans="1:17" x14ac:dyDescent="0.3">
      <c r="A3995" t="s">
        <v>4729</v>
      </c>
      <c r="B3995" t="str">
        <f>"300195"</f>
        <v>300195</v>
      </c>
      <c r="C3995" t="s">
        <v>8335</v>
      </c>
      <c r="D3995" t="s">
        <v>3415</v>
      </c>
      <c r="F3995">
        <v>1467288579</v>
      </c>
      <c r="G3995">
        <v>1223495789</v>
      </c>
      <c r="H3995">
        <v>1292211370</v>
      </c>
      <c r="I3995">
        <v>1311142392</v>
      </c>
      <c r="J3995">
        <v>1129765552</v>
      </c>
      <c r="K3995">
        <v>1151067350</v>
      </c>
      <c r="L3995">
        <v>1111128597</v>
      </c>
      <c r="M3995">
        <v>956783422</v>
      </c>
      <c r="N3995">
        <v>615679507</v>
      </c>
      <c r="O3995">
        <v>574922429</v>
      </c>
      <c r="P3995">
        <v>90</v>
      </c>
      <c r="Q3995" t="s">
        <v>8336</v>
      </c>
    </row>
    <row r="3996" spans="1:17" x14ac:dyDescent="0.3">
      <c r="A3996" t="s">
        <v>4729</v>
      </c>
      <c r="B3996" t="str">
        <f>"300196"</f>
        <v>300196</v>
      </c>
      <c r="C3996" t="s">
        <v>8337</v>
      </c>
      <c r="D3996" t="s">
        <v>411</v>
      </c>
      <c r="F3996">
        <v>2506397406</v>
      </c>
      <c r="G3996">
        <v>2042508063</v>
      </c>
      <c r="H3996">
        <v>2209706816</v>
      </c>
      <c r="I3996">
        <v>2197941703</v>
      </c>
      <c r="J3996">
        <v>2027190741</v>
      </c>
      <c r="K3996">
        <v>1767919840</v>
      </c>
      <c r="L3996">
        <v>1516064342</v>
      </c>
      <c r="M3996">
        <v>1112612627</v>
      </c>
      <c r="N3996">
        <v>919711440</v>
      </c>
      <c r="O3996">
        <v>601990529</v>
      </c>
      <c r="P3996">
        <v>232</v>
      </c>
      <c r="Q3996" t="s">
        <v>8338</v>
      </c>
    </row>
    <row r="3997" spans="1:17" x14ac:dyDescent="0.3">
      <c r="A3997" t="s">
        <v>4729</v>
      </c>
      <c r="B3997" t="str">
        <f>"300197"</f>
        <v>300197</v>
      </c>
      <c r="C3997" t="s">
        <v>8339</v>
      </c>
      <c r="D3997" t="s">
        <v>2417</v>
      </c>
      <c r="F3997">
        <v>2662697570</v>
      </c>
      <c r="G3997">
        <v>4211496796</v>
      </c>
      <c r="H3997">
        <v>5066249289</v>
      </c>
      <c r="I3997">
        <v>7748829530</v>
      </c>
      <c r="J3997">
        <v>8187790260</v>
      </c>
      <c r="K3997">
        <v>4573262879</v>
      </c>
      <c r="L3997">
        <v>2613273021</v>
      </c>
      <c r="M3997">
        <v>2003092732</v>
      </c>
      <c r="N3997">
        <v>1489898502</v>
      </c>
      <c r="O3997">
        <v>1204261873</v>
      </c>
      <c r="P3997">
        <v>356</v>
      </c>
      <c r="Q3997" t="s">
        <v>8340</v>
      </c>
    </row>
    <row r="3998" spans="1:17" x14ac:dyDescent="0.3">
      <c r="A3998" t="s">
        <v>4729</v>
      </c>
      <c r="B3998" t="str">
        <f>"300198"</f>
        <v>300198</v>
      </c>
      <c r="C3998" t="s">
        <v>8341</v>
      </c>
      <c r="D3998" t="s">
        <v>3347</v>
      </c>
      <c r="F3998">
        <v>678363322</v>
      </c>
      <c r="G3998">
        <v>894755112</v>
      </c>
      <c r="H3998">
        <v>808282749</v>
      </c>
      <c r="I3998">
        <v>1134283380</v>
      </c>
      <c r="J3998">
        <v>1479811836</v>
      </c>
      <c r="K3998">
        <v>1116971192</v>
      </c>
      <c r="L3998">
        <v>1307948095</v>
      </c>
      <c r="M3998">
        <v>998594718</v>
      </c>
      <c r="N3998">
        <v>655495353</v>
      </c>
      <c r="O3998">
        <v>396691367</v>
      </c>
      <c r="P3998">
        <v>82</v>
      </c>
      <c r="Q3998" t="s">
        <v>8342</v>
      </c>
    </row>
    <row r="3999" spans="1:17" x14ac:dyDescent="0.3">
      <c r="A3999" t="s">
        <v>4729</v>
      </c>
      <c r="B3999" t="str">
        <f>"300199"</f>
        <v>300199</v>
      </c>
      <c r="C3999" t="s">
        <v>8343</v>
      </c>
      <c r="D3999" t="s">
        <v>143</v>
      </c>
      <c r="F3999">
        <v>735971145</v>
      </c>
      <c r="G3999">
        <v>721723508</v>
      </c>
      <c r="H3999">
        <v>614191475</v>
      </c>
      <c r="I3999">
        <v>1264444507</v>
      </c>
      <c r="J3999">
        <v>1246233504</v>
      </c>
      <c r="K3999">
        <v>855047909</v>
      </c>
      <c r="L3999">
        <v>768263802</v>
      </c>
      <c r="M3999">
        <v>419428161</v>
      </c>
      <c r="N3999">
        <v>301404772</v>
      </c>
      <c r="O3999">
        <v>225995987</v>
      </c>
      <c r="P3999">
        <v>242</v>
      </c>
      <c r="Q3999" t="s">
        <v>8344</v>
      </c>
    </row>
    <row r="4000" spans="1:17" x14ac:dyDescent="0.3">
      <c r="A4000" t="s">
        <v>4729</v>
      </c>
      <c r="B4000" t="str">
        <f>"300200"</f>
        <v>300200</v>
      </c>
      <c r="C4000" t="s">
        <v>8345</v>
      </c>
      <c r="D4000" t="s">
        <v>528</v>
      </c>
      <c r="F4000">
        <v>1099554050</v>
      </c>
      <c r="G4000">
        <v>959676886</v>
      </c>
      <c r="H4000">
        <v>960112603</v>
      </c>
      <c r="I4000">
        <v>1016347696</v>
      </c>
      <c r="J4000">
        <v>853608372</v>
      </c>
      <c r="K4000">
        <v>527717788</v>
      </c>
      <c r="L4000">
        <v>488472949</v>
      </c>
      <c r="M4000">
        <v>517749490</v>
      </c>
      <c r="N4000">
        <v>501707605</v>
      </c>
      <c r="O4000">
        <v>428966684</v>
      </c>
      <c r="P4000">
        <v>160</v>
      </c>
      <c r="Q4000" t="s">
        <v>8346</v>
      </c>
    </row>
    <row r="4001" spans="1:17" x14ac:dyDescent="0.3">
      <c r="A4001" t="s">
        <v>4729</v>
      </c>
      <c r="B4001" t="str">
        <f>"300201"</f>
        <v>300201</v>
      </c>
      <c r="C4001" t="s">
        <v>8347</v>
      </c>
      <c r="D4001" t="s">
        <v>83</v>
      </c>
      <c r="F4001">
        <v>1665924040</v>
      </c>
      <c r="G4001">
        <v>2035690091</v>
      </c>
      <c r="H4001">
        <v>1775489399</v>
      </c>
      <c r="I4001">
        <v>1809714179</v>
      </c>
      <c r="J4001">
        <v>1557325157</v>
      </c>
      <c r="K4001">
        <v>1416397944</v>
      </c>
      <c r="L4001">
        <v>821348094</v>
      </c>
      <c r="M4001">
        <v>575912681</v>
      </c>
      <c r="N4001">
        <v>399052886</v>
      </c>
      <c r="O4001">
        <v>306143131</v>
      </c>
      <c r="P4001">
        <v>77</v>
      </c>
      <c r="Q4001" t="s">
        <v>8348</v>
      </c>
    </row>
    <row r="4002" spans="1:17" x14ac:dyDescent="0.3">
      <c r="A4002" t="s">
        <v>4729</v>
      </c>
      <c r="B4002" t="str">
        <f>"300202"</f>
        <v>300202</v>
      </c>
      <c r="C4002" t="s">
        <v>8349</v>
      </c>
      <c r="D4002" t="s">
        <v>236</v>
      </c>
      <c r="F4002">
        <v>330181037</v>
      </c>
      <c r="G4002">
        <v>565862626</v>
      </c>
      <c r="H4002">
        <v>669007432</v>
      </c>
      <c r="I4002">
        <v>622742428</v>
      </c>
      <c r="J4002">
        <v>683124351</v>
      </c>
      <c r="K4002">
        <v>930074766</v>
      </c>
      <c r="L4002">
        <v>886822429</v>
      </c>
      <c r="M4002">
        <v>1133459389</v>
      </c>
      <c r="N4002">
        <v>864310925</v>
      </c>
      <c r="O4002">
        <v>504098867</v>
      </c>
      <c r="P4002">
        <v>2978</v>
      </c>
      <c r="Q4002" t="s">
        <v>8350</v>
      </c>
    </row>
    <row r="4003" spans="1:17" x14ac:dyDescent="0.3">
      <c r="A4003" t="s">
        <v>4729</v>
      </c>
      <c r="B4003" t="str">
        <f>"300203"</f>
        <v>300203</v>
      </c>
      <c r="C4003" t="s">
        <v>8351</v>
      </c>
      <c r="D4003" t="s">
        <v>3575</v>
      </c>
      <c r="F4003">
        <v>3750514066</v>
      </c>
      <c r="G4003">
        <v>4101212968</v>
      </c>
      <c r="H4003">
        <v>3895520536</v>
      </c>
      <c r="I4003">
        <v>3824905212</v>
      </c>
      <c r="J4003">
        <v>2799399316</v>
      </c>
      <c r="K4003">
        <v>2348896833</v>
      </c>
      <c r="L4003">
        <v>1833252036</v>
      </c>
      <c r="M4003">
        <v>1230604394</v>
      </c>
      <c r="N4003">
        <v>941081937</v>
      </c>
      <c r="O4003">
        <v>835694643</v>
      </c>
      <c r="P4003">
        <v>431</v>
      </c>
      <c r="Q4003" t="s">
        <v>8352</v>
      </c>
    </row>
    <row r="4004" spans="1:17" x14ac:dyDescent="0.3">
      <c r="A4004" t="s">
        <v>4729</v>
      </c>
      <c r="B4004" t="str">
        <f>"300204"</f>
        <v>300204</v>
      </c>
      <c r="C4004" t="s">
        <v>8353</v>
      </c>
      <c r="D4004" t="s">
        <v>1379</v>
      </c>
      <c r="F4004">
        <v>584291441</v>
      </c>
      <c r="G4004">
        <v>425212063</v>
      </c>
      <c r="H4004">
        <v>661490407</v>
      </c>
      <c r="I4004">
        <v>806079311</v>
      </c>
      <c r="J4004">
        <v>1387885910</v>
      </c>
      <c r="K4004">
        <v>1403317053</v>
      </c>
      <c r="L4004">
        <v>1247891830</v>
      </c>
      <c r="M4004">
        <v>1093003396</v>
      </c>
      <c r="N4004">
        <v>892691619</v>
      </c>
      <c r="O4004">
        <v>556153129</v>
      </c>
      <c r="P4004">
        <v>202</v>
      </c>
      <c r="Q4004" t="s">
        <v>8354</v>
      </c>
    </row>
    <row r="4005" spans="1:17" x14ac:dyDescent="0.3">
      <c r="A4005" t="s">
        <v>4729</v>
      </c>
      <c r="B4005" t="str">
        <f>"300205"</f>
        <v>300205</v>
      </c>
      <c r="C4005" t="s">
        <v>8355</v>
      </c>
      <c r="D4005" t="s">
        <v>786</v>
      </c>
      <c r="F4005">
        <v>1430301663</v>
      </c>
      <c r="G4005">
        <v>1693529679</v>
      </c>
      <c r="H4005">
        <v>2212106996</v>
      </c>
      <c r="I4005">
        <v>2396986880</v>
      </c>
      <c r="J4005">
        <v>1936070391</v>
      </c>
      <c r="K4005">
        <v>1627326894</v>
      </c>
      <c r="L4005">
        <v>1483296003</v>
      </c>
      <c r="M4005">
        <v>1354686517</v>
      </c>
      <c r="N4005">
        <v>1270546785</v>
      </c>
      <c r="O4005">
        <v>759752740</v>
      </c>
      <c r="P4005">
        <v>222</v>
      </c>
      <c r="Q4005" t="s">
        <v>8356</v>
      </c>
    </row>
    <row r="4006" spans="1:17" x14ac:dyDescent="0.3">
      <c r="A4006" t="s">
        <v>4729</v>
      </c>
      <c r="B4006" t="str">
        <f>"300206"</f>
        <v>300206</v>
      </c>
      <c r="C4006" t="s">
        <v>8357</v>
      </c>
      <c r="D4006" t="s">
        <v>122</v>
      </c>
      <c r="F4006">
        <v>1636411043</v>
      </c>
      <c r="G4006">
        <v>2318604232</v>
      </c>
      <c r="H4006">
        <v>1136243021</v>
      </c>
      <c r="I4006">
        <v>992719626</v>
      </c>
      <c r="J4006">
        <v>843277975</v>
      </c>
      <c r="K4006">
        <v>698007759</v>
      </c>
      <c r="L4006">
        <v>550136391</v>
      </c>
      <c r="M4006">
        <v>522775627</v>
      </c>
      <c r="N4006">
        <v>454607048</v>
      </c>
      <c r="O4006">
        <v>382458306</v>
      </c>
      <c r="P4006">
        <v>426</v>
      </c>
      <c r="Q4006" t="s">
        <v>8358</v>
      </c>
    </row>
    <row r="4007" spans="1:17" x14ac:dyDescent="0.3">
      <c r="A4007" t="s">
        <v>4729</v>
      </c>
      <c r="B4007" t="str">
        <f>"300207"</f>
        <v>300207</v>
      </c>
      <c r="C4007" t="s">
        <v>8359</v>
      </c>
      <c r="D4007" t="s">
        <v>359</v>
      </c>
      <c r="F4007">
        <v>37358723512</v>
      </c>
      <c r="G4007">
        <v>29692307885</v>
      </c>
      <c r="H4007">
        <v>25240657907</v>
      </c>
      <c r="I4007">
        <v>20338301880</v>
      </c>
      <c r="J4007">
        <v>14044882525</v>
      </c>
      <c r="K4007">
        <v>8051965605</v>
      </c>
      <c r="L4007">
        <v>6471558018</v>
      </c>
      <c r="M4007">
        <v>4279187800</v>
      </c>
      <c r="N4007">
        <v>2203390776</v>
      </c>
      <c r="O4007">
        <v>1411796678</v>
      </c>
      <c r="P4007">
        <v>1012</v>
      </c>
      <c r="Q4007" t="s">
        <v>8360</v>
      </c>
    </row>
    <row r="4008" spans="1:17" x14ac:dyDescent="0.3">
      <c r="A4008" t="s">
        <v>4729</v>
      </c>
      <c r="B4008" t="str">
        <f>"300208"</f>
        <v>300208</v>
      </c>
      <c r="C4008" t="s">
        <v>8361</v>
      </c>
      <c r="D4008" t="s">
        <v>110</v>
      </c>
      <c r="F4008">
        <v>1585801294</v>
      </c>
      <c r="G4008">
        <v>289490339</v>
      </c>
      <c r="H4008">
        <v>757037880</v>
      </c>
      <c r="I4008">
        <v>1299782647</v>
      </c>
      <c r="J4008">
        <v>1522298556</v>
      </c>
      <c r="K4008">
        <v>1199368780</v>
      </c>
      <c r="L4008">
        <v>1163266236</v>
      </c>
      <c r="M4008">
        <v>670442561</v>
      </c>
      <c r="N4008">
        <v>169062899</v>
      </c>
      <c r="O4008">
        <v>247263193</v>
      </c>
      <c r="P4008">
        <v>144</v>
      </c>
      <c r="Q4008" t="s">
        <v>8362</v>
      </c>
    </row>
    <row r="4009" spans="1:17" x14ac:dyDescent="0.3">
      <c r="A4009" t="s">
        <v>4729</v>
      </c>
      <c r="B4009" t="str">
        <f>"300209"</f>
        <v>300209</v>
      </c>
      <c r="C4009" t="s">
        <v>8363</v>
      </c>
      <c r="D4009" t="s">
        <v>945</v>
      </c>
      <c r="F4009">
        <v>1763975805</v>
      </c>
      <c r="G4009">
        <v>5026531095</v>
      </c>
      <c r="H4009">
        <v>3867356288</v>
      </c>
      <c r="I4009">
        <v>895839457</v>
      </c>
      <c r="J4009">
        <v>995162781</v>
      </c>
      <c r="K4009">
        <v>724101071</v>
      </c>
      <c r="L4009">
        <v>294586743</v>
      </c>
      <c r="M4009">
        <v>172764457</v>
      </c>
      <c r="N4009">
        <v>158021667</v>
      </c>
      <c r="O4009">
        <v>131154052</v>
      </c>
      <c r="P4009">
        <v>143</v>
      </c>
      <c r="Q4009" t="s">
        <v>8364</v>
      </c>
    </row>
    <row r="4010" spans="1:17" x14ac:dyDescent="0.3">
      <c r="A4010" t="s">
        <v>4729</v>
      </c>
      <c r="B4010" t="str">
        <f>"300210"</f>
        <v>300210</v>
      </c>
      <c r="C4010" t="s">
        <v>8365</v>
      </c>
      <c r="D4010" t="s">
        <v>1070</v>
      </c>
      <c r="F4010">
        <v>210749364</v>
      </c>
      <c r="G4010">
        <v>380427836</v>
      </c>
      <c r="H4010">
        <v>257109525</v>
      </c>
      <c r="I4010">
        <v>373316060</v>
      </c>
      <c r="J4010">
        <v>406641338</v>
      </c>
      <c r="K4010">
        <v>457715650</v>
      </c>
      <c r="L4010">
        <v>404424131</v>
      </c>
      <c r="M4010">
        <v>483106891</v>
      </c>
      <c r="N4010">
        <v>455220723</v>
      </c>
      <c r="O4010">
        <v>305213855</v>
      </c>
      <c r="P4010">
        <v>50</v>
      </c>
      <c r="Q4010" t="s">
        <v>8366</v>
      </c>
    </row>
    <row r="4011" spans="1:17" x14ac:dyDescent="0.3">
      <c r="A4011" t="s">
        <v>4729</v>
      </c>
      <c r="B4011" t="str">
        <f>"300211"</f>
        <v>300211</v>
      </c>
      <c r="C4011" t="s">
        <v>8367</v>
      </c>
      <c r="D4011" t="s">
        <v>654</v>
      </c>
      <c r="F4011">
        <v>249680939</v>
      </c>
      <c r="G4011">
        <v>81373968</v>
      </c>
      <c r="H4011">
        <v>98908657</v>
      </c>
      <c r="I4011">
        <v>127934552</v>
      </c>
      <c r="J4011">
        <v>169449585</v>
      </c>
      <c r="K4011">
        <v>219752512</v>
      </c>
      <c r="L4011">
        <v>227020785</v>
      </c>
      <c r="M4011">
        <v>211399801</v>
      </c>
      <c r="N4011">
        <v>264380150</v>
      </c>
      <c r="O4011">
        <v>216482433</v>
      </c>
      <c r="P4011">
        <v>63</v>
      </c>
      <c r="Q4011" t="s">
        <v>8368</v>
      </c>
    </row>
    <row r="4012" spans="1:17" x14ac:dyDescent="0.3">
      <c r="A4012" t="s">
        <v>4729</v>
      </c>
      <c r="B4012" t="str">
        <f>"300212"</f>
        <v>300212</v>
      </c>
      <c r="C4012" t="s">
        <v>8369</v>
      </c>
      <c r="D4012" t="s">
        <v>316</v>
      </c>
      <c r="F4012">
        <v>2020109723</v>
      </c>
      <c r="G4012">
        <v>2806226754</v>
      </c>
      <c r="H4012">
        <v>3743903562</v>
      </c>
      <c r="I4012">
        <v>2956448052</v>
      </c>
      <c r="J4012">
        <v>2993356288</v>
      </c>
      <c r="K4012">
        <v>2249479003</v>
      </c>
      <c r="L4012">
        <v>1613930679</v>
      </c>
      <c r="M4012">
        <v>1579927939</v>
      </c>
      <c r="N4012">
        <v>829253922</v>
      </c>
      <c r="O4012">
        <v>554635880</v>
      </c>
      <c r="P4012">
        <v>389</v>
      </c>
      <c r="Q4012" t="s">
        <v>8370</v>
      </c>
    </row>
    <row r="4013" spans="1:17" x14ac:dyDescent="0.3">
      <c r="A4013" t="s">
        <v>4729</v>
      </c>
      <c r="B4013" t="str">
        <f>"300213"</f>
        <v>300213</v>
      </c>
      <c r="C4013" t="s">
        <v>8371</v>
      </c>
      <c r="D4013" t="s">
        <v>595</v>
      </c>
      <c r="F4013">
        <v>1032630367</v>
      </c>
      <c r="G4013">
        <v>961493585</v>
      </c>
      <c r="H4013">
        <v>1339490850</v>
      </c>
      <c r="I4013">
        <v>1216452868</v>
      </c>
      <c r="J4013">
        <v>1172623822</v>
      </c>
      <c r="K4013">
        <v>1048354843</v>
      </c>
      <c r="L4013">
        <v>1012532331</v>
      </c>
      <c r="M4013">
        <v>831734962</v>
      </c>
      <c r="N4013">
        <v>490036520</v>
      </c>
      <c r="O4013">
        <v>353446655</v>
      </c>
      <c r="P4013">
        <v>187</v>
      </c>
      <c r="Q4013" t="s">
        <v>8372</v>
      </c>
    </row>
    <row r="4014" spans="1:17" x14ac:dyDescent="0.3">
      <c r="A4014" t="s">
        <v>4729</v>
      </c>
      <c r="B4014" t="str">
        <f>"300214"</f>
        <v>300214</v>
      </c>
      <c r="C4014" t="s">
        <v>8373</v>
      </c>
      <c r="D4014" t="s">
        <v>1192</v>
      </c>
      <c r="F4014">
        <v>2772847326</v>
      </c>
      <c r="G4014">
        <v>2274586718</v>
      </c>
      <c r="H4014">
        <v>2420120334</v>
      </c>
      <c r="I4014">
        <v>1568771296</v>
      </c>
      <c r="J4014">
        <v>2103216856</v>
      </c>
      <c r="K4014">
        <v>1547033610</v>
      </c>
      <c r="L4014">
        <v>1423363119</v>
      </c>
      <c r="M4014">
        <v>1304849688</v>
      </c>
      <c r="N4014">
        <v>1001970602</v>
      </c>
      <c r="O4014">
        <v>1047158361</v>
      </c>
      <c r="P4014">
        <v>107</v>
      </c>
      <c r="Q4014" t="s">
        <v>8374</v>
      </c>
    </row>
    <row r="4015" spans="1:17" x14ac:dyDescent="0.3">
      <c r="A4015" t="s">
        <v>4729</v>
      </c>
      <c r="B4015" t="str">
        <f>"300215"</f>
        <v>300215</v>
      </c>
      <c r="C4015" t="s">
        <v>8375</v>
      </c>
      <c r="D4015" t="s">
        <v>2510</v>
      </c>
      <c r="F4015">
        <v>862609338</v>
      </c>
      <c r="G4015">
        <v>702297590</v>
      </c>
      <c r="H4015">
        <v>806336621</v>
      </c>
      <c r="I4015">
        <v>708668454</v>
      </c>
      <c r="J4015">
        <v>642654509</v>
      </c>
      <c r="K4015">
        <v>553410303</v>
      </c>
      <c r="L4015">
        <v>417402157</v>
      </c>
      <c r="M4015">
        <v>421761050</v>
      </c>
      <c r="N4015">
        <v>476573779</v>
      </c>
      <c r="O4015">
        <v>350047118</v>
      </c>
      <c r="P4015">
        <v>178</v>
      </c>
      <c r="Q4015" t="s">
        <v>8376</v>
      </c>
    </row>
    <row r="4016" spans="1:17" x14ac:dyDescent="0.3">
      <c r="A4016" t="s">
        <v>4729</v>
      </c>
      <c r="B4016" t="str">
        <f>"300216"</f>
        <v>300216</v>
      </c>
      <c r="C4016" t="s">
        <v>8377</v>
      </c>
      <c r="H4016">
        <v>197565396</v>
      </c>
      <c r="I4016">
        <v>200830988</v>
      </c>
      <c r="J4016">
        <v>307916483</v>
      </c>
      <c r="K4016">
        <v>764066622</v>
      </c>
      <c r="L4016">
        <v>538978400</v>
      </c>
      <c r="M4016">
        <v>591349999</v>
      </c>
      <c r="N4016">
        <v>460530934</v>
      </c>
      <c r="O4016">
        <v>364563424</v>
      </c>
      <c r="P4016">
        <v>53</v>
      </c>
      <c r="Q4016" t="s">
        <v>8378</v>
      </c>
    </row>
    <row r="4017" spans="1:17" x14ac:dyDescent="0.3">
      <c r="A4017" t="s">
        <v>4729</v>
      </c>
      <c r="B4017" t="str">
        <f>"300217"</f>
        <v>300217</v>
      </c>
      <c r="C4017" t="s">
        <v>8379</v>
      </c>
      <c r="D4017" t="s">
        <v>1253</v>
      </c>
      <c r="F4017">
        <v>2787289592</v>
      </c>
      <c r="G4017">
        <v>2397146558</v>
      </c>
      <c r="H4017">
        <v>2234087034</v>
      </c>
      <c r="I4017">
        <v>2239373764</v>
      </c>
      <c r="J4017">
        <v>1730197837</v>
      </c>
      <c r="K4017">
        <v>929682027</v>
      </c>
      <c r="L4017">
        <v>942167620</v>
      </c>
      <c r="M4017">
        <v>1019005354</v>
      </c>
      <c r="N4017">
        <v>827473347</v>
      </c>
      <c r="O4017">
        <v>660942090</v>
      </c>
      <c r="P4017">
        <v>160</v>
      </c>
      <c r="Q4017" t="s">
        <v>8380</v>
      </c>
    </row>
    <row r="4018" spans="1:17" x14ac:dyDescent="0.3">
      <c r="A4018" t="s">
        <v>4729</v>
      </c>
      <c r="B4018" t="str">
        <f>"300218"</f>
        <v>300218</v>
      </c>
      <c r="C4018" t="s">
        <v>8381</v>
      </c>
      <c r="D4018" t="s">
        <v>1192</v>
      </c>
      <c r="F4018">
        <v>2045861827</v>
      </c>
      <c r="G4018">
        <v>1546585123</v>
      </c>
      <c r="H4018">
        <v>1694838905</v>
      </c>
      <c r="I4018">
        <v>1679430868</v>
      </c>
      <c r="J4018">
        <v>1492956727</v>
      </c>
      <c r="K4018">
        <v>1404880337</v>
      </c>
      <c r="L4018">
        <v>1376089942</v>
      </c>
      <c r="M4018">
        <v>1332194473</v>
      </c>
      <c r="N4018">
        <v>1183021124</v>
      </c>
      <c r="O4018">
        <v>1110963298</v>
      </c>
      <c r="P4018">
        <v>108</v>
      </c>
      <c r="Q4018" t="s">
        <v>8382</v>
      </c>
    </row>
    <row r="4019" spans="1:17" x14ac:dyDescent="0.3">
      <c r="A4019" t="s">
        <v>4729</v>
      </c>
      <c r="B4019" t="str">
        <f>"300219"</f>
        <v>300219</v>
      </c>
      <c r="C4019" t="s">
        <v>8383</v>
      </c>
      <c r="D4019" t="s">
        <v>803</v>
      </c>
      <c r="F4019">
        <v>4075214931</v>
      </c>
      <c r="G4019">
        <v>3124346498</v>
      </c>
      <c r="H4019">
        <v>3593570974</v>
      </c>
      <c r="I4019">
        <v>4003161049</v>
      </c>
      <c r="J4019">
        <v>3699261187</v>
      </c>
      <c r="K4019">
        <v>2258109364</v>
      </c>
      <c r="L4019">
        <v>1592318301</v>
      </c>
      <c r="M4019">
        <v>1017669299</v>
      </c>
      <c r="N4019">
        <v>735417173</v>
      </c>
      <c r="O4019">
        <v>530055555</v>
      </c>
      <c r="P4019">
        <v>137</v>
      </c>
      <c r="Q4019" t="s">
        <v>8384</v>
      </c>
    </row>
    <row r="4020" spans="1:17" x14ac:dyDescent="0.3">
      <c r="A4020" t="s">
        <v>4729</v>
      </c>
      <c r="B4020" t="str">
        <f>"300220"</f>
        <v>300220</v>
      </c>
      <c r="C4020" t="s">
        <v>8385</v>
      </c>
      <c r="D4020" t="s">
        <v>3811</v>
      </c>
      <c r="F4020">
        <v>346927355</v>
      </c>
      <c r="G4020">
        <v>196820611</v>
      </c>
      <c r="H4020">
        <v>219301162</v>
      </c>
      <c r="I4020">
        <v>212787606</v>
      </c>
      <c r="J4020">
        <v>184949471</v>
      </c>
      <c r="K4020">
        <v>187330676</v>
      </c>
      <c r="L4020">
        <v>182904505</v>
      </c>
      <c r="M4020">
        <v>192535823</v>
      </c>
      <c r="N4020">
        <v>158418192</v>
      </c>
      <c r="O4020">
        <v>143133703</v>
      </c>
      <c r="P4020">
        <v>91</v>
      </c>
      <c r="Q4020" t="s">
        <v>8386</v>
      </c>
    </row>
    <row r="4021" spans="1:17" x14ac:dyDescent="0.3">
      <c r="A4021" t="s">
        <v>4729</v>
      </c>
      <c r="B4021" t="str">
        <f>"300221"</f>
        <v>300221</v>
      </c>
      <c r="C4021" t="s">
        <v>8387</v>
      </c>
      <c r="D4021" t="s">
        <v>341</v>
      </c>
      <c r="F4021">
        <v>2253403898</v>
      </c>
      <c r="G4021">
        <v>1640655936</v>
      </c>
      <c r="H4021">
        <v>1511471027</v>
      </c>
      <c r="I4021">
        <v>2262760304</v>
      </c>
      <c r="J4021">
        <v>2563451379</v>
      </c>
      <c r="K4021">
        <v>1440556749</v>
      </c>
      <c r="L4021">
        <v>1148712333</v>
      </c>
      <c r="M4021">
        <v>1106957049</v>
      </c>
      <c r="N4021">
        <v>968406449</v>
      </c>
      <c r="O4021">
        <v>897164518</v>
      </c>
      <c r="P4021">
        <v>173</v>
      </c>
      <c r="Q4021" t="s">
        <v>8388</v>
      </c>
    </row>
    <row r="4022" spans="1:17" x14ac:dyDescent="0.3">
      <c r="A4022" t="s">
        <v>4729</v>
      </c>
      <c r="B4022" t="str">
        <f>"300222"</f>
        <v>300222</v>
      </c>
      <c r="C4022" t="s">
        <v>8389</v>
      </c>
      <c r="D4022" t="s">
        <v>610</v>
      </c>
      <c r="F4022">
        <v>2889046732</v>
      </c>
      <c r="G4022">
        <v>2738452918</v>
      </c>
      <c r="H4022">
        <v>2313318986</v>
      </c>
      <c r="I4022">
        <v>3593830767</v>
      </c>
      <c r="J4022">
        <v>2559275587</v>
      </c>
      <c r="K4022">
        <v>1733985028</v>
      </c>
      <c r="L4022">
        <v>857886300</v>
      </c>
      <c r="M4022">
        <v>614723848</v>
      </c>
      <c r="N4022">
        <v>333163382</v>
      </c>
      <c r="O4022">
        <v>263739851</v>
      </c>
      <c r="P4022">
        <v>221</v>
      </c>
      <c r="Q4022" t="s">
        <v>8390</v>
      </c>
    </row>
    <row r="4023" spans="1:17" x14ac:dyDescent="0.3">
      <c r="A4023" t="s">
        <v>4729</v>
      </c>
      <c r="B4023" t="str">
        <f>"300223"</f>
        <v>300223</v>
      </c>
      <c r="C4023" t="s">
        <v>8391</v>
      </c>
      <c r="D4023" t="s">
        <v>461</v>
      </c>
      <c r="F4023">
        <v>5274059130</v>
      </c>
      <c r="G4023">
        <v>2169801108</v>
      </c>
      <c r="H4023">
        <v>339351160</v>
      </c>
      <c r="I4023">
        <v>259670111</v>
      </c>
      <c r="J4023">
        <v>184467019</v>
      </c>
      <c r="K4023">
        <v>111685840</v>
      </c>
      <c r="L4023">
        <v>70104954</v>
      </c>
      <c r="M4023">
        <v>59031657</v>
      </c>
      <c r="N4023">
        <v>94832085</v>
      </c>
      <c r="O4023">
        <v>106933128</v>
      </c>
      <c r="P4023">
        <v>612</v>
      </c>
      <c r="Q4023" t="s">
        <v>8392</v>
      </c>
    </row>
    <row r="4024" spans="1:17" x14ac:dyDescent="0.3">
      <c r="A4024" t="s">
        <v>4729</v>
      </c>
      <c r="B4024" t="str">
        <f>"300224"</f>
        <v>300224</v>
      </c>
      <c r="C4024" t="s">
        <v>8393</v>
      </c>
      <c r="D4024" t="s">
        <v>808</v>
      </c>
      <c r="F4024">
        <v>3369717378</v>
      </c>
      <c r="G4024">
        <v>1953940305</v>
      </c>
      <c r="H4024">
        <v>1798558416</v>
      </c>
      <c r="I4024">
        <v>1679955421</v>
      </c>
      <c r="J4024">
        <v>1192388542</v>
      </c>
      <c r="K4024">
        <v>1587612036</v>
      </c>
      <c r="L4024">
        <v>1365837103</v>
      </c>
      <c r="M4024">
        <v>769043911</v>
      </c>
      <c r="N4024">
        <v>547582947</v>
      </c>
      <c r="O4024">
        <v>812428913</v>
      </c>
      <c r="P4024">
        <v>198</v>
      </c>
      <c r="Q4024" t="s">
        <v>8394</v>
      </c>
    </row>
    <row r="4025" spans="1:17" x14ac:dyDescent="0.3">
      <c r="A4025" t="s">
        <v>4729</v>
      </c>
      <c r="B4025" t="str">
        <f>"300225"</f>
        <v>300225</v>
      </c>
      <c r="C4025" t="s">
        <v>8395</v>
      </c>
      <c r="D4025" t="s">
        <v>2585</v>
      </c>
      <c r="F4025">
        <v>857959381</v>
      </c>
      <c r="G4025">
        <v>884959565</v>
      </c>
      <c r="H4025">
        <v>813501963</v>
      </c>
      <c r="I4025">
        <v>808740496</v>
      </c>
      <c r="J4025">
        <v>797765788</v>
      </c>
      <c r="K4025">
        <v>790307323</v>
      </c>
      <c r="L4025">
        <v>702496638</v>
      </c>
      <c r="M4025">
        <v>693356142</v>
      </c>
      <c r="N4025">
        <v>633157991</v>
      </c>
      <c r="O4025">
        <v>508370778</v>
      </c>
      <c r="P4025">
        <v>94</v>
      </c>
      <c r="Q4025" t="s">
        <v>8396</v>
      </c>
    </row>
    <row r="4026" spans="1:17" x14ac:dyDescent="0.3">
      <c r="A4026" t="s">
        <v>4729</v>
      </c>
      <c r="B4026" t="str">
        <f>"300226"</f>
        <v>300226</v>
      </c>
      <c r="C4026" t="s">
        <v>8397</v>
      </c>
      <c r="D4026" t="s">
        <v>945</v>
      </c>
      <c r="F4026">
        <v>65774622181</v>
      </c>
      <c r="G4026">
        <v>58521227822</v>
      </c>
      <c r="H4026">
        <v>122571751666</v>
      </c>
      <c r="I4026">
        <v>96055091854</v>
      </c>
      <c r="J4026">
        <v>73697051321</v>
      </c>
      <c r="K4026">
        <v>41278991149</v>
      </c>
      <c r="L4026">
        <v>21357135682</v>
      </c>
      <c r="M4026">
        <v>7557110152</v>
      </c>
      <c r="N4026">
        <v>1553053135</v>
      </c>
      <c r="O4026">
        <v>954396372</v>
      </c>
      <c r="P4026">
        <v>253</v>
      </c>
      <c r="Q4026" t="s">
        <v>8398</v>
      </c>
    </row>
    <row r="4027" spans="1:17" x14ac:dyDescent="0.3">
      <c r="A4027" t="s">
        <v>4729</v>
      </c>
      <c r="B4027" t="str">
        <f>"300227"</f>
        <v>300227</v>
      </c>
      <c r="C4027" t="s">
        <v>8399</v>
      </c>
      <c r="D4027" t="s">
        <v>3811</v>
      </c>
      <c r="F4027">
        <v>930266764</v>
      </c>
      <c r="G4027">
        <v>887233687</v>
      </c>
      <c r="H4027">
        <v>790428594</v>
      </c>
      <c r="I4027">
        <v>580347838</v>
      </c>
      <c r="J4027">
        <v>513408091</v>
      </c>
      <c r="K4027">
        <v>312442492</v>
      </c>
      <c r="L4027">
        <v>225775923</v>
      </c>
      <c r="M4027">
        <v>252499857</v>
      </c>
      <c r="N4027">
        <v>173614904</v>
      </c>
      <c r="O4027">
        <v>160253984</v>
      </c>
      <c r="P4027">
        <v>220</v>
      </c>
      <c r="Q4027" t="s">
        <v>8400</v>
      </c>
    </row>
    <row r="4028" spans="1:17" x14ac:dyDescent="0.3">
      <c r="A4028" t="s">
        <v>4729</v>
      </c>
      <c r="B4028" t="str">
        <f>"300228"</f>
        <v>300228</v>
      </c>
      <c r="C4028" t="s">
        <v>8401</v>
      </c>
      <c r="D4028" t="s">
        <v>274</v>
      </c>
      <c r="F4028">
        <v>1586778589</v>
      </c>
      <c r="G4028">
        <v>1806080636</v>
      </c>
      <c r="H4028">
        <v>1573844705</v>
      </c>
      <c r="I4028">
        <v>1445418705</v>
      </c>
      <c r="J4028">
        <v>1745566577</v>
      </c>
      <c r="K4028">
        <v>886500947</v>
      </c>
      <c r="L4028">
        <v>1303394138</v>
      </c>
      <c r="M4028">
        <v>2003680481</v>
      </c>
      <c r="N4028">
        <v>2052232952</v>
      </c>
      <c r="O4028">
        <v>1245431842</v>
      </c>
      <c r="P4028">
        <v>128</v>
      </c>
      <c r="Q4028" t="s">
        <v>8402</v>
      </c>
    </row>
    <row r="4029" spans="1:17" x14ac:dyDescent="0.3">
      <c r="A4029" t="s">
        <v>4729</v>
      </c>
      <c r="B4029" t="str">
        <f>"300229"</f>
        <v>300229</v>
      </c>
      <c r="C4029" t="s">
        <v>8403</v>
      </c>
      <c r="D4029" t="s">
        <v>945</v>
      </c>
      <c r="F4029">
        <v>1028712011</v>
      </c>
      <c r="G4029">
        <v>1309436442</v>
      </c>
      <c r="H4029">
        <v>967305989</v>
      </c>
      <c r="I4029">
        <v>845303095</v>
      </c>
      <c r="J4029">
        <v>821323408</v>
      </c>
      <c r="K4029">
        <v>680122673</v>
      </c>
      <c r="L4029">
        <v>387961463</v>
      </c>
      <c r="M4029">
        <v>290079734</v>
      </c>
      <c r="N4029">
        <v>194159687</v>
      </c>
      <c r="O4029">
        <v>210864474</v>
      </c>
      <c r="P4029">
        <v>209</v>
      </c>
      <c r="Q4029" t="s">
        <v>8404</v>
      </c>
    </row>
    <row r="4030" spans="1:17" x14ac:dyDescent="0.3">
      <c r="A4030" t="s">
        <v>4729</v>
      </c>
      <c r="B4030" t="str">
        <f>"300230"</f>
        <v>300230</v>
      </c>
      <c r="C4030" t="s">
        <v>8405</v>
      </c>
      <c r="D4030" t="s">
        <v>1192</v>
      </c>
      <c r="F4030">
        <v>3213206845</v>
      </c>
      <c r="G4030">
        <v>3208881016</v>
      </c>
      <c r="H4030">
        <v>3263291436</v>
      </c>
      <c r="I4030">
        <v>3449671548</v>
      </c>
      <c r="J4030">
        <v>3086394029</v>
      </c>
      <c r="K4030">
        <v>1826789162</v>
      </c>
      <c r="L4030">
        <v>928437941</v>
      </c>
      <c r="M4030">
        <v>399196538</v>
      </c>
      <c r="N4030">
        <v>356319767</v>
      </c>
      <c r="O4030">
        <v>300890408</v>
      </c>
      <c r="P4030">
        <v>169</v>
      </c>
      <c r="Q4030" t="s">
        <v>8406</v>
      </c>
    </row>
    <row r="4031" spans="1:17" x14ac:dyDescent="0.3">
      <c r="A4031" t="s">
        <v>4729</v>
      </c>
      <c r="B4031" t="str">
        <f>"300231"</f>
        <v>300231</v>
      </c>
      <c r="C4031" t="s">
        <v>8407</v>
      </c>
      <c r="D4031" t="s">
        <v>316</v>
      </c>
      <c r="F4031">
        <v>2348514562</v>
      </c>
      <c r="G4031">
        <v>2317038839</v>
      </c>
      <c r="H4031">
        <v>1542179385</v>
      </c>
      <c r="I4031">
        <v>1219764520</v>
      </c>
      <c r="J4031">
        <v>933520252</v>
      </c>
      <c r="K4031">
        <v>1050273407</v>
      </c>
      <c r="L4031">
        <v>671059329</v>
      </c>
      <c r="M4031">
        <v>489275562</v>
      </c>
      <c r="N4031">
        <v>381733504</v>
      </c>
      <c r="O4031">
        <v>335649380</v>
      </c>
      <c r="P4031">
        <v>264</v>
      </c>
      <c r="Q4031" t="s">
        <v>8408</v>
      </c>
    </row>
    <row r="4032" spans="1:17" x14ac:dyDescent="0.3">
      <c r="A4032" t="s">
        <v>4729</v>
      </c>
      <c r="B4032" t="str">
        <f>"300232"</f>
        <v>300232</v>
      </c>
      <c r="C4032" t="s">
        <v>8409</v>
      </c>
      <c r="D4032" t="s">
        <v>803</v>
      </c>
      <c r="F4032">
        <v>7229094199</v>
      </c>
      <c r="G4032">
        <v>4961806228</v>
      </c>
      <c r="H4032">
        <v>5604258795</v>
      </c>
      <c r="I4032">
        <v>4524337284</v>
      </c>
      <c r="J4032">
        <v>3030527599</v>
      </c>
      <c r="K4032">
        <v>1745943734</v>
      </c>
      <c r="L4032">
        <v>1306372364</v>
      </c>
      <c r="M4032">
        <v>973402546</v>
      </c>
      <c r="N4032">
        <v>788959317</v>
      </c>
      <c r="O4032">
        <v>607789750</v>
      </c>
      <c r="P4032">
        <v>922</v>
      </c>
      <c r="Q4032" t="s">
        <v>8410</v>
      </c>
    </row>
    <row r="4033" spans="1:17" x14ac:dyDescent="0.3">
      <c r="A4033" t="s">
        <v>4729</v>
      </c>
      <c r="B4033" t="str">
        <f>"300233"</f>
        <v>300233</v>
      </c>
      <c r="C4033" t="s">
        <v>8411</v>
      </c>
      <c r="D4033" t="s">
        <v>143</v>
      </c>
      <c r="F4033">
        <v>3138454280</v>
      </c>
      <c r="G4033">
        <v>2961935834</v>
      </c>
      <c r="H4033">
        <v>2794819333</v>
      </c>
      <c r="I4033">
        <v>3007968050</v>
      </c>
      <c r="J4033">
        <v>2788037101</v>
      </c>
      <c r="K4033">
        <v>1420385019</v>
      </c>
      <c r="L4033">
        <v>1178560300</v>
      </c>
      <c r="M4033">
        <v>1050829974</v>
      </c>
      <c r="N4033">
        <v>908713118</v>
      </c>
      <c r="O4033">
        <v>799331827</v>
      </c>
      <c r="P4033">
        <v>201</v>
      </c>
      <c r="Q4033" t="s">
        <v>8412</v>
      </c>
    </row>
    <row r="4034" spans="1:17" x14ac:dyDescent="0.3">
      <c r="A4034" t="s">
        <v>4729</v>
      </c>
      <c r="B4034" t="str">
        <f>"300234"</f>
        <v>300234</v>
      </c>
      <c r="C4034" t="s">
        <v>8413</v>
      </c>
      <c r="D4034" t="s">
        <v>722</v>
      </c>
      <c r="F4034">
        <v>781366476</v>
      </c>
      <c r="G4034">
        <v>441432264</v>
      </c>
      <c r="H4034">
        <v>685325805</v>
      </c>
      <c r="I4034">
        <v>289576585</v>
      </c>
      <c r="J4034">
        <v>353215211</v>
      </c>
      <c r="K4034">
        <v>362447206</v>
      </c>
      <c r="L4034">
        <v>421162741</v>
      </c>
      <c r="M4034">
        <v>505543903</v>
      </c>
      <c r="N4034">
        <v>305458013</v>
      </c>
      <c r="O4034">
        <v>141905845</v>
      </c>
      <c r="P4034">
        <v>111</v>
      </c>
      <c r="Q4034" t="s">
        <v>8414</v>
      </c>
    </row>
    <row r="4035" spans="1:17" x14ac:dyDescent="0.3">
      <c r="A4035" t="s">
        <v>4729</v>
      </c>
      <c r="B4035" t="str">
        <f>"300235"</f>
        <v>300235</v>
      </c>
      <c r="C4035" t="s">
        <v>8415</v>
      </c>
      <c r="D4035" t="s">
        <v>945</v>
      </c>
      <c r="F4035">
        <v>111488967</v>
      </c>
      <c r="G4035">
        <v>122322181</v>
      </c>
      <c r="H4035">
        <v>109014398</v>
      </c>
      <c r="I4035">
        <v>107245104</v>
      </c>
      <c r="J4035">
        <v>100510607</v>
      </c>
      <c r="K4035">
        <v>96919586</v>
      </c>
      <c r="L4035">
        <v>99441831</v>
      </c>
      <c r="M4035">
        <v>82827812</v>
      </c>
      <c r="N4035">
        <v>75089059</v>
      </c>
      <c r="O4035">
        <v>77193750</v>
      </c>
      <c r="P4035">
        <v>114</v>
      </c>
      <c r="Q4035" t="s">
        <v>8416</v>
      </c>
    </row>
    <row r="4036" spans="1:17" x14ac:dyDescent="0.3">
      <c r="A4036" t="s">
        <v>4729</v>
      </c>
      <c r="B4036" t="str">
        <f>"300236"</f>
        <v>300236</v>
      </c>
      <c r="C4036" t="s">
        <v>8417</v>
      </c>
      <c r="D4036" t="s">
        <v>2408</v>
      </c>
      <c r="F4036">
        <v>1016358536</v>
      </c>
      <c r="G4036">
        <v>693885789</v>
      </c>
      <c r="H4036">
        <v>640985709</v>
      </c>
      <c r="I4036">
        <v>559627818</v>
      </c>
      <c r="J4036">
        <v>472244045</v>
      </c>
      <c r="K4036">
        <v>413835293</v>
      </c>
      <c r="L4036">
        <v>368480223</v>
      </c>
      <c r="M4036">
        <v>376170290</v>
      </c>
      <c r="N4036">
        <v>208821711</v>
      </c>
      <c r="O4036">
        <v>143346256</v>
      </c>
      <c r="P4036">
        <v>413</v>
      </c>
      <c r="Q4036" t="s">
        <v>8418</v>
      </c>
    </row>
    <row r="4037" spans="1:17" x14ac:dyDescent="0.3">
      <c r="A4037" t="s">
        <v>4729</v>
      </c>
      <c r="B4037" t="str">
        <f>"300237"</f>
        <v>300237</v>
      </c>
      <c r="C4037" t="s">
        <v>8419</v>
      </c>
      <c r="D4037" t="s">
        <v>2417</v>
      </c>
      <c r="F4037">
        <v>2075544446</v>
      </c>
      <c r="G4037">
        <v>3065927170</v>
      </c>
      <c r="H4037">
        <v>2954623176</v>
      </c>
      <c r="I4037">
        <v>3490543477</v>
      </c>
      <c r="J4037">
        <v>3888516099</v>
      </c>
      <c r="K4037">
        <v>2950146669</v>
      </c>
      <c r="L4037">
        <v>1803192598</v>
      </c>
      <c r="M4037">
        <v>1148762591</v>
      </c>
      <c r="N4037">
        <v>605614316</v>
      </c>
      <c r="O4037">
        <v>444544366</v>
      </c>
      <c r="P4037">
        <v>315</v>
      </c>
      <c r="Q4037" t="s">
        <v>8420</v>
      </c>
    </row>
    <row r="4038" spans="1:17" x14ac:dyDescent="0.3">
      <c r="A4038" t="s">
        <v>4729</v>
      </c>
      <c r="B4038" t="str">
        <f>"300238"</f>
        <v>300238</v>
      </c>
      <c r="C4038" t="s">
        <v>8421</v>
      </c>
      <c r="D4038" t="s">
        <v>1077</v>
      </c>
      <c r="F4038">
        <v>488981887</v>
      </c>
      <c r="G4038">
        <v>436957169</v>
      </c>
      <c r="H4038">
        <v>437886454</v>
      </c>
      <c r="I4038">
        <v>458461849</v>
      </c>
      <c r="J4038">
        <v>450366982</v>
      </c>
      <c r="K4038">
        <v>312789660</v>
      </c>
      <c r="L4038">
        <v>226172526</v>
      </c>
      <c r="M4038">
        <v>190356665</v>
      </c>
      <c r="N4038">
        <v>168501935</v>
      </c>
      <c r="O4038">
        <v>147020069</v>
      </c>
      <c r="P4038">
        <v>195</v>
      </c>
      <c r="Q4038" t="s">
        <v>8422</v>
      </c>
    </row>
    <row r="4039" spans="1:17" x14ac:dyDescent="0.3">
      <c r="A4039" t="s">
        <v>4729</v>
      </c>
      <c r="B4039" t="str">
        <f>"300239"</f>
        <v>300239</v>
      </c>
      <c r="C4039" t="s">
        <v>8423</v>
      </c>
      <c r="D4039" t="s">
        <v>1379</v>
      </c>
      <c r="F4039">
        <v>612165672</v>
      </c>
      <c r="G4039">
        <v>448827792</v>
      </c>
      <c r="H4039">
        <v>491819372</v>
      </c>
      <c r="I4039">
        <v>452748251</v>
      </c>
      <c r="J4039">
        <v>356244411</v>
      </c>
      <c r="K4039">
        <v>316593979</v>
      </c>
      <c r="L4039">
        <v>291916098</v>
      </c>
      <c r="M4039">
        <v>251053920</v>
      </c>
      <c r="N4039">
        <v>382109453</v>
      </c>
      <c r="O4039">
        <v>255573325</v>
      </c>
      <c r="P4039">
        <v>107</v>
      </c>
      <c r="Q4039" t="s">
        <v>8424</v>
      </c>
    </row>
    <row r="4040" spans="1:17" x14ac:dyDescent="0.3">
      <c r="A4040" t="s">
        <v>4729</v>
      </c>
      <c r="B4040" t="str">
        <f>"300240"</f>
        <v>300240</v>
      </c>
      <c r="C4040" t="s">
        <v>8425</v>
      </c>
      <c r="D4040" t="s">
        <v>3125</v>
      </c>
      <c r="F4040">
        <v>6955129088</v>
      </c>
      <c r="G4040">
        <v>3708509558</v>
      </c>
      <c r="H4040">
        <v>3237160394</v>
      </c>
      <c r="I4040">
        <v>3198449207</v>
      </c>
      <c r="J4040">
        <v>3065186993</v>
      </c>
      <c r="K4040">
        <v>2384983443</v>
      </c>
      <c r="L4040">
        <v>2229381496</v>
      </c>
      <c r="M4040">
        <v>2741664762</v>
      </c>
      <c r="N4040">
        <v>2366422117</v>
      </c>
      <c r="O4040">
        <v>2021237858</v>
      </c>
      <c r="P4040">
        <v>67</v>
      </c>
      <c r="Q4040" t="s">
        <v>8426</v>
      </c>
    </row>
    <row r="4041" spans="1:17" x14ac:dyDescent="0.3">
      <c r="A4041" t="s">
        <v>4729</v>
      </c>
      <c r="B4041" t="str">
        <f>"300241"</f>
        <v>300241</v>
      </c>
      <c r="C4041" t="s">
        <v>8427</v>
      </c>
      <c r="D4041" t="s">
        <v>803</v>
      </c>
      <c r="F4041">
        <v>1472237261</v>
      </c>
      <c r="G4041">
        <v>1232910531</v>
      </c>
      <c r="H4041">
        <v>1371864162</v>
      </c>
      <c r="I4041">
        <v>1562008172</v>
      </c>
      <c r="J4041">
        <v>1583693299</v>
      </c>
      <c r="K4041">
        <v>1179355639</v>
      </c>
      <c r="L4041">
        <v>920932219</v>
      </c>
      <c r="M4041">
        <v>906849276</v>
      </c>
      <c r="N4041">
        <v>681984216</v>
      </c>
      <c r="O4041">
        <v>500082726</v>
      </c>
      <c r="P4041">
        <v>170</v>
      </c>
      <c r="Q4041" t="s">
        <v>8428</v>
      </c>
    </row>
    <row r="4042" spans="1:17" x14ac:dyDescent="0.3">
      <c r="A4042" t="s">
        <v>4729</v>
      </c>
      <c r="B4042" t="str">
        <f>"300242"</f>
        <v>300242</v>
      </c>
      <c r="C4042" t="s">
        <v>8429</v>
      </c>
      <c r="D4042" t="s">
        <v>207</v>
      </c>
      <c r="F4042">
        <v>6529009789</v>
      </c>
      <c r="G4042">
        <v>6997017581</v>
      </c>
      <c r="H4042">
        <v>5529037559</v>
      </c>
      <c r="I4042">
        <v>5610196453</v>
      </c>
      <c r="J4042">
        <v>2706124702</v>
      </c>
      <c r="K4042">
        <v>2823857827</v>
      </c>
      <c r="L4042">
        <v>900825281</v>
      </c>
      <c r="M4042">
        <v>168999257</v>
      </c>
      <c r="N4042">
        <v>143786169</v>
      </c>
      <c r="O4042">
        <v>149142875</v>
      </c>
      <c r="P4042">
        <v>95</v>
      </c>
      <c r="Q4042" t="s">
        <v>8430</v>
      </c>
    </row>
    <row r="4043" spans="1:17" x14ac:dyDescent="0.3">
      <c r="A4043" t="s">
        <v>4729</v>
      </c>
      <c r="B4043" t="str">
        <f>"300243"</f>
        <v>300243</v>
      </c>
      <c r="C4043" t="s">
        <v>8431</v>
      </c>
      <c r="D4043" t="s">
        <v>1192</v>
      </c>
      <c r="F4043">
        <v>1858407907</v>
      </c>
      <c r="G4043">
        <v>1301874624</v>
      </c>
      <c r="H4043">
        <v>1213369671</v>
      </c>
      <c r="I4043">
        <v>1445439012</v>
      </c>
      <c r="J4043">
        <v>1095798377</v>
      </c>
      <c r="K4043">
        <v>873514671</v>
      </c>
      <c r="L4043">
        <v>804852779</v>
      </c>
      <c r="M4043">
        <v>845520037</v>
      </c>
      <c r="N4043">
        <v>758691841</v>
      </c>
      <c r="O4043">
        <v>753094086</v>
      </c>
      <c r="P4043">
        <v>103</v>
      </c>
      <c r="Q4043" t="s">
        <v>8432</v>
      </c>
    </row>
    <row r="4044" spans="1:17" x14ac:dyDescent="0.3">
      <c r="A4044" t="s">
        <v>4729</v>
      </c>
      <c r="B4044" t="str">
        <f>"300244"</f>
        <v>300244</v>
      </c>
      <c r="C4044" t="s">
        <v>8433</v>
      </c>
      <c r="D4044" t="s">
        <v>2580</v>
      </c>
      <c r="F4044">
        <v>13082613200</v>
      </c>
      <c r="G4044">
        <v>10649161773</v>
      </c>
      <c r="H4044">
        <v>8453207047</v>
      </c>
      <c r="I4044">
        <v>6966857367</v>
      </c>
      <c r="J4044">
        <v>5004124178</v>
      </c>
      <c r="K4044">
        <v>3823980623</v>
      </c>
      <c r="L4044">
        <v>1858180890</v>
      </c>
      <c r="M4044">
        <v>1335100144</v>
      </c>
      <c r="N4044">
        <v>1015474437</v>
      </c>
      <c r="O4044">
        <v>706418724</v>
      </c>
      <c r="P4044">
        <v>1268</v>
      </c>
      <c r="Q4044" t="s">
        <v>8434</v>
      </c>
    </row>
    <row r="4045" spans="1:17" x14ac:dyDescent="0.3">
      <c r="A4045" t="s">
        <v>4729</v>
      </c>
      <c r="B4045" t="str">
        <f>"300245"</f>
        <v>300245</v>
      </c>
      <c r="C4045" t="s">
        <v>8435</v>
      </c>
      <c r="D4045" t="s">
        <v>316</v>
      </c>
      <c r="F4045">
        <v>542102816</v>
      </c>
      <c r="G4045">
        <v>492167172</v>
      </c>
      <c r="H4045">
        <v>422274688</v>
      </c>
      <c r="I4045">
        <v>387575760</v>
      </c>
      <c r="J4045">
        <v>359535979</v>
      </c>
      <c r="K4045">
        <v>417224083</v>
      </c>
      <c r="L4045">
        <v>394995624</v>
      </c>
      <c r="M4045">
        <v>409040721</v>
      </c>
      <c r="N4045">
        <v>344940078</v>
      </c>
      <c r="O4045">
        <v>313260727</v>
      </c>
      <c r="P4045">
        <v>128</v>
      </c>
      <c r="Q4045" t="s">
        <v>8436</v>
      </c>
    </row>
    <row r="4046" spans="1:17" x14ac:dyDescent="0.3">
      <c r="A4046" t="s">
        <v>4729</v>
      </c>
      <c r="B4046" t="str">
        <f>"300246"</f>
        <v>300246</v>
      </c>
      <c r="C4046" t="s">
        <v>8437</v>
      </c>
      <c r="D4046" t="s">
        <v>122</v>
      </c>
      <c r="F4046">
        <v>1091018435</v>
      </c>
      <c r="G4046">
        <v>1396013572</v>
      </c>
      <c r="H4046">
        <v>825961095</v>
      </c>
      <c r="I4046">
        <v>813385394</v>
      </c>
      <c r="J4046">
        <v>711472879</v>
      </c>
      <c r="K4046">
        <v>594314416</v>
      </c>
      <c r="L4046">
        <v>380505476</v>
      </c>
      <c r="M4046">
        <v>288993465</v>
      </c>
      <c r="N4046">
        <v>234831958</v>
      </c>
      <c r="O4046">
        <v>182285239</v>
      </c>
      <c r="P4046">
        <v>511</v>
      </c>
      <c r="Q4046" t="s">
        <v>8438</v>
      </c>
    </row>
    <row r="4047" spans="1:17" x14ac:dyDescent="0.3">
      <c r="A4047" t="s">
        <v>4729</v>
      </c>
      <c r="B4047" t="str">
        <f>"300247"</f>
        <v>300247</v>
      </c>
      <c r="C4047" t="s">
        <v>8439</v>
      </c>
      <c r="D4047" t="s">
        <v>3042</v>
      </c>
      <c r="F4047">
        <v>526501937</v>
      </c>
      <c r="G4047">
        <v>514081348</v>
      </c>
      <c r="H4047">
        <v>730153384</v>
      </c>
      <c r="I4047">
        <v>1063357911</v>
      </c>
      <c r="J4047">
        <v>1218055661</v>
      </c>
      <c r="K4047">
        <v>600297210</v>
      </c>
      <c r="L4047">
        <v>429219405</v>
      </c>
      <c r="M4047">
        <v>284121068</v>
      </c>
      <c r="N4047">
        <v>265046559</v>
      </c>
      <c r="O4047">
        <v>245317898</v>
      </c>
      <c r="P4047">
        <v>107</v>
      </c>
      <c r="Q4047" t="s">
        <v>8440</v>
      </c>
    </row>
    <row r="4048" spans="1:17" x14ac:dyDescent="0.3">
      <c r="A4048" t="s">
        <v>4729</v>
      </c>
      <c r="B4048" t="str">
        <f>"300248"</f>
        <v>300248</v>
      </c>
      <c r="C4048" t="s">
        <v>8441</v>
      </c>
      <c r="D4048" t="s">
        <v>236</v>
      </c>
      <c r="F4048">
        <v>1016658372</v>
      </c>
      <c r="G4048">
        <v>939349508</v>
      </c>
      <c r="H4048">
        <v>964023444</v>
      </c>
      <c r="I4048">
        <v>837627577</v>
      </c>
      <c r="J4048">
        <v>769619720</v>
      </c>
      <c r="K4048">
        <v>683488130</v>
      </c>
      <c r="L4048">
        <v>510443267</v>
      </c>
      <c r="M4048">
        <v>315360862</v>
      </c>
      <c r="N4048">
        <v>221169470</v>
      </c>
      <c r="O4048">
        <v>209436781</v>
      </c>
      <c r="P4048">
        <v>209</v>
      </c>
      <c r="Q4048" t="s">
        <v>8442</v>
      </c>
    </row>
    <row r="4049" spans="1:17" x14ac:dyDescent="0.3">
      <c r="A4049" t="s">
        <v>4729</v>
      </c>
      <c r="B4049" t="str">
        <f>"300249"</f>
        <v>300249</v>
      </c>
      <c r="C4049" t="s">
        <v>8443</v>
      </c>
      <c r="D4049" t="s">
        <v>236</v>
      </c>
      <c r="F4049">
        <v>1448954286</v>
      </c>
      <c r="G4049">
        <v>1345760249</v>
      </c>
      <c r="H4049">
        <v>1179354900</v>
      </c>
      <c r="I4049">
        <v>1371177903</v>
      </c>
      <c r="J4049">
        <v>1247148413</v>
      </c>
      <c r="K4049">
        <v>973203998</v>
      </c>
      <c r="L4049">
        <v>877287193</v>
      </c>
      <c r="M4049">
        <v>489214249</v>
      </c>
      <c r="N4049">
        <v>386512010</v>
      </c>
      <c r="O4049">
        <v>275622877</v>
      </c>
      <c r="P4049">
        <v>195</v>
      </c>
      <c r="Q4049" t="s">
        <v>8444</v>
      </c>
    </row>
    <row r="4050" spans="1:17" x14ac:dyDescent="0.3">
      <c r="A4050" t="s">
        <v>4729</v>
      </c>
      <c r="B4050" t="str">
        <f>"300250"</f>
        <v>300250</v>
      </c>
      <c r="C4050" t="s">
        <v>8445</v>
      </c>
      <c r="D4050" t="s">
        <v>316</v>
      </c>
      <c r="F4050">
        <v>486944858</v>
      </c>
      <c r="G4050">
        <v>407750425</v>
      </c>
      <c r="H4050">
        <v>485834940</v>
      </c>
      <c r="I4050">
        <v>419793680</v>
      </c>
      <c r="J4050">
        <v>450200474</v>
      </c>
      <c r="K4050">
        <v>450584052</v>
      </c>
      <c r="L4050">
        <v>366387313</v>
      </c>
      <c r="M4050">
        <v>231229826</v>
      </c>
      <c r="N4050">
        <v>202774454</v>
      </c>
      <c r="O4050">
        <v>202831254</v>
      </c>
      <c r="P4050">
        <v>159</v>
      </c>
      <c r="Q4050" t="s">
        <v>8446</v>
      </c>
    </row>
    <row r="4051" spans="1:17" x14ac:dyDescent="0.3">
      <c r="A4051" t="s">
        <v>4729</v>
      </c>
      <c r="B4051" t="str">
        <f>"300251"</f>
        <v>300251</v>
      </c>
      <c r="C4051" t="s">
        <v>8447</v>
      </c>
      <c r="D4051" t="s">
        <v>113</v>
      </c>
      <c r="F4051">
        <v>1167681832</v>
      </c>
      <c r="G4051">
        <v>1159072835</v>
      </c>
      <c r="H4051">
        <v>2829448782</v>
      </c>
      <c r="I4051">
        <v>1491532461</v>
      </c>
      <c r="J4051">
        <v>1843452761</v>
      </c>
      <c r="K4051">
        <v>1731311632</v>
      </c>
      <c r="L4051">
        <v>1523294695</v>
      </c>
      <c r="M4051">
        <v>1218071643</v>
      </c>
      <c r="N4051">
        <v>904171795</v>
      </c>
      <c r="O4051">
        <v>1033855315</v>
      </c>
      <c r="P4051">
        <v>806</v>
      </c>
      <c r="Q4051" t="s">
        <v>8448</v>
      </c>
    </row>
    <row r="4052" spans="1:17" x14ac:dyDescent="0.3">
      <c r="A4052" t="s">
        <v>4729</v>
      </c>
      <c r="B4052" t="str">
        <f>"300252"</f>
        <v>300252</v>
      </c>
      <c r="C4052" t="s">
        <v>8449</v>
      </c>
      <c r="D4052" t="s">
        <v>1136</v>
      </c>
      <c r="F4052">
        <v>2733794724</v>
      </c>
      <c r="G4052">
        <v>1960518737</v>
      </c>
      <c r="H4052">
        <v>2676902821</v>
      </c>
      <c r="I4052">
        <v>2593018449</v>
      </c>
      <c r="J4052">
        <v>2286467012</v>
      </c>
      <c r="K4052">
        <v>2015929718</v>
      </c>
      <c r="L4052">
        <v>1532239255</v>
      </c>
      <c r="M4052">
        <v>1194048051</v>
      </c>
      <c r="N4052">
        <v>746605329</v>
      </c>
      <c r="O4052">
        <v>626178797</v>
      </c>
      <c r="P4052">
        <v>217</v>
      </c>
      <c r="Q4052" t="s">
        <v>8450</v>
      </c>
    </row>
    <row r="4053" spans="1:17" x14ac:dyDescent="0.3">
      <c r="A4053" t="s">
        <v>4729</v>
      </c>
      <c r="B4053" t="str">
        <f>"300253"</f>
        <v>300253</v>
      </c>
      <c r="C4053" t="s">
        <v>8451</v>
      </c>
      <c r="D4053" t="s">
        <v>945</v>
      </c>
      <c r="F4053">
        <v>2750202059</v>
      </c>
      <c r="G4053">
        <v>2266579784</v>
      </c>
      <c r="H4053">
        <v>1908007949</v>
      </c>
      <c r="I4053">
        <v>1438761344</v>
      </c>
      <c r="J4053">
        <v>1203756274</v>
      </c>
      <c r="K4053">
        <v>954473336</v>
      </c>
      <c r="L4053">
        <v>753157663</v>
      </c>
      <c r="M4053">
        <v>491411568</v>
      </c>
      <c r="N4053">
        <v>348827863</v>
      </c>
      <c r="O4053">
        <v>265771223</v>
      </c>
      <c r="P4053">
        <v>935</v>
      </c>
      <c r="Q4053" t="s">
        <v>8452</v>
      </c>
    </row>
    <row r="4054" spans="1:17" x14ac:dyDescent="0.3">
      <c r="A4054" t="s">
        <v>4729</v>
      </c>
      <c r="B4054" t="str">
        <f>"300254"</f>
        <v>300254</v>
      </c>
      <c r="C4054" t="s">
        <v>8453</v>
      </c>
      <c r="D4054" t="s">
        <v>143</v>
      </c>
      <c r="F4054">
        <v>930374949</v>
      </c>
      <c r="G4054">
        <v>848072528</v>
      </c>
      <c r="H4054">
        <v>1131801411</v>
      </c>
      <c r="I4054">
        <v>1136495668</v>
      </c>
      <c r="J4054">
        <v>938927986</v>
      </c>
      <c r="K4054">
        <v>746076864</v>
      </c>
      <c r="L4054">
        <v>683934856</v>
      </c>
      <c r="M4054">
        <v>653655236</v>
      </c>
      <c r="N4054">
        <v>513510739</v>
      </c>
      <c r="O4054">
        <v>361500207</v>
      </c>
      <c r="P4054">
        <v>82</v>
      </c>
      <c r="Q4054" t="s">
        <v>8454</v>
      </c>
    </row>
    <row r="4055" spans="1:17" x14ac:dyDescent="0.3">
      <c r="A4055" t="s">
        <v>4729</v>
      </c>
      <c r="B4055" t="str">
        <f>"300255"</f>
        <v>300255</v>
      </c>
      <c r="C4055" t="s">
        <v>8455</v>
      </c>
      <c r="D4055" t="s">
        <v>143</v>
      </c>
      <c r="F4055">
        <v>2968050842</v>
      </c>
      <c r="G4055">
        <v>2363785855</v>
      </c>
      <c r="H4055">
        <v>2071479810</v>
      </c>
      <c r="I4055">
        <v>1652633921</v>
      </c>
      <c r="J4055">
        <v>1420161448</v>
      </c>
      <c r="K4055">
        <v>1118414431</v>
      </c>
      <c r="L4055">
        <v>915987230</v>
      </c>
      <c r="M4055">
        <v>811284570</v>
      </c>
      <c r="N4055">
        <v>704542401</v>
      </c>
      <c r="O4055">
        <v>575558108</v>
      </c>
      <c r="P4055">
        <v>175</v>
      </c>
      <c r="Q4055" t="s">
        <v>8456</v>
      </c>
    </row>
    <row r="4056" spans="1:17" x14ac:dyDescent="0.3">
      <c r="A4056" t="s">
        <v>4729</v>
      </c>
      <c r="B4056" t="str">
        <f>"300256"</f>
        <v>300256</v>
      </c>
      <c r="C4056" t="s">
        <v>8457</v>
      </c>
      <c r="D4056" t="s">
        <v>313</v>
      </c>
      <c r="F4056">
        <v>3218351948</v>
      </c>
      <c r="G4056">
        <v>8298157995</v>
      </c>
      <c r="H4056">
        <v>6343779355</v>
      </c>
      <c r="I4056">
        <v>3818837377</v>
      </c>
      <c r="J4056">
        <v>5646969959</v>
      </c>
      <c r="K4056">
        <v>4993936924</v>
      </c>
      <c r="L4056">
        <v>3885220051</v>
      </c>
      <c r="M4056">
        <v>1678385760</v>
      </c>
      <c r="N4056">
        <v>429257259</v>
      </c>
      <c r="O4056">
        <v>483573304</v>
      </c>
      <c r="P4056">
        <v>206</v>
      </c>
      <c r="Q4056" t="s">
        <v>8458</v>
      </c>
    </row>
    <row r="4057" spans="1:17" x14ac:dyDescent="0.3">
      <c r="A4057" t="s">
        <v>4729</v>
      </c>
      <c r="B4057" t="str">
        <f>"300257"</f>
        <v>300257</v>
      </c>
      <c r="C4057" t="s">
        <v>8459</v>
      </c>
      <c r="D4057" t="s">
        <v>560</v>
      </c>
      <c r="F4057">
        <v>3484737325</v>
      </c>
      <c r="G4057">
        <v>3022150053</v>
      </c>
      <c r="H4057">
        <v>2633306709</v>
      </c>
      <c r="I4057">
        <v>2599805101</v>
      </c>
      <c r="J4057">
        <v>2221283309</v>
      </c>
      <c r="K4057">
        <v>1727536376</v>
      </c>
      <c r="L4057">
        <v>1637867155</v>
      </c>
      <c r="M4057">
        <v>1995301365</v>
      </c>
      <c r="N4057">
        <v>1949227137</v>
      </c>
      <c r="O4057">
        <v>1617089061</v>
      </c>
      <c r="P4057">
        <v>147</v>
      </c>
      <c r="Q4057" t="s">
        <v>8460</v>
      </c>
    </row>
    <row r="4058" spans="1:17" x14ac:dyDescent="0.3">
      <c r="A4058" t="s">
        <v>4729</v>
      </c>
      <c r="B4058" t="str">
        <f>"300258"</f>
        <v>300258</v>
      </c>
      <c r="C4058" t="s">
        <v>8461</v>
      </c>
      <c r="D4058" t="s">
        <v>348</v>
      </c>
      <c r="F4058">
        <v>1423360068</v>
      </c>
      <c r="G4058">
        <v>1203130865</v>
      </c>
      <c r="H4058">
        <v>1229210177</v>
      </c>
      <c r="I4058">
        <v>1265427494</v>
      </c>
      <c r="J4058">
        <v>1128861165</v>
      </c>
      <c r="K4058">
        <v>898604719</v>
      </c>
      <c r="L4058">
        <v>698444819</v>
      </c>
      <c r="M4058">
        <v>627549556</v>
      </c>
      <c r="N4058">
        <v>531741559</v>
      </c>
      <c r="O4058">
        <v>438857276</v>
      </c>
      <c r="P4058">
        <v>330</v>
      </c>
      <c r="Q4058" t="s">
        <v>8462</v>
      </c>
    </row>
    <row r="4059" spans="1:17" x14ac:dyDescent="0.3">
      <c r="A4059" t="s">
        <v>4729</v>
      </c>
      <c r="B4059" t="str">
        <f>"300259"</f>
        <v>300259</v>
      </c>
      <c r="C4059" t="s">
        <v>8463</v>
      </c>
      <c r="D4059" t="s">
        <v>2566</v>
      </c>
      <c r="F4059">
        <v>1193181912</v>
      </c>
      <c r="G4059">
        <v>1194503677</v>
      </c>
      <c r="H4059">
        <v>1180831810</v>
      </c>
      <c r="I4059">
        <v>855255355</v>
      </c>
      <c r="J4059">
        <v>744891094</v>
      </c>
      <c r="K4059">
        <v>505945861</v>
      </c>
      <c r="L4059">
        <v>380486280</v>
      </c>
      <c r="M4059">
        <v>380325962</v>
      </c>
      <c r="N4059">
        <v>327547073</v>
      </c>
      <c r="O4059">
        <v>291451343</v>
      </c>
      <c r="P4059">
        <v>360</v>
      </c>
      <c r="Q4059" t="s">
        <v>8464</v>
      </c>
    </row>
    <row r="4060" spans="1:17" x14ac:dyDescent="0.3">
      <c r="A4060" t="s">
        <v>4729</v>
      </c>
      <c r="B4060" t="str">
        <f>"300260"</f>
        <v>300260</v>
      </c>
      <c r="C4060" t="s">
        <v>8465</v>
      </c>
      <c r="D4060" t="s">
        <v>274</v>
      </c>
      <c r="F4060">
        <v>2054412270</v>
      </c>
      <c r="G4060">
        <v>1323047161</v>
      </c>
      <c r="H4060">
        <v>1387230337</v>
      </c>
      <c r="I4060">
        <v>1174670845</v>
      </c>
      <c r="J4060">
        <v>637747334</v>
      </c>
      <c r="K4060">
        <v>490281760</v>
      </c>
      <c r="L4060">
        <v>426625097</v>
      </c>
      <c r="M4060">
        <v>422112371</v>
      </c>
      <c r="N4060">
        <v>442596677</v>
      </c>
      <c r="O4060">
        <v>322711316</v>
      </c>
      <c r="P4060">
        <v>211</v>
      </c>
      <c r="Q4060" t="s">
        <v>8466</v>
      </c>
    </row>
    <row r="4061" spans="1:17" x14ac:dyDescent="0.3">
      <c r="A4061" t="s">
        <v>4729</v>
      </c>
      <c r="B4061" t="str">
        <f>"300261"</f>
        <v>300261</v>
      </c>
      <c r="C4061" t="s">
        <v>8467</v>
      </c>
      <c r="D4061" t="s">
        <v>853</v>
      </c>
      <c r="F4061">
        <v>2071740063</v>
      </c>
      <c r="G4061">
        <v>2003330582</v>
      </c>
      <c r="H4061">
        <v>1664423797</v>
      </c>
      <c r="I4061">
        <v>1805648808</v>
      </c>
      <c r="J4061">
        <v>1207829069</v>
      </c>
      <c r="K4061">
        <v>661553328</v>
      </c>
      <c r="L4061">
        <v>627151001</v>
      </c>
      <c r="M4061">
        <v>526075960</v>
      </c>
      <c r="N4061">
        <v>410931867</v>
      </c>
      <c r="O4061">
        <v>301389795</v>
      </c>
      <c r="P4061">
        <v>139</v>
      </c>
      <c r="Q4061" t="s">
        <v>8468</v>
      </c>
    </row>
    <row r="4062" spans="1:17" x14ac:dyDescent="0.3">
      <c r="A4062" t="s">
        <v>4729</v>
      </c>
      <c r="B4062" t="str">
        <f>"300262"</f>
        <v>300262</v>
      </c>
      <c r="C4062" t="s">
        <v>8469</v>
      </c>
      <c r="D4062" t="s">
        <v>33</v>
      </c>
      <c r="F4062">
        <v>136231605</v>
      </c>
      <c r="G4062">
        <v>429045720</v>
      </c>
      <c r="H4062">
        <v>958970782</v>
      </c>
      <c r="I4062">
        <v>1104272151</v>
      </c>
      <c r="J4062">
        <v>910155213</v>
      </c>
      <c r="K4062">
        <v>1030221241</v>
      </c>
      <c r="L4062">
        <v>679267359</v>
      </c>
      <c r="M4062">
        <v>350717694</v>
      </c>
      <c r="N4062">
        <v>450945545</v>
      </c>
      <c r="O4062">
        <v>361531603</v>
      </c>
      <c r="P4062">
        <v>127</v>
      </c>
      <c r="Q4062" t="s">
        <v>8470</v>
      </c>
    </row>
    <row r="4063" spans="1:17" x14ac:dyDescent="0.3">
      <c r="A4063" t="s">
        <v>4729</v>
      </c>
      <c r="B4063" t="str">
        <f>"300263"</f>
        <v>300263</v>
      </c>
      <c r="C4063" t="s">
        <v>8471</v>
      </c>
      <c r="D4063" t="s">
        <v>560</v>
      </c>
      <c r="F4063">
        <v>2209074850</v>
      </c>
      <c r="G4063">
        <v>1824187516</v>
      </c>
      <c r="H4063">
        <v>1873542574</v>
      </c>
      <c r="I4063">
        <v>1611223404</v>
      </c>
      <c r="J4063">
        <v>1068323190</v>
      </c>
      <c r="K4063">
        <v>812192600</v>
      </c>
      <c r="L4063">
        <v>1370799295</v>
      </c>
      <c r="M4063">
        <v>1245016055</v>
      </c>
      <c r="N4063">
        <v>729103524</v>
      </c>
      <c r="O4063">
        <v>412943263</v>
      </c>
      <c r="P4063">
        <v>232</v>
      </c>
      <c r="Q4063" t="s">
        <v>8472</v>
      </c>
    </row>
    <row r="4064" spans="1:17" x14ac:dyDescent="0.3">
      <c r="A4064" t="s">
        <v>4729</v>
      </c>
      <c r="B4064" t="str">
        <f>"300264"</f>
        <v>300264</v>
      </c>
      <c r="C4064" t="s">
        <v>8473</v>
      </c>
      <c r="D4064" t="s">
        <v>316</v>
      </c>
      <c r="F4064">
        <v>136280388</v>
      </c>
      <c r="G4064">
        <v>127107789</v>
      </c>
      <c r="H4064">
        <v>164272181</v>
      </c>
      <c r="I4064">
        <v>320601543</v>
      </c>
      <c r="J4064">
        <v>243186059</v>
      </c>
      <c r="K4064">
        <v>232212073</v>
      </c>
      <c r="L4064">
        <v>146037778</v>
      </c>
      <c r="M4064">
        <v>149927858</v>
      </c>
      <c r="N4064">
        <v>145285164</v>
      </c>
      <c r="O4064">
        <v>171488793</v>
      </c>
      <c r="P4064">
        <v>132</v>
      </c>
      <c r="Q4064" t="s">
        <v>8474</v>
      </c>
    </row>
    <row r="4065" spans="1:17" x14ac:dyDescent="0.3">
      <c r="A4065" t="s">
        <v>4729</v>
      </c>
      <c r="B4065" t="str">
        <f>"300265"</f>
        <v>300265</v>
      </c>
      <c r="C4065" t="s">
        <v>8475</v>
      </c>
      <c r="D4065" t="s">
        <v>1164</v>
      </c>
      <c r="F4065">
        <v>1923008394</v>
      </c>
      <c r="G4065">
        <v>1467452343</v>
      </c>
      <c r="H4065">
        <v>1475903363</v>
      </c>
      <c r="I4065">
        <v>1606941898</v>
      </c>
      <c r="J4065">
        <v>1516466077</v>
      </c>
      <c r="K4065">
        <v>1452833757</v>
      </c>
      <c r="L4065">
        <v>979030090</v>
      </c>
      <c r="M4065">
        <v>856841088</v>
      </c>
      <c r="N4065">
        <v>767819661</v>
      </c>
      <c r="O4065">
        <v>798715283</v>
      </c>
      <c r="P4065">
        <v>162</v>
      </c>
      <c r="Q4065" t="s">
        <v>8476</v>
      </c>
    </row>
    <row r="4066" spans="1:17" x14ac:dyDescent="0.3">
      <c r="A4066" t="s">
        <v>4729</v>
      </c>
      <c r="B4066" t="str">
        <f>"300266"</f>
        <v>300266</v>
      </c>
      <c r="C4066" t="s">
        <v>8477</v>
      </c>
      <c r="D4066" t="s">
        <v>33</v>
      </c>
      <c r="F4066">
        <v>2336336466</v>
      </c>
      <c r="G4066">
        <v>2448685055</v>
      </c>
      <c r="H4066">
        <v>2073582091</v>
      </c>
      <c r="I4066">
        <v>2316193015</v>
      </c>
      <c r="J4066">
        <v>3031815603</v>
      </c>
      <c r="K4066">
        <v>2102752602</v>
      </c>
      <c r="L4066">
        <v>884348298</v>
      </c>
      <c r="M4066">
        <v>749763108</v>
      </c>
      <c r="N4066">
        <v>322085725</v>
      </c>
      <c r="O4066">
        <v>294136091</v>
      </c>
      <c r="P4066">
        <v>145</v>
      </c>
      <c r="Q4066" t="s">
        <v>8478</v>
      </c>
    </row>
    <row r="4067" spans="1:17" x14ac:dyDescent="0.3">
      <c r="A4067" t="s">
        <v>4729</v>
      </c>
      <c r="B4067" t="str">
        <f>"300267"</f>
        <v>300267</v>
      </c>
      <c r="C4067" t="s">
        <v>8479</v>
      </c>
      <c r="D4067" t="s">
        <v>496</v>
      </c>
      <c r="F4067">
        <v>2235302788</v>
      </c>
      <c r="G4067">
        <v>2382275011</v>
      </c>
      <c r="H4067">
        <v>2744341006</v>
      </c>
      <c r="I4067">
        <v>2354485579</v>
      </c>
      <c r="J4067">
        <v>2827885191</v>
      </c>
      <c r="K4067">
        <v>2705821623</v>
      </c>
      <c r="L4067">
        <v>1737940036</v>
      </c>
      <c r="M4067">
        <v>1370358491</v>
      </c>
      <c r="N4067">
        <v>1010838018</v>
      </c>
      <c r="O4067">
        <v>834858644</v>
      </c>
      <c r="P4067">
        <v>237</v>
      </c>
      <c r="Q4067" t="s">
        <v>8480</v>
      </c>
    </row>
    <row r="4068" spans="1:17" x14ac:dyDescent="0.3">
      <c r="A4068" t="s">
        <v>4729</v>
      </c>
      <c r="B4068" t="str">
        <f>"300268"</f>
        <v>300268</v>
      </c>
      <c r="C4068" t="s">
        <v>8481</v>
      </c>
      <c r="D4068" t="s">
        <v>445</v>
      </c>
      <c r="F4068">
        <v>4597218164</v>
      </c>
      <c r="G4068">
        <v>4525007475</v>
      </c>
      <c r="H4068">
        <v>3427737434</v>
      </c>
      <c r="I4068">
        <v>1927433986</v>
      </c>
      <c r="J4068">
        <v>574645140</v>
      </c>
      <c r="K4068">
        <v>6865601</v>
      </c>
      <c r="L4068">
        <v>6924908</v>
      </c>
      <c r="M4068">
        <v>77497608</v>
      </c>
      <c r="N4068">
        <v>220024703</v>
      </c>
      <c r="O4068">
        <v>296157372</v>
      </c>
      <c r="P4068">
        <v>87</v>
      </c>
      <c r="Q4068" t="s">
        <v>8482</v>
      </c>
    </row>
    <row r="4069" spans="1:17" x14ac:dyDescent="0.3">
      <c r="A4069" t="s">
        <v>4729</v>
      </c>
      <c r="B4069" t="str">
        <f>"300269"</f>
        <v>300269</v>
      </c>
      <c r="C4069" t="s">
        <v>8483</v>
      </c>
      <c r="D4069" t="s">
        <v>207</v>
      </c>
      <c r="F4069">
        <v>1030761821</v>
      </c>
      <c r="G4069">
        <v>1135055115</v>
      </c>
      <c r="H4069">
        <v>3013565856</v>
      </c>
      <c r="I4069">
        <v>4053373383</v>
      </c>
      <c r="J4069">
        <v>3952366443</v>
      </c>
      <c r="K4069">
        <v>2775456885</v>
      </c>
      <c r="L4069">
        <v>1486382152</v>
      </c>
      <c r="M4069">
        <v>963282873</v>
      </c>
      <c r="N4069">
        <v>585608151</v>
      </c>
      <c r="O4069">
        <v>534164552</v>
      </c>
      <c r="P4069">
        <v>125</v>
      </c>
      <c r="Q4069" t="s">
        <v>8484</v>
      </c>
    </row>
    <row r="4070" spans="1:17" x14ac:dyDescent="0.3">
      <c r="A4070" t="s">
        <v>4729</v>
      </c>
      <c r="B4070" t="str">
        <f>"300270"</f>
        <v>300270</v>
      </c>
      <c r="C4070" t="s">
        <v>8485</v>
      </c>
      <c r="D4070" t="s">
        <v>2980</v>
      </c>
      <c r="F4070">
        <v>243029410</v>
      </c>
      <c r="G4070">
        <v>208548639</v>
      </c>
      <c r="H4070">
        <v>235646347</v>
      </c>
      <c r="I4070">
        <v>306804112</v>
      </c>
      <c r="J4070">
        <v>405775027</v>
      </c>
      <c r="K4070">
        <v>295156648</v>
      </c>
      <c r="L4070">
        <v>252452813</v>
      </c>
      <c r="M4070">
        <v>203336869</v>
      </c>
      <c r="N4070">
        <v>119278776</v>
      </c>
      <c r="O4070">
        <v>141191451</v>
      </c>
      <c r="P4070">
        <v>136</v>
      </c>
      <c r="Q4070" t="s">
        <v>8486</v>
      </c>
    </row>
    <row r="4071" spans="1:17" x14ac:dyDescent="0.3">
      <c r="A4071" t="s">
        <v>4729</v>
      </c>
      <c r="B4071" t="str">
        <f>"300271"</f>
        <v>300271</v>
      </c>
      <c r="C4071" t="s">
        <v>8487</v>
      </c>
      <c r="D4071" t="s">
        <v>316</v>
      </c>
      <c r="F4071">
        <v>5751842981</v>
      </c>
      <c r="G4071">
        <v>3355844227</v>
      </c>
      <c r="H4071">
        <v>3510147949</v>
      </c>
      <c r="I4071">
        <v>2708496169</v>
      </c>
      <c r="J4071">
        <v>2338145134</v>
      </c>
      <c r="K4071">
        <v>1820108218</v>
      </c>
      <c r="L4071">
        <v>1351669927</v>
      </c>
      <c r="M4071">
        <v>902602844</v>
      </c>
      <c r="N4071">
        <v>669847316</v>
      </c>
      <c r="O4071">
        <v>545762137</v>
      </c>
      <c r="P4071">
        <v>590</v>
      </c>
      <c r="Q4071" t="s">
        <v>8488</v>
      </c>
    </row>
    <row r="4072" spans="1:17" x14ac:dyDescent="0.3">
      <c r="A4072" t="s">
        <v>4729</v>
      </c>
      <c r="B4072" t="str">
        <f>"300272"</f>
        <v>300272</v>
      </c>
      <c r="C4072" t="s">
        <v>8489</v>
      </c>
      <c r="D4072" t="s">
        <v>5799</v>
      </c>
      <c r="F4072">
        <v>1511487429</v>
      </c>
      <c r="G4072">
        <v>1181121636</v>
      </c>
      <c r="H4072">
        <v>1052525499</v>
      </c>
      <c r="I4072">
        <v>901022821</v>
      </c>
      <c r="J4072">
        <v>707501600</v>
      </c>
      <c r="K4072">
        <v>642995033</v>
      </c>
      <c r="L4072">
        <v>456841412</v>
      </c>
      <c r="M4072">
        <v>374737700</v>
      </c>
      <c r="N4072">
        <v>311205792</v>
      </c>
      <c r="O4072">
        <v>240717358</v>
      </c>
      <c r="P4072">
        <v>131</v>
      </c>
      <c r="Q4072" t="s">
        <v>8490</v>
      </c>
    </row>
    <row r="4073" spans="1:17" x14ac:dyDescent="0.3">
      <c r="A4073" t="s">
        <v>4729</v>
      </c>
      <c r="B4073" t="str">
        <f>"300273"</f>
        <v>300273</v>
      </c>
      <c r="C4073" t="s">
        <v>8491</v>
      </c>
      <c r="D4073" t="s">
        <v>122</v>
      </c>
      <c r="F4073">
        <v>734046959</v>
      </c>
      <c r="G4073">
        <v>930236042</v>
      </c>
      <c r="H4073">
        <v>1218266798</v>
      </c>
      <c r="I4073">
        <v>1196016081</v>
      </c>
      <c r="J4073">
        <v>1111811889</v>
      </c>
      <c r="K4073">
        <v>919204762</v>
      </c>
      <c r="L4073">
        <v>791046424</v>
      </c>
      <c r="M4073">
        <v>929843132</v>
      </c>
      <c r="N4073">
        <v>739618469</v>
      </c>
      <c r="O4073">
        <v>589111760</v>
      </c>
      <c r="P4073">
        <v>143</v>
      </c>
      <c r="Q4073" t="s">
        <v>8492</v>
      </c>
    </row>
    <row r="4074" spans="1:17" x14ac:dyDescent="0.3">
      <c r="A4074" t="s">
        <v>4729</v>
      </c>
      <c r="B4074" t="str">
        <f>"300274"</f>
        <v>300274</v>
      </c>
      <c r="C4074" t="s">
        <v>8493</v>
      </c>
      <c r="D4074" t="s">
        <v>3824</v>
      </c>
      <c r="F4074">
        <v>24136598727</v>
      </c>
      <c r="G4074">
        <v>19285641347</v>
      </c>
      <c r="H4074">
        <v>13003331784</v>
      </c>
      <c r="I4074">
        <v>10368931999</v>
      </c>
      <c r="J4074">
        <v>8886060069</v>
      </c>
      <c r="K4074">
        <v>6003662456</v>
      </c>
      <c r="L4074">
        <v>4569247183</v>
      </c>
      <c r="M4074">
        <v>3062247399</v>
      </c>
      <c r="N4074">
        <v>2120396020</v>
      </c>
      <c r="O4074">
        <v>1083332609</v>
      </c>
      <c r="P4074">
        <v>2196</v>
      </c>
      <c r="Q4074" t="s">
        <v>8494</v>
      </c>
    </row>
    <row r="4075" spans="1:17" x14ac:dyDescent="0.3">
      <c r="A4075" t="s">
        <v>4729</v>
      </c>
      <c r="B4075" t="str">
        <f>"300275"</f>
        <v>300275</v>
      </c>
      <c r="C4075" t="s">
        <v>8495</v>
      </c>
      <c r="D4075" t="s">
        <v>395</v>
      </c>
      <c r="F4075">
        <v>309347394</v>
      </c>
      <c r="G4075">
        <v>284733250</v>
      </c>
      <c r="H4075">
        <v>270814359</v>
      </c>
      <c r="I4075">
        <v>234278508</v>
      </c>
      <c r="J4075">
        <v>288389194</v>
      </c>
      <c r="K4075">
        <v>124008408</v>
      </c>
      <c r="L4075">
        <v>139057861</v>
      </c>
      <c r="M4075">
        <v>274812481</v>
      </c>
      <c r="N4075">
        <v>304071715</v>
      </c>
      <c r="O4075">
        <v>246856001</v>
      </c>
      <c r="P4075">
        <v>89</v>
      </c>
      <c r="Q4075" t="s">
        <v>8496</v>
      </c>
    </row>
    <row r="4076" spans="1:17" x14ac:dyDescent="0.3">
      <c r="A4076" t="s">
        <v>4729</v>
      </c>
      <c r="B4076" t="str">
        <f>"300276"</f>
        <v>300276</v>
      </c>
      <c r="C4076" t="s">
        <v>8497</v>
      </c>
      <c r="D4076" t="s">
        <v>2938</v>
      </c>
      <c r="F4076">
        <v>1426581561</v>
      </c>
      <c r="G4076">
        <v>1167927639</v>
      </c>
      <c r="H4076">
        <v>1945432786</v>
      </c>
      <c r="I4076">
        <v>1791911893</v>
      </c>
      <c r="J4076">
        <v>625311214</v>
      </c>
      <c r="K4076">
        <v>327577151</v>
      </c>
      <c r="L4076">
        <v>344532236</v>
      </c>
      <c r="M4076">
        <v>333944525</v>
      </c>
      <c r="N4076">
        <v>286931321</v>
      </c>
      <c r="O4076">
        <v>249173682</v>
      </c>
      <c r="P4076">
        <v>138</v>
      </c>
      <c r="Q4076" t="s">
        <v>8498</v>
      </c>
    </row>
    <row r="4077" spans="1:17" x14ac:dyDescent="0.3">
      <c r="A4077" t="s">
        <v>4729</v>
      </c>
      <c r="B4077" t="str">
        <f>"300277"</f>
        <v>300277</v>
      </c>
      <c r="C4077" t="s">
        <v>8499</v>
      </c>
      <c r="D4077" t="s">
        <v>316</v>
      </c>
      <c r="F4077">
        <v>257816772</v>
      </c>
      <c r="G4077">
        <v>344071751</v>
      </c>
      <c r="H4077">
        <v>327630091</v>
      </c>
      <c r="I4077">
        <v>264132232</v>
      </c>
      <c r="J4077">
        <v>297771589</v>
      </c>
      <c r="K4077">
        <v>318540493</v>
      </c>
      <c r="L4077">
        <v>407860741</v>
      </c>
      <c r="M4077">
        <v>402461313</v>
      </c>
      <c r="N4077">
        <v>376676642</v>
      </c>
      <c r="O4077">
        <v>314642784</v>
      </c>
      <c r="P4077">
        <v>73</v>
      </c>
      <c r="Q4077" t="s">
        <v>8500</v>
      </c>
    </row>
    <row r="4078" spans="1:17" x14ac:dyDescent="0.3">
      <c r="A4078" t="s">
        <v>4729</v>
      </c>
      <c r="B4078" t="str">
        <f>"300278"</f>
        <v>300278</v>
      </c>
      <c r="C4078" t="s">
        <v>8501</v>
      </c>
      <c r="D4078" t="s">
        <v>2432</v>
      </c>
      <c r="F4078">
        <v>2154545649</v>
      </c>
      <c r="G4078">
        <v>1600013440</v>
      </c>
      <c r="H4078">
        <v>1583295670</v>
      </c>
      <c r="I4078">
        <v>2725476207</v>
      </c>
      <c r="J4078">
        <v>2966026802</v>
      </c>
      <c r="K4078">
        <v>2262733753</v>
      </c>
      <c r="L4078">
        <v>1749708679</v>
      </c>
      <c r="M4078">
        <v>436858533</v>
      </c>
      <c r="N4078">
        <v>212027839</v>
      </c>
      <c r="O4078">
        <v>250177399</v>
      </c>
      <c r="P4078">
        <v>98</v>
      </c>
      <c r="Q4078" t="s">
        <v>8502</v>
      </c>
    </row>
    <row r="4079" spans="1:17" x14ac:dyDescent="0.3">
      <c r="A4079" t="s">
        <v>4729</v>
      </c>
      <c r="B4079" t="str">
        <f>"300279"</f>
        <v>300279</v>
      </c>
      <c r="C4079" t="s">
        <v>8503</v>
      </c>
      <c r="D4079" t="s">
        <v>313</v>
      </c>
      <c r="F4079">
        <v>2060367488</v>
      </c>
      <c r="G4079">
        <v>1681977261</v>
      </c>
      <c r="H4079">
        <v>1458685427</v>
      </c>
      <c r="I4079">
        <v>1271960786</v>
      </c>
      <c r="J4079">
        <v>1429480842</v>
      </c>
      <c r="K4079">
        <v>1325884875</v>
      </c>
      <c r="L4079">
        <v>787404364</v>
      </c>
      <c r="M4079">
        <v>681754737</v>
      </c>
      <c r="N4079">
        <v>492815338</v>
      </c>
      <c r="O4079">
        <v>298351214</v>
      </c>
      <c r="P4079">
        <v>166</v>
      </c>
      <c r="Q4079" t="s">
        <v>8504</v>
      </c>
    </row>
    <row r="4080" spans="1:17" x14ac:dyDescent="0.3">
      <c r="A4080" t="s">
        <v>4729</v>
      </c>
      <c r="B4080" t="str">
        <f>"300280"</f>
        <v>300280</v>
      </c>
      <c r="C4080" t="s">
        <v>8505</v>
      </c>
      <c r="D4080" t="s">
        <v>5132</v>
      </c>
      <c r="F4080">
        <v>1650180371</v>
      </c>
      <c r="G4080">
        <v>1415728943</v>
      </c>
      <c r="H4080">
        <v>861317448</v>
      </c>
      <c r="I4080">
        <v>668551888</v>
      </c>
      <c r="J4080">
        <v>361585044</v>
      </c>
      <c r="K4080">
        <v>254976207</v>
      </c>
      <c r="L4080">
        <v>250439832</v>
      </c>
      <c r="M4080">
        <v>331795995</v>
      </c>
      <c r="N4080">
        <v>304072647</v>
      </c>
      <c r="O4080">
        <v>365374132</v>
      </c>
      <c r="P4080">
        <v>146</v>
      </c>
      <c r="Q4080" t="s">
        <v>8506</v>
      </c>
    </row>
    <row r="4081" spans="1:17" x14ac:dyDescent="0.3">
      <c r="A4081" t="s">
        <v>4729</v>
      </c>
      <c r="B4081" t="str">
        <f>"300281"</f>
        <v>300281</v>
      </c>
      <c r="C4081" t="s">
        <v>8507</v>
      </c>
      <c r="D4081" t="s">
        <v>741</v>
      </c>
      <c r="F4081">
        <v>523273454</v>
      </c>
      <c r="G4081">
        <v>406543714</v>
      </c>
      <c r="H4081">
        <v>283473181</v>
      </c>
      <c r="I4081">
        <v>373449096</v>
      </c>
      <c r="J4081">
        <v>414480544</v>
      </c>
      <c r="K4081">
        <v>355240366</v>
      </c>
      <c r="L4081">
        <v>313804369</v>
      </c>
      <c r="M4081">
        <v>361468282</v>
      </c>
      <c r="N4081">
        <v>276084362</v>
      </c>
      <c r="O4081">
        <v>263082816</v>
      </c>
      <c r="P4081">
        <v>48</v>
      </c>
      <c r="Q4081" t="s">
        <v>8508</v>
      </c>
    </row>
    <row r="4082" spans="1:17" x14ac:dyDescent="0.3">
      <c r="A4082" t="s">
        <v>4729</v>
      </c>
      <c r="B4082" t="str">
        <f>"300282"</f>
        <v>300282</v>
      </c>
      <c r="C4082" t="s">
        <v>8509</v>
      </c>
      <c r="D4082" t="s">
        <v>1285</v>
      </c>
      <c r="F4082">
        <v>393134627</v>
      </c>
      <c r="G4082">
        <v>357243565</v>
      </c>
      <c r="H4082">
        <v>681842978</v>
      </c>
      <c r="I4082">
        <v>792571900</v>
      </c>
      <c r="J4082">
        <v>1298951940</v>
      </c>
      <c r="K4082">
        <v>1696184817</v>
      </c>
      <c r="L4082">
        <v>1635730743</v>
      </c>
      <c r="M4082">
        <v>823772762</v>
      </c>
      <c r="N4082">
        <v>121112521</v>
      </c>
      <c r="O4082">
        <v>141369658</v>
      </c>
      <c r="P4082">
        <v>100</v>
      </c>
      <c r="Q4082" t="s">
        <v>8510</v>
      </c>
    </row>
    <row r="4083" spans="1:17" x14ac:dyDescent="0.3">
      <c r="A4083" t="s">
        <v>4729</v>
      </c>
      <c r="B4083" t="str">
        <f>"300283"</f>
        <v>300283</v>
      </c>
      <c r="C4083" t="s">
        <v>8511</v>
      </c>
      <c r="D4083" t="s">
        <v>657</v>
      </c>
      <c r="F4083">
        <v>2353079110</v>
      </c>
      <c r="G4083">
        <v>1759710135</v>
      </c>
      <c r="H4083">
        <v>1936065195</v>
      </c>
      <c r="I4083">
        <v>1173292361</v>
      </c>
      <c r="J4083">
        <v>1005250213</v>
      </c>
      <c r="K4083">
        <v>779278100</v>
      </c>
      <c r="L4083">
        <v>627864097</v>
      </c>
      <c r="M4083">
        <v>668496361</v>
      </c>
      <c r="N4083">
        <v>662758815</v>
      </c>
      <c r="O4083">
        <v>705128891</v>
      </c>
      <c r="P4083">
        <v>58</v>
      </c>
      <c r="Q4083" t="s">
        <v>8512</v>
      </c>
    </row>
    <row r="4084" spans="1:17" x14ac:dyDescent="0.3">
      <c r="A4084" t="s">
        <v>4729</v>
      </c>
      <c r="B4084" t="str">
        <f>"300284"</f>
        <v>300284</v>
      </c>
      <c r="C4084" t="s">
        <v>8513</v>
      </c>
      <c r="D4084" t="s">
        <v>1272</v>
      </c>
      <c r="F4084">
        <v>5119426482</v>
      </c>
      <c r="G4084">
        <v>5499359959</v>
      </c>
      <c r="H4084">
        <v>5967186074</v>
      </c>
      <c r="I4084">
        <v>7030133266</v>
      </c>
      <c r="J4084">
        <v>6519028621</v>
      </c>
      <c r="K4084">
        <v>4201259613</v>
      </c>
      <c r="L4084">
        <v>2562569121</v>
      </c>
      <c r="M4084">
        <v>2162792724</v>
      </c>
      <c r="N4084">
        <v>1627605036</v>
      </c>
      <c r="O4084">
        <v>1179027973</v>
      </c>
      <c r="P4084">
        <v>274</v>
      </c>
      <c r="Q4084" t="s">
        <v>8514</v>
      </c>
    </row>
    <row r="4085" spans="1:17" x14ac:dyDescent="0.3">
      <c r="A4085" t="s">
        <v>4729</v>
      </c>
      <c r="B4085" t="str">
        <f>"300285"</f>
        <v>300285</v>
      </c>
      <c r="C4085" t="s">
        <v>8515</v>
      </c>
      <c r="D4085" t="s">
        <v>386</v>
      </c>
      <c r="F4085">
        <v>3161738769</v>
      </c>
      <c r="G4085">
        <v>2542257375</v>
      </c>
      <c r="H4085">
        <v>2153079394</v>
      </c>
      <c r="I4085">
        <v>1797777219</v>
      </c>
      <c r="J4085">
        <v>1217619694</v>
      </c>
      <c r="K4085">
        <v>683707743</v>
      </c>
      <c r="L4085">
        <v>532683887</v>
      </c>
      <c r="M4085">
        <v>374884397</v>
      </c>
      <c r="N4085">
        <v>266418565</v>
      </c>
      <c r="O4085">
        <v>215733309</v>
      </c>
      <c r="P4085">
        <v>1538</v>
      </c>
      <c r="Q4085" t="s">
        <v>8516</v>
      </c>
    </row>
    <row r="4086" spans="1:17" x14ac:dyDescent="0.3">
      <c r="A4086" t="s">
        <v>4729</v>
      </c>
      <c r="B4086" t="str">
        <f>"300286"</f>
        <v>300286</v>
      </c>
      <c r="C4086" t="s">
        <v>8517</v>
      </c>
      <c r="D4086" t="s">
        <v>2180</v>
      </c>
      <c r="F4086">
        <v>1016982797</v>
      </c>
      <c r="G4086">
        <v>718747943</v>
      </c>
      <c r="H4086">
        <v>600208306</v>
      </c>
      <c r="I4086">
        <v>457833766</v>
      </c>
      <c r="J4086">
        <v>405379552</v>
      </c>
      <c r="K4086">
        <v>329363245</v>
      </c>
      <c r="L4086">
        <v>307171458</v>
      </c>
      <c r="M4086">
        <v>283478535</v>
      </c>
      <c r="N4086">
        <v>211349829</v>
      </c>
      <c r="O4086">
        <v>162364019</v>
      </c>
      <c r="P4086">
        <v>272</v>
      </c>
      <c r="Q4086" t="s">
        <v>8518</v>
      </c>
    </row>
    <row r="4087" spans="1:17" x14ac:dyDescent="0.3">
      <c r="A4087" t="s">
        <v>4729</v>
      </c>
      <c r="B4087" t="str">
        <f>"300287"</f>
        <v>300287</v>
      </c>
      <c r="C4087" t="s">
        <v>8519</v>
      </c>
      <c r="D4087" t="s">
        <v>316</v>
      </c>
      <c r="F4087">
        <v>1709921189</v>
      </c>
      <c r="G4087">
        <v>971670067</v>
      </c>
      <c r="H4087">
        <v>1472351757</v>
      </c>
      <c r="I4087">
        <v>1425586666</v>
      </c>
      <c r="J4087">
        <v>2220676445</v>
      </c>
      <c r="K4087">
        <v>2037626248</v>
      </c>
      <c r="L4087">
        <v>1356148026</v>
      </c>
      <c r="M4087">
        <v>680898600</v>
      </c>
      <c r="N4087">
        <v>540108411</v>
      </c>
      <c r="O4087">
        <v>412047828</v>
      </c>
      <c r="P4087">
        <v>288</v>
      </c>
      <c r="Q4087" t="s">
        <v>8520</v>
      </c>
    </row>
    <row r="4088" spans="1:17" x14ac:dyDescent="0.3">
      <c r="A4088" t="s">
        <v>4729</v>
      </c>
      <c r="B4088" t="str">
        <f>"300288"</f>
        <v>300288</v>
      </c>
      <c r="C4088" t="s">
        <v>8521</v>
      </c>
      <c r="D4088" t="s">
        <v>316</v>
      </c>
      <c r="F4088">
        <v>405972196</v>
      </c>
      <c r="G4088">
        <v>375241082</v>
      </c>
      <c r="H4088">
        <v>435706091</v>
      </c>
      <c r="I4088">
        <v>458109105</v>
      </c>
      <c r="J4088">
        <v>411758331</v>
      </c>
      <c r="K4088">
        <v>398076096</v>
      </c>
      <c r="L4088">
        <v>316626489</v>
      </c>
      <c r="M4088">
        <v>121340952</v>
      </c>
      <c r="N4088">
        <v>151611757</v>
      </c>
      <c r="O4088">
        <v>150484583</v>
      </c>
      <c r="P4088">
        <v>221</v>
      </c>
      <c r="Q4088" t="s">
        <v>8522</v>
      </c>
    </row>
    <row r="4089" spans="1:17" x14ac:dyDescent="0.3">
      <c r="A4089" t="s">
        <v>4729</v>
      </c>
      <c r="B4089" t="str">
        <f>"300289"</f>
        <v>300289</v>
      </c>
      <c r="C4089" t="s">
        <v>8523</v>
      </c>
      <c r="D4089" t="s">
        <v>1305</v>
      </c>
      <c r="F4089">
        <v>564057984</v>
      </c>
      <c r="G4089">
        <v>471510963</v>
      </c>
      <c r="H4089">
        <v>515143483</v>
      </c>
      <c r="I4089">
        <v>654804224</v>
      </c>
      <c r="J4089">
        <v>575978027</v>
      </c>
      <c r="K4089">
        <v>533391826</v>
      </c>
      <c r="L4089">
        <v>681675798</v>
      </c>
      <c r="M4089">
        <v>536970838</v>
      </c>
      <c r="N4089">
        <v>343630223</v>
      </c>
      <c r="O4089">
        <v>317273827</v>
      </c>
      <c r="P4089">
        <v>132</v>
      </c>
      <c r="Q4089" t="s">
        <v>8524</v>
      </c>
    </row>
    <row r="4090" spans="1:17" x14ac:dyDescent="0.3">
      <c r="A4090" t="s">
        <v>4729</v>
      </c>
      <c r="B4090" t="str">
        <f>"300290"</f>
        <v>300290</v>
      </c>
      <c r="C4090" t="s">
        <v>8525</v>
      </c>
      <c r="D4090" t="s">
        <v>316</v>
      </c>
      <c r="F4090">
        <v>817309721</v>
      </c>
      <c r="G4090">
        <v>787896468</v>
      </c>
      <c r="H4090">
        <v>723766459</v>
      </c>
      <c r="I4090">
        <v>626710369</v>
      </c>
      <c r="J4090">
        <v>418657673</v>
      </c>
      <c r="K4090">
        <v>502607273</v>
      </c>
      <c r="L4090">
        <v>541872970</v>
      </c>
      <c r="M4090">
        <v>411919508</v>
      </c>
      <c r="N4090">
        <v>375586048</v>
      </c>
      <c r="O4090">
        <v>334734263</v>
      </c>
      <c r="P4090">
        <v>113</v>
      </c>
      <c r="Q4090" t="s">
        <v>8526</v>
      </c>
    </row>
    <row r="4091" spans="1:17" x14ac:dyDescent="0.3">
      <c r="A4091" t="s">
        <v>4729</v>
      </c>
      <c r="B4091" t="str">
        <f>"300291"</f>
        <v>300291</v>
      </c>
      <c r="C4091" t="s">
        <v>8527</v>
      </c>
      <c r="D4091" t="s">
        <v>113</v>
      </c>
      <c r="F4091">
        <v>802662441</v>
      </c>
      <c r="G4091">
        <v>283864146</v>
      </c>
      <c r="H4091">
        <v>611431098</v>
      </c>
      <c r="I4091">
        <v>629521249</v>
      </c>
      <c r="J4091">
        <v>2247623729</v>
      </c>
      <c r="K4091">
        <v>2574864006</v>
      </c>
      <c r="L4091">
        <v>1884887179</v>
      </c>
      <c r="M4091">
        <v>759574647</v>
      </c>
      <c r="N4091">
        <v>377883277</v>
      </c>
      <c r="O4091">
        <v>393402965</v>
      </c>
      <c r="P4091">
        <v>93</v>
      </c>
      <c r="Q4091" t="s">
        <v>8528</v>
      </c>
    </row>
    <row r="4092" spans="1:17" x14ac:dyDescent="0.3">
      <c r="A4092" t="s">
        <v>4729</v>
      </c>
      <c r="B4092" t="str">
        <f>"300292"</f>
        <v>300292</v>
      </c>
      <c r="C4092" t="s">
        <v>8529</v>
      </c>
      <c r="D4092" t="s">
        <v>5670</v>
      </c>
      <c r="F4092">
        <v>4231874995</v>
      </c>
      <c r="G4092">
        <v>3765355719</v>
      </c>
      <c r="H4092">
        <v>3540630642</v>
      </c>
      <c r="I4092">
        <v>3036709453</v>
      </c>
      <c r="J4092">
        <v>2558465076</v>
      </c>
      <c r="K4092">
        <v>1982291835</v>
      </c>
      <c r="L4092">
        <v>1500991061</v>
      </c>
      <c r="M4092">
        <v>784193068</v>
      </c>
      <c r="N4092">
        <v>321366410</v>
      </c>
      <c r="O4092">
        <v>258218706</v>
      </c>
      <c r="P4092">
        <v>205</v>
      </c>
      <c r="Q4092" t="s">
        <v>8530</v>
      </c>
    </row>
    <row r="4093" spans="1:17" x14ac:dyDescent="0.3">
      <c r="A4093" t="s">
        <v>4729</v>
      </c>
      <c r="B4093" t="str">
        <f>"300293"</f>
        <v>300293</v>
      </c>
      <c r="C4093" t="s">
        <v>8531</v>
      </c>
      <c r="D4093" t="s">
        <v>741</v>
      </c>
      <c r="F4093">
        <v>1107162454</v>
      </c>
      <c r="G4093">
        <v>1156196144</v>
      </c>
      <c r="H4093">
        <v>1430195070</v>
      </c>
      <c r="I4093">
        <v>1727457015</v>
      </c>
      <c r="J4093">
        <v>1348624996</v>
      </c>
      <c r="K4093">
        <v>181476657</v>
      </c>
      <c r="L4093">
        <v>226194759</v>
      </c>
      <c r="M4093">
        <v>609356473</v>
      </c>
      <c r="N4093">
        <v>828779695</v>
      </c>
      <c r="O4093">
        <v>478825895</v>
      </c>
      <c r="P4093">
        <v>112</v>
      </c>
      <c r="Q4093" t="s">
        <v>8532</v>
      </c>
    </row>
    <row r="4094" spans="1:17" x14ac:dyDescent="0.3">
      <c r="A4094" t="s">
        <v>4729</v>
      </c>
      <c r="B4094" t="str">
        <f>"300294"</f>
        <v>300294</v>
      </c>
      <c r="C4094" t="s">
        <v>8533</v>
      </c>
      <c r="D4094" t="s">
        <v>378</v>
      </c>
      <c r="F4094">
        <v>2650528422</v>
      </c>
      <c r="G4094">
        <v>2683754348</v>
      </c>
      <c r="H4094">
        <v>2908769255</v>
      </c>
      <c r="I4094">
        <v>2451304842</v>
      </c>
      <c r="J4094">
        <v>1460521857</v>
      </c>
      <c r="K4094">
        <v>946596100</v>
      </c>
      <c r="L4094">
        <v>543182671</v>
      </c>
      <c r="M4094">
        <v>437792953</v>
      </c>
      <c r="N4094">
        <v>245278066</v>
      </c>
      <c r="O4094">
        <v>227259440</v>
      </c>
      <c r="P4094">
        <v>495</v>
      </c>
      <c r="Q4094" t="s">
        <v>8534</v>
      </c>
    </row>
    <row r="4095" spans="1:17" x14ac:dyDescent="0.3">
      <c r="A4095" t="s">
        <v>4729</v>
      </c>
      <c r="B4095" t="str">
        <f>"300295"</f>
        <v>300295</v>
      </c>
      <c r="C4095" t="s">
        <v>8535</v>
      </c>
      <c r="D4095" t="s">
        <v>522</v>
      </c>
      <c r="F4095">
        <v>273412807</v>
      </c>
      <c r="G4095">
        <v>347620177</v>
      </c>
      <c r="H4095">
        <v>472426368</v>
      </c>
      <c r="I4095">
        <v>446174337</v>
      </c>
      <c r="J4095">
        <v>407780557</v>
      </c>
      <c r="K4095">
        <v>578542679</v>
      </c>
      <c r="L4095">
        <v>641460283</v>
      </c>
      <c r="M4095">
        <v>476181980</v>
      </c>
      <c r="N4095">
        <v>376598320</v>
      </c>
      <c r="O4095">
        <v>298606789</v>
      </c>
      <c r="P4095">
        <v>100</v>
      </c>
      <c r="Q4095" t="s">
        <v>8536</v>
      </c>
    </row>
    <row r="4096" spans="1:17" x14ac:dyDescent="0.3">
      <c r="A4096" t="s">
        <v>4729</v>
      </c>
      <c r="B4096" t="str">
        <f>"300296"</f>
        <v>300296</v>
      </c>
      <c r="C4096" t="s">
        <v>8537</v>
      </c>
      <c r="D4096" t="s">
        <v>803</v>
      </c>
      <c r="F4096">
        <v>8852427392</v>
      </c>
      <c r="G4096">
        <v>6633666880</v>
      </c>
      <c r="H4096">
        <v>9047469208</v>
      </c>
      <c r="I4096">
        <v>7700621497</v>
      </c>
      <c r="J4096">
        <v>6470803346</v>
      </c>
      <c r="K4096">
        <v>4377935243</v>
      </c>
      <c r="L4096">
        <v>2022625059</v>
      </c>
      <c r="M4096">
        <v>1179923595</v>
      </c>
      <c r="N4096">
        <v>778124625</v>
      </c>
      <c r="O4096">
        <v>568955003</v>
      </c>
      <c r="P4096">
        <v>1699</v>
      </c>
      <c r="Q4096" t="s">
        <v>8538</v>
      </c>
    </row>
    <row r="4097" spans="1:17" x14ac:dyDescent="0.3">
      <c r="A4097" t="s">
        <v>4729</v>
      </c>
      <c r="B4097" t="str">
        <f>"300297"</f>
        <v>300297</v>
      </c>
      <c r="C4097" t="s">
        <v>8539</v>
      </c>
      <c r="D4097" t="s">
        <v>316</v>
      </c>
      <c r="F4097">
        <v>287853876</v>
      </c>
      <c r="G4097">
        <v>1045544313</v>
      </c>
      <c r="H4097">
        <v>1919439846</v>
      </c>
      <c r="I4097">
        <v>2281935557</v>
      </c>
      <c r="J4097">
        <v>2216476421</v>
      </c>
      <c r="K4097">
        <v>1573504561</v>
      </c>
      <c r="L4097">
        <v>1000925197</v>
      </c>
      <c r="M4097">
        <v>524904499</v>
      </c>
      <c r="N4097">
        <v>395366353</v>
      </c>
      <c r="O4097">
        <v>345203863</v>
      </c>
      <c r="P4097">
        <v>342</v>
      </c>
      <c r="Q4097" t="s">
        <v>8540</v>
      </c>
    </row>
    <row r="4098" spans="1:17" x14ac:dyDescent="0.3">
      <c r="A4098" t="s">
        <v>4729</v>
      </c>
      <c r="B4098" t="str">
        <f>"300298"</f>
        <v>300298</v>
      </c>
      <c r="C4098" t="s">
        <v>8541</v>
      </c>
      <c r="D4098" t="s">
        <v>122</v>
      </c>
      <c r="F4098">
        <v>2361308058</v>
      </c>
      <c r="G4098">
        <v>2015214107</v>
      </c>
      <c r="H4098">
        <v>1778209252</v>
      </c>
      <c r="I4098">
        <v>1550513374</v>
      </c>
      <c r="J4098">
        <v>1033007660</v>
      </c>
      <c r="K4098">
        <v>795841253</v>
      </c>
      <c r="L4098">
        <v>645500737</v>
      </c>
      <c r="M4098">
        <v>544923196</v>
      </c>
      <c r="N4098">
        <v>449053364</v>
      </c>
      <c r="O4098">
        <v>339120844</v>
      </c>
      <c r="P4098">
        <v>619</v>
      </c>
      <c r="Q4098" t="s">
        <v>8542</v>
      </c>
    </row>
    <row r="4099" spans="1:17" x14ac:dyDescent="0.3">
      <c r="A4099" t="s">
        <v>4729</v>
      </c>
      <c r="B4099" t="str">
        <f>"300299"</f>
        <v>300299</v>
      </c>
      <c r="C4099" t="s">
        <v>8543</v>
      </c>
      <c r="D4099" t="s">
        <v>517</v>
      </c>
      <c r="F4099">
        <v>565890985</v>
      </c>
      <c r="G4099">
        <v>485867869</v>
      </c>
      <c r="H4099">
        <v>467666388</v>
      </c>
      <c r="I4099">
        <v>555247125</v>
      </c>
      <c r="J4099">
        <v>530346309</v>
      </c>
      <c r="K4099">
        <v>452625311</v>
      </c>
      <c r="L4099">
        <v>378424503</v>
      </c>
      <c r="M4099">
        <v>222872296</v>
      </c>
      <c r="N4099">
        <v>182551769</v>
      </c>
      <c r="O4099">
        <v>125545952</v>
      </c>
      <c r="P4099">
        <v>187</v>
      </c>
      <c r="Q4099" t="s">
        <v>8544</v>
      </c>
    </row>
    <row r="4100" spans="1:17" x14ac:dyDescent="0.3">
      <c r="A4100" t="s">
        <v>4729</v>
      </c>
      <c r="B4100" t="str">
        <f>"300300"</f>
        <v>300300</v>
      </c>
      <c r="C4100" t="s">
        <v>8545</v>
      </c>
      <c r="D4100" t="s">
        <v>316</v>
      </c>
      <c r="F4100">
        <v>474079493</v>
      </c>
      <c r="G4100">
        <v>353598838</v>
      </c>
      <c r="H4100">
        <v>451533912</v>
      </c>
      <c r="I4100">
        <v>527647215</v>
      </c>
      <c r="J4100">
        <v>404385389</v>
      </c>
      <c r="K4100">
        <v>428828918</v>
      </c>
      <c r="L4100">
        <v>712605068</v>
      </c>
      <c r="M4100">
        <v>746112066</v>
      </c>
      <c r="N4100">
        <v>484940360</v>
      </c>
      <c r="O4100">
        <v>403145028</v>
      </c>
      <c r="P4100">
        <v>121</v>
      </c>
      <c r="Q4100" t="s">
        <v>8546</v>
      </c>
    </row>
    <row r="4101" spans="1:17" x14ac:dyDescent="0.3">
      <c r="A4101" t="s">
        <v>4729</v>
      </c>
      <c r="B4101" t="str">
        <f>"300301"</f>
        <v>300301</v>
      </c>
      <c r="C4101" t="s">
        <v>8547</v>
      </c>
      <c r="D4101" t="s">
        <v>803</v>
      </c>
      <c r="F4101">
        <v>1599044343</v>
      </c>
      <c r="G4101">
        <v>1302857483</v>
      </c>
      <c r="H4101">
        <v>1617021297</v>
      </c>
      <c r="I4101">
        <v>1574387711</v>
      </c>
      <c r="J4101">
        <v>1750407487</v>
      </c>
      <c r="K4101">
        <v>1602616922</v>
      </c>
      <c r="L4101">
        <v>1418532229</v>
      </c>
      <c r="M4101">
        <v>921191572</v>
      </c>
      <c r="N4101">
        <v>812908328</v>
      </c>
      <c r="O4101">
        <v>572335713</v>
      </c>
      <c r="P4101">
        <v>75</v>
      </c>
      <c r="Q4101" t="s">
        <v>8548</v>
      </c>
    </row>
    <row r="4102" spans="1:17" x14ac:dyDescent="0.3">
      <c r="A4102" t="s">
        <v>4729</v>
      </c>
      <c r="B4102" t="str">
        <f>"300302"</f>
        <v>300302</v>
      </c>
      <c r="C4102" t="s">
        <v>8549</v>
      </c>
      <c r="D4102" t="s">
        <v>236</v>
      </c>
      <c r="F4102">
        <v>390908671</v>
      </c>
      <c r="G4102">
        <v>331538014</v>
      </c>
      <c r="H4102">
        <v>345453171</v>
      </c>
      <c r="I4102">
        <v>377481090</v>
      </c>
      <c r="J4102">
        <v>379615451</v>
      </c>
      <c r="K4102">
        <v>471517013</v>
      </c>
      <c r="L4102">
        <v>361116421</v>
      </c>
      <c r="M4102">
        <v>246532948</v>
      </c>
      <c r="N4102">
        <v>221147956</v>
      </c>
      <c r="O4102">
        <v>200990601</v>
      </c>
      <c r="P4102">
        <v>146</v>
      </c>
      <c r="Q4102" t="s">
        <v>8550</v>
      </c>
    </row>
    <row r="4103" spans="1:17" x14ac:dyDescent="0.3">
      <c r="A4103" t="s">
        <v>4729</v>
      </c>
      <c r="B4103" t="str">
        <f>"300303"</f>
        <v>300303</v>
      </c>
      <c r="C4103" t="s">
        <v>8551</v>
      </c>
      <c r="D4103" t="s">
        <v>803</v>
      </c>
      <c r="F4103">
        <v>2371349276</v>
      </c>
      <c r="G4103">
        <v>2351118041</v>
      </c>
      <c r="H4103">
        <v>2506856474</v>
      </c>
      <c r="I4103">
        <v>2345024340</v>
      </c>
      <c r="J4103">
        <v>2055139742</v>
      </c>
      <c r="K4103">
        <v>1509099421</v>
      </c>
      <c r="L4103">
        <v>959484550</v>
      </c>
      <c r="M4103">
        <v>990508913</v>
      </c>
      <c r="N4103">
        <v>753628605</v>
      </c>
      <c r="O4103">
        <v>495188333</v>
      </c>
      <c r="P4103">
        <v>256</v>
      </c>
      <c r="Q4103" t="s">
        <v>8552</v>
      </c>
    </row>
    <row r="4104" spans="1:17" x14ac:dyDescent="0.3">
      <c r="A4104" t="s">
        <v>4729</v>
      </c>
      <c r="B4104" t="str">
        <f>"300304"</f>
        <v>300304</v>
      </c>
      <c r="C4104" t="s">
        <v>8553</v>
      </c>
      <c r="D4104" t="s">
        <v>1415</v>
      </c>
      <c r="F4104">
        <v>1099341859</v>
      </c>
      <c r="G4104">
        <v>839561162</v>
      </c>
      <c r="H4104">
        <v>714163013</v>
      </c>
      <c r="I4104">
        <v>658762479</v>
      </c>
      <c r="J4104">
        <v>641620674</v>
      </c>
      <c r="K4104">
        <v>535626834</v>
      </c>
      <c r="L4104">
        <v>431514734</v>
      </c>
      <c r="M4104">
        <v>430698948</v>
      </c>
      <c r="N4104">
        <v>434071566</v>
      </c>
      <c r="O4104">
        <v>392109154</v>
      </c>
      <c r="P4104">
        <v>114</v>
      </c>
      <c r="Q4104" t="s">
        <v>8554</v>
      </c>
    </row>
    <row r="4105" spans="1:17" x14ac:dyDescent="0.3">
      <c r="A4105" t="s">
        <v>4729</v>
      </c>
      <c r="B4105" t="str">
        <f>"300305"</f>
        <v>300305</v>
      </c>
      <c r="C4105" t="s">
        <v>8555</v>
      </c>
      <c r="D4105" t="s">
        <v>324</v>
      </c>
      <c r="F4105">
        <v>1365126379</v>
      </c>
      <c r="G4105">
        <v>1000211314</v>
      </c>
      <c r="H4105">
        <v>874560326</v>
      </c>
      <c r="I4105">
        <v>738481394</v>
      </c>
      <c r="J4105">
        <v>590516223</v>
      </c>
      <c r="K4105">
        <v>520319042</v>
      </c>
      <c r="L4105">
        <v>521133482</v>
      </c>
      <c r="M4105">
        <v>582773010</v>
      </c>
      <c r="N4105">
        <v>569839285</v>
      </c>
      <c r="O4105">
        <v>472522939</v>
      </c>
      <c r="P4105">
        <v>147</v>
      </c>
      <c r="Q4105" t="s">
        <v>8556</v>
      </c>
    </row>
    <row r="4106" spans="1:17" x14ac:dyDescent="0.3">
      <c r="A4106" t="s">
        <v>4729</v>
      </c>
      <c r="B4106" t="str">
        <f>"300306"</f>
        <v>300306</v>
      </c>
      <c r="C4106" t="s">
        <v>8557</v>
      </c>
      <c r="D4106" t="s">
        <v>2566</v>
      </c>
      <c r="F4106">
        <v>452950907</v>
      </c>
      <c r="G4106">
        <v>402334959</v>
      </c>
      <c r="H4106">
        <v>417933907</v>
      </c>
      <c r="I4106">
        <v>421720818</v>
      </c>
      <c r="J4106">
        <v>557612755</v>
      </c>
      <c r="K4106">
        <v>223251247</v>
      </c>
      <c r="L4106">
        <v>184406410</v>
      </c>
      <c r="M4106">
        <v>208974960</v>
      </c>
      <c r="N4106">
        <v>196880557</v>
      </c>
      <c r="O4106">
        <v>182073939</v>
      </c>
      <c r="P4106">
        <v>169</v>
      </c>
      <c r="Q4106" t="s">
        <v>8558</v>
      </c>
    </row>
    <row r="4107" spans="1:17" x14ac:dyDescent="0.3">
      <c r="A4107" t="s">
        <v>4729</v>
      </c>
      <c r="B4107" t="str">
        <f>"300307"</f>
        <v>300307</v>
      </c>
      <c r="C4107" t="s">
        <v>8559</v>
      </c>
      <c r="D4107" t="s">
        <v>534</v>
      </c>
      <c r="F4107">
        <v>2131152265</v>
      </c>
      <c r="G4107">
        <v>1233295415</v>
      </c>
      <c r="H4107">
        <v>1521033807</v>
      </c>
      <c r="I4107">
        <v>1689675750</v>
      </c>
      <c r="J4107">
        <v>1404375134</v>
      </c>
      <c r="K4107">
        <v>1098272533</v>
      </c>
      <c r="L4107">
        <v>749592373</v>
      </c>
      <c r="M4107">
        <v>763534570</v>
      </c>
      <c r="N4107">
        <v>2000188608</v>
      </c>
      <c r="O4107">
        <v>2118843885</v>
      </c>
      <c r="P4107">
        <v>2981</v>
      </c>
      <c r="Q4107" t="s">
        <v>8560</v>
      </c>
    </row>
    <row r="4108" spans="1:17" x14ac:dyDescent="0.3">
      <c r="A4108" t="s">
        <v>4729</v>
      </c>
      <c r="B4108" t="str">
        <f>"300308"</f>
        <v>300308</v>
      </c>
      <c r="C4108" t="s">
        <v>8561</v>
      </c>
      <c r="D4108" t="s">
        <v>1019</v>
      </c>
      <c r="F4108">
        <v>7695404806</v>
      </c>
      <c r="G4108">
        <v>7049590125</v>
      </c>
      <c r="H4108">
        <v>4757677023</v>
      </c>
      <c r="I4108">
        <v>5156314240</v>
      </c>
      <c r="J4108">
        <v>2357083470</v>
      </c>
      <c r="K4108">
        <v>131620385</v>
      </c>
      <c r="L4108">
        <v>121409937</v>
      </c>
      <c r="M4108">
        <v>118746207</v>
      </c>
      <c r="N4108">
        <v>90526150</v>
      </c>
      <c r="O4108">
        <v>116659628</v>
      </c>
      <c r="P4108">
        <v>814</v>
      </c>
      <c r="Q4108" t="s">
        <v>8562</v>
      </c>
    </row>
    <row r="4109" spans="1:17" x14ac:dyDescent="0.3">
      <c r="A4109" t="s">
        <v>4729</v>
      </c>
      <c r="B4109" t="str">
        <f>"300309"</f>
        <v>300309</v>
      </c>
      <c r="C4109" t="s">
        <v>8563</v>
      </c>
      <c r="D4109" t="s">
        <v>116</v>
      </c>
      <c r="F4109">
        <v>72591310</v>
      </c>
      <c r="G4109">
        <v>191880559</v>
      </c>
      <c r="H4109">
        <v>1181850817</v>
      </c>
      <c r="I4109">
        <v>862485290</v>
      </c>
      <c r="J4109">
        <v>746328468</v>
      </c>
      <c r="K4109">
        <v>238508780</v>
      </c>
      <c r="L4109">
        <v>289873278</v>
      </c>
      <c r="M4109">
        <v>253962760</v>
      </c>
      <c r="N4109">
        <v>235373677</v>
      </c>
      <c r="O4109">
        <v>216084355</v>
      </c>
      <c r="P4109">
        <v>108</v>
      </c>
      <c r="Q4109" t="s">
        <v>8564</v>
      </c>
    </row>
    <row r="4110" spans="1:17" x14ac:dyDescent="0.3">
      <c r="A4110" t="s">
        <v>4729</v>
      </c>
      <c r="B4110" t="str">
        <f>"300310"</f>
        <v>300310</v>
      </c>
      <c r="C4110" t="s">
        <v>8565</v>
      </c>
      <c r="D4110" t="s">
        <v>654</v>
      </c>
      <c r="F4110">
        <v>2337319139</v>
      </c>
      <c r="G4110">
        <v>2214399585</v>
      </c>
      <c r="H4110">
        <v>2485724600</v>
      </c>
      <c r="I4110">
        <v>2578631796</v>
      </c>
      <c r="J4110">
        <v>2582463262</v>
      </c>
      <c r="K4110">
        <v>1820949947</v>
      </c>
      <c r="L4110">
        <v>1184434191</v>
      </c>
      <c r="M4110">
        <v>910598988</v>
      </c>
      <c r="N4110">
        <v>705239789</v>
      </c>
      <c r="O4110">
        <v>614440158</v>
      </c>
      <c r="P4110">
        <v>257</v>
      </c>
      <c r="Q4110" t="s">
        <v>8566</v>
      </c>
    </row>
    <row r="4111" spans="1:17" x14ac:dyDescent="0.3">
      <c r="A4111" t="s">
        <v>4729</v>
      </c>
      <c r="B4111" t="str">
        <f>"300311"</f>
        <v>300311</v>
      </c>
      <c r="C4111" t="s">
        <v>8567</v>
      </c>
      <c r="D4111" t="s">
        <v>1189</v>
      </c>
      <c r="F4111">
        <v>695306046</v>
      </c>
      <c r="G4111">
        <v>877989176</v>
      </c>
      <c r="H4111">
        <v>996255800</v>
      </c>
      <c r="I4111">
        <v>1179189736</v>
      </c>
      <c r="J4111">
        <v>1019067933</v>
      </c>
      <c r="K4111">
        <v>662859792</v>
      </c>
      <c r="L4111">
        <v>359912427</v>
      </c>
      <c r="M4111">
        <v>296780116</v>
      </c>
      <c r="N4111">
        <v>245386181</v>
      </c>
      <c r="O4111">
        <v>192974175</v>
      </c>
      <c r="P4111">
        <v>161</v>
      </c>
      <c r="Q4111" t="s">
        <v>8568</v>
      </c>
    </row>
    <row r="4112" spans="1:17" x14ac:dyDescent="0.3">
      <c r="A4112" t="s">
        <v>4729</v>
      </c>
      <c r="B4112" t="str">
        <f>"300312"</f>
        <v>300312</v>
      </c>
      <c r="C4112" t="s">
        <v>8569</v>
      </c>
      <c r="D4112" t="s">
        <v>1019</v>
      </c>
      <c r="G4112">
        <v>19309890</v>
      </c>
      <c r="H4112">
        <v>69538563</v>
      </c>
      <c r="I4112">
        <v>183273783</v>
      </c>
      <c r="J4112">
        <v>309899960</v>
      </c>
      <c r="K4112">
        <v>362093928</v>
      </c>
      <c r="L4112">
        <v>533450917</v>
      </c>
      <c r="M4112">
        <v>513578987</v>
      </c>
      <c r="N4112">
        <v>285866439</v>
      </c>
      <c r="O4112">
        <v>480267777</v>
      </c>
      <c r="P4112">
        <v>134</v>
      </c>
      <c r="Q4112" t="s">
        <v>8570</v>
      </c>
    </row>
    <row r="4113" spans="1:17" x14ac:dyDescent="0.3">
      <c r="A4113" t="s">
        <v>4729</v>
      </c>
      <c r="B4113" t="str">
        <f>"300313"</f>
        <v>300313</v>
      </c>
      <c r="C4113" t="s">
        <v>8571</v>
      </c>
      <c r="D4113" t="s">
        <v>1882</v>
      </c>
      <c r="F4113">
        <v>107976195</v>
      </c>
      <c r="G4113">
        <v>163309324</v>
      </c>
      <c r="H4113">
        <v>229005660</v>
      </c>
      <c r="I4113">
        <v>105225957</v>
      </c>
      <c r="J4113">
        <v>195305727</v>
      </c>
      <c r="K4113">
        <v>375207066</v>
      </c>
      <c r="L4113">
        <v>246867894</v>
      </c>
      <c r="M4113">
        <v>121943045</v>
      </c>
      <c r="N4113">
        <v>82656576</v>
      </c>
      <c r="O4113">
        <v>82003499</v>
      </c>
      <c r="P4113">
        <v>85</v>
      </c>
      <c r="Q4113" t="s">
        <v>8572</v>
      </c>
    </row>
    <row r="4114" spans="1:17" x14ac:dyDescent="0.3">
      <c r="A4114" t="s">
        <v>4729</v>
      </c>
      <c r="B4114" t="str">
        <f>"300314"</f>
        <v>300314</v>
      </c>
      <c r="C4114" t="s">
        <v>8573</v>
      </c>
      <c r="D4114" t="s">
        <v>122</v>
      </c>
      <c r="F4114">
        <v>474132641</v>
      </c>
      <c r="G4114">
        <v>459530603</v>
      </c>
      <c r="H4114">
        <v>356352075</v>
      </c>
      <c r="I4114">
        <v>300298176</v>
      </c>
      <c r="J4114">
        <v>303905402</v>
      </c>
      <c r="K4114">
        <v>264948778</v>
      </c>
      <c r="L4114">
        <v>219427412</v>
      </c>
      <c r="M4114">
        <v>227181354</v>
      </c>
      <c r="N4114">
        <v>217245093</v>
      </c>
      <c r="O4114">
        <v>255790390</v>
      </c>
      <c r="P4114">
        <v>196</v>
      </c>
      <c r="Q4114" t="s">
        <v>8574</v>
      </c>
    </row>
    <row r="4115" spans="1:17" x14ac:dyDescent="0.3">
      <c r="A4115" t="s">
        <v>4729</v>
      </c>
      <c r="B4115" t="str">
        <f>"300315"</f>
        <v>300315</v>
      </c>
      <c r="C4115" t="s">
        <v>8575</v>
      </c>
      <c r="D4115" t="s">
        <v>517</v>
      </c>
      <c r="F4115">
        <v>1472214784</v>
      </c>
      <c r="G4115">
        <v>1789193900</v>
      </c>
      <c r="H4115">
        <v>1616948597</v>
      </c>
      <c r="I4115">
        <v>1970323556</v>
      </c>
      <c r="J4115">
        <v>1768214467</v>
      </c>
      <c r="K4115">
        <v>1854687805</v>
      </c>
      <c r="L4115">
        <v>1123778618</v>
      </c>
      <c r="M4115">
        <v>774764162</v>
      </c>
      <c r="N4115">
        <v>380504082</v>
      </c>
      <c r="O4115">
        <v>225363031</v>
      </c>
      <c r="P4115">
        <v>456</v>
      </c>
      <c r="Q4115" t="s">
        <v>8576</v>
      </c>
    </row>
    <row r="4116" spans="1:17" x14ac:dyDescent="0.3">
      <c r="A4116" t="s">
        <v>4729</v>
      </c>
      <c r="B4116" t="str">
        <f>"300316"</f>
        <v>300316</v>
      </c>
      <c r="C4116" t="s">
        <v>8577</v>
      </c>
      <c r="D4116" t="s">
        <v>2671</v>
      </c>
      <c r="F4116">
        <v>5961359501</v>
      </c>
      <c r="G4116">
        <v>3810679670</v>
      </c>
      <c r="H4116">
        <v>3109742819</v>
      </c>
      <c r="I4116">
        <v>2535711475</v>
      </c>
      <c r="J4116">
        <v>1948848200</v>
      </c>
      <c r="K4116">
        <v>1091468266</v>
      </c>
      <c r="L4116">
        <v>591777642</v>
      </c>
      <c r="M4116">
        <v>245320403</v>
      </c>
      <c r="N4116">
        <v>175013346</v>
      </c>
      <c r="O4116">
        <v>502541749</v>
      </c>
      <c r="P4116">
        <v>1072</v>
      </c>
      <c r="Q4116" t="s">
        <v>8578</v>
      </c>
    </row>
    <row r="4117" spans="1:17" x14ac:dyDescent="0.3">
      <c r="A4117" t="s">
        <v>4729</v>
      </c>
      <c r="B4117" t="str">
        <f>"300317"</f>
        <v>300317</v>
      </c>
      <c r="C4117" t="s">
        <v>8579</v>
      </c>
      <c r="D4117" t="s">
        <v>86</v>
      </c>
      <c r="F4117">
        <v>579596607</v>
      </c>
      <c r="G4117">
        <v>799979100</v>
      </c>
      <c r="H4117">
        <v>840958963</v>
      </c>
      <c r="I4117">
        <v>1689529471</v>
      </c>
      <c r="J4117">
        <v>3310128617</v>
      </c>
      <c r="K4117">
        <v>2921121907</v>
      </c>
      <c r="L4117">
        <v>1902266126</v>
      </c>
      <c r="M4117">
        <v>680145978</v>
      </c>
      <c r="N4117">
        <v>640721061</v>
      </c>
      <c r="O4117">
        <v>453688468</v>
      </c>
      <c r="P4117">
        <v>142</v>
      </c>
      <c r="Q4117" t="s">
        <v>8580</v>
      </c>
    </row>
    <row r="4118" spans="1:17" x14ac:dyDescent="0.3">
      <c r="A4118" t="s">
        <v>4729</v>
      </c>
      <c r="B4118" t="str">
        <f>"300318"</f>
        <v>300318</v>
      </c>
      <c r="C4118" t="s">
        <v>8581</v>
      </c>
      <c r="D4118" t="s">
        <v>1305</v>
      </c>
      <c r="F4118">
        <v>714748462</v>
      </c>
      <c r="G4118">
        <v>738717388</v>
      </c>
      <c r="H4118">
        <v>628340031</v>
      </c>
      <c r="I4118">
        <v>622093848</v>
      </c>
      <c r="J4118">
        <v>443754419</v>
      </c>
      <c r="K4118">
        <v>404048600</v>
      </c>
      <c r="L4118">
        <v>268846010</v>
      </c>
      <c r="M4118">
        <v>100969495</v>
      </c>
      <c r="N4118">
        <v>106870486</v>
      </c>
      <c r="O4118">
        <v>113760682</v>
      </c>
      <c r="P4118">
        <v>144</v>
      </c>
      <c r="Q4118" t="s">
        <v>8582</v>
      </c>
    </row>
    <row r="4119" spans="1:17" x14ac:dyDescent="0.3">
      <c r="A4119" t="s">
        <v>4729</v>
      </c>
      <c r="B4119" t="str">
        <f>"300319"</f>
        <v>300319</v>
      </c>
      <c r="C4119" t="s">
        <v>8583</v>
      </c>
      <c r="D4119" t="s">
        <v>546</v>
      </c>
      <c r="F4119">
        <v>3318357060</v>
      </c>
      <c r="G4119">
        <v>2329194000</v>
      </c>
      <c r="H4119">
        <v>1817743897</v>
      </c>
      <c r="I4119">
        <v>1671640887</v>
      </c>
      <c r="J4119">
        <v>1441336856</v>
      </c>
      <c r="K4119">
        <v>1694221303</v>
      </c>
      <c r="L4119">
        <v>678898341</v>
      </c>
      <c r="M4119">
        <v>220498659</v>
      </c>
      <c r="N4119">
        <v>158215356</v>
      </c>
      <c r="O4119">
        <v>126729637</v>
      </c>
      <c r="P4119">
        <v>3161</v>
      </c>
      <c r="Q4119" t="s">
        <v>8584</v>
      </c>
    </row>
    <row r="4120" spans="1:17" x14ac:dyDescent="0.3">
      <c r="A4120" t="s">
        <v>4729</v>
      </c>
      <c r="B4120" t="str">
        <f>"300320"</f>
        <v>300320</v>
      </c>
      <c r="C4120" t="s">
        <v>8585</v>
      </c>
      <c r="D4120" t="s">
        <v>2469</v>
      </c>
      <c r="F4120">
        <v>2522935052</v>
      </c>
      <c r="G4120">
        <v>2263275352</v>
      </c>
      <c r="H4120">
        <v>2241199353</v>
      </c>
      <c r="I4120">
        <v>2130068972</v>
      </c>
      <c r="J4120">
        <v>1291652918</v>
      </c>
      <c r="K4120">
        <v>855747906</v>
      </c>
      <c r="L4120">
        <v>828786901</v>
      </c>
      <c r="M4120">
        <v>836973719</v>
      </c>
      <c r="N4120">
        <v>642971610</v>
      </c>
      <c r="O4120">
        <v>548563355</v>
      </c>
      <c r="P4120">
        <v>151</v>
      </c>
      <c r="Q4120" t="s">
        <v>8586</v>
      </c>
    </row>
    <row r="4121" spans="1:17" x14ac:dyDescent="0.3">
      <c r="A4121" t="s">
        <v>4729</v>
      </c>
      <c r="B4121" t="str">
        <f>"300321"</f>
        <v>300321</v>
      </c>
      <c r="C4121" t="s">
        <v>8587</v>
      </c>
      <c r="D4121" t="s">
        <v>528</v>
      </c>
      <c r="F4121">
        <v>520065388</v>
      </c>
      <c r="G4121">
        <v>408878938</v>
      </c>
      <c r="H4121">
        <v>456344330</v>
      </c>
      <c r="I4121">
        <v>469213839</v>
      </c>
      <c r="J4121">
        <v>436750584</v>
      </c>
      <c r="K4121">
        <v>432414287</v>
      </c>
      <c r="L4121">
        <v>453215169</v>
      </c>
      <c r="M4121">
        <v>490744884</v>
      </c>
      <c r="N4121">
        <v>436807691</v>
      </c>
      <c r="O4121">
        <v>381364135</v>
      </c>
      <c r="P4121">
        <v>45</v>
      </c>
      <c r="Q4121" t="s">
        <v>8588</v>
      </c>
    </row>
    <row r="4122" spans="1:17" x14ac:dyDescent="0.3">
      <c r="A4122" t="s">
        <v>4729</v>
      </c>
      <c r="B4122" t="str">
        <f>"300322"</f>
        <v>300322</v>
      </c>
      <c r="C4122" t="s">
        <v>8589</v>
      </c>
      <c r="D4122" t="s">
        <v>313</v>
      </c>
      <c r="F4122">
        <v>1961487982</v>
      </c>
      <c r="G4122">
        <v>1845932830</v>
      </c>
      <c r="H4122">
        <v>1749506400</v>
      </c>
      <c r="I4122">
        <v>1722361995</v>
      </c>
      <c r="J4122">
        <v>2067644363</v>
      </c>
      <c r="K4122">
        <v>1725391576</v>
      </c>
      <c r="L4122">
        <v>770585381</v>
      </c>
      <c r="M4122">
        <v>830006170</v>
      </c>
      <c r="N4122">
        <v>505005556</v>
      </c>
      <c r="O4122">
        <v>364713483</v>
      </c>
      <c r="P4122">
        <v>387</v>
      </c>
      <c r="Q4122" t="s">
        <v>8590</v>
      </c>
    </row>
    <row r="4123" spans="1:17" x14ac:dyDescent="0.3">
      <c r="A4123" t="s">
        <v>4729</v>
      </c>
      <c r="B4123" t="str">
        <f>"300323"</f>
        <v>300323</v>
      </c>
      <c r="C4123" t="s">
        <v>8591</v>
      </c>
      <c r="D4123" t="s">
        <v>803</v>
      </c>
      <c r="F4123">
        <v>3156244224</v>
      </c>
      <c r="G4123">
        <v>2644133008</v>
      </c>
      <c r="H4123">
        <v>2716330499</v>
      </c>
      <c r="I4123">
        <v>2731588112</v>
      </c>
      <c r="J4123">
        <v>2629903384</v>
      </c>
      <c r="K4123">
        <v>1582306970</v>
      </c>
      <c r="L4123">
        <v>955393578</v>
      </c>
      <c r="M4123">
        <v>706081569</v>
      </c>
      <c r="N4123">
        <v>316202545</v>
      </c>
      <c r="O4123">
        <v>330018960</v>
      </c>
      <c r="P4123">
        <v>293</v>
      </c>
      <c r="Q4123" t="s">
        <v>8592</v>
      </c>
    </row>
    <row r="4124" spans="1:17" x14ac:dyDescent="0.3">
      <c r="A4124" t="s">
        <v>4729</v>
      </c>
      <c r="B4124" t="str">
        <f>"300324"</f>
        <v>300324</v>
      </c>
      <c r="C4124" t="s">
        <v>8593</v>
      </c>
      <c r="D4124" t="s">
        <v>236</v>
      </c>
      <c r="F4124">
        <v>3171629435</v>
      </c>
      <c r="G4124">
        <v>2797614021</v>
      </c>
      <c r="H4124">
        <v>3329393828</v>
      </c>
      <c r="I4124">
        <v>3859957923</v>
      </c>
      <c r="J4124">
        <v>3297140846</v>
      </c>
      <c r="K4124">
        <v>2188775876</v>
      </c>
      <c r="L4124">
        <v>980319200</v>
      </c>
      <c r="M4124">
        <v>362432078</v>
      </c>
      <c r="N4124">
        <v>243284915</v>
      </c>
      <c r="O4124">
        <v>281796894</v>
      </c>
      <c r="P4124">
        <v>235</v>
      </c>
      <c r="Q4124" t="s">
        <v>8594</v>
      </c>
    </row>
    <row r="4125" spans="1:17" x14ac:dyDescent="0.3">
      <c r="A4125" t="s">
        <v>4729</v>
      </c>
      <c r="B4125" t="str">
        <f>"300325"</f>
        <v>300325</v>
      </c>
      <c r="C4125" t="s">
        <v>8595</v>
      </c>
      <c r="D4125" t="s">
        <v>1192</v>
      </c>
      <c r="F4125">
        <v>1057194586</v>
      </c>
      <c r="G4125">
        <v>894742740</v>
      </c>
      <c r="H4125">
        <v>1150825046</v>
      </c>
      <c r="I4125">
        <v>2193992133</v>
      </c>
      <c r="J4125">
        <v>1787441623</v>
      </c>
      <c r="K4125">
        <v>1580730262</v>
      </c>
      <c r="L4125">
        <v>1568032673</v>
      </c>
      <c r="M4125">
        <v>1378511138</v>
      </c>
      <c r="N4125">
        <v>1124402354</v>
      </c>
      <c r="O4125">
        <v>773401576</v>
      </c>
      <c r="P4125">
        <v>81</v>
      </c>
      <c r="Q4125" t="s">
        <v>8596</v>
      </c>
    </row>
    <row r="4126" spans="1:17" x14ac:dyDescent="0.3">
      <c r="A4126" t="s">
        <v>4729</v>
      </c>
      <c r="B4126" t="str">
        <f>"300326"</f>
        <v>300326</v>
      </c>
      <c r="C4126" t="s">
        <v>8597</v>
      </c>
      <c r="D4126" t="s">
        <v>1077</v>
      </c>
      <c r="F4126">
        <v>1268579511</v>
      </c>
      <c r="G4126">
        <v>1061574380</v>
      </c>
      <c r="H4126">
        <v>1222288042</v>
      </c>
      <c r="I4126">
        <v>930906811</v>
      </c>
      <c r="J4126">
        <v>802266759</v>
      </c>
      <c r="K4126">
        <v>550596650</v>
      </c>
      <c r="L4126">
        <v>462885219</v>
      </c>
      <c r="M4126">
        <v>222355565</v>
      </c>
      <c r="N4126">
        <v>126682069</v>
      </c>
      <c r="O4126">
        <v>101692193</v>
      </c>
      <c r="P4126">
        <v>853</v>
      </c>
      <c r="Q4126" t="s">
        <v>8598</v>
      </c>
    </row>
    <row r="4127" spans="1:17" x14ac:dyDescent="0.3">
      <c r="A4127" t="s">
        <v>4729</v>
      </c>
      <c r="B4127" t="str">
        <f>"300327"</f>
        <v>300327</v>
      </c>
      <c r="C4127" t="s">
        <v>8599</v>
      </c>
      <c r="D4127" t="s">
        <v>461</v>
      </c>
      <c r="F4127">
        <v>1493907714</v>
      </c>
      <c r="G4127">
        <v>1012256028</v>
      </c>
      <c r="H4127">
        <v>834147157</v>
      </c>
      <c r="I4127">
        <v>757710547</v>
      </c>
      <c r="J4127">
        <v>685724752</v>
      </c>
      <c r="K4127">
        <v>517702356</v>
      </c>
      <c r="L4127">
        <v>411371367</v>
      </c>
      <c r="M4127">
        <v>371073198</v>
      </c>
      <c r="N4127">
        <v>337676443</v>
      </c>
      <c r="O4127">
        <v>264281353</v>
      </c>
      <c r="P4127">
        <v>4063</v>
      </c>
      <c r="Q4127" t="s">
        <v>8600</v>
      </c>
    </row>
    <row r="4128" spans="1:17" x14ac:dyDescent="0.3">
      <c r="A4128" t="s">
        <v>4729</v>
      </c>
      <c r="B4128" t="str">
        <f>"300328"</f>
        <v>300328</v>
      </c>
      <c r="C4128" t="s">
        <v>8601</v>
      </c>
      <c r="D4128" t="s">
        <v>636</v>
      </c>
      <c r="F4128">
        <v>1069783530</v>
      </c>
      <c r="G4128">
        <v>945452380</v>
      </c>
      <c r="H4128">
        <v>1025084239</v>
      </c>
      <c r="I4128">
        <v>985803818</v>
      </c>
      <c r="J4128">
        <v>810734361</v>
      </c>
      <c r="K4128">
        <v>563025336</v>
      </c>
      <c r="L4128">
        <v>555226058</v>
      </c>
      <c r="M4128">
        <v>514635536</v>
      </c>
      <c r="N4128">
        <v>463711263</v>
      </c>
      <c r="O4128">
        <v>296535976</v>
      </c>
      <c r="P4128">
        <v>232</v>
      </c>
      <c r="Q4128" t="s">
        <v>8602</v>
      </c>
    </row>
    <row r="4129" spans="1:17" x14ac:dyDescent="0.3">
      <c r="A4129" t="s">
        <v>4729</v>
      </c>
      <c r="B4129" t="str">
        <f>"300329"</f>
        <v>300329</v>
      </c>
      <c r="C4129" t="s">
        <v>8603</v>
      </c>
      <c r="D4129" t="s">
        <v>2931</v>
      </c>
      <c r="F4129">
        <v>521834466</v>
      </c>
      <c r="G4129">
        <v>475607305</v>
      </c>
      <c r="H4129">
        <v>553530167</v>
      </c>
      <c r="I4129">
        <v>527423884</v>
      </c>
      <c r="J4129">
        <v>469657840</v>
      </c>
      <c r="K4129">
        <v>389177122</v>
      </c>
      <c r="L4129">
        <v>369061637</v>
      </c>
      <c r="M4129">
        <v>353082446</v>
      </c>
      <c r="N4129">
        <v>338613582</v>
      </c>
      <c r="O4129">
        <v>303259908</v>
      </c>
      <c r="P4129">
        <v>96</v>
      </c>
      <c r="Q4129" t="s">
        <v>8604</v>
      </c>
    </row>
    <row r="4130" spans="1:17" x14ac:dyDescent="0.3">
      <c r="A4130" t="s">
        <v>4729</v>
      </c>
      <c r="B4130" t="str">
        <f>"300330"</f>
        <v>300330</v>
      </c>
      <c r="C4130" t="s">
        <v>8605</v>
      </c>
      <c r="D4130" t="s">
        <v>236</v>
      </c>
      <c r="F4130">
        <v>371697744</v>
      </c>
      <c r="G4130">
        <v>324350289</v>
      </c>
      <c r="H4130">
        <v>260624431</v>
      </c>
      <c r="I4130">
        <v>207205797</v>
      </c>
      <c r="J4130">
        <v>223729930</v>
      </c>
      <c r="K4130">
        <v>133806759</v>
      </c>
      <c r="L4130">
        <v>212091176</v>
      </c>
      <c r="M4130">
        <v>227054716</v>
      </c>
      <c r="N4130">
        <v>228220129</v>
      </c>
      <c r="O4130">
        <v>258959686</v>
      </c>
      <c r="P4130">
        <v>82</v>
      </c>
      <c r="Q4130" t="s">
        <v>8606</v>
      </c>
    </row>
    <row r="4131" spans="1:17" x14ac:dyDescent="0.3">
      <c r="A4131" t="s">
        <v>4729</v>
      </c>
      <c r="B4131" t="str">
        <f>"300331"</f>
        <v>300331</v>
      </c>
      <c r="C4131" t="s">
        <v>8607</v>
      </c>
      <c r="D4131" t="s">
        <v>1117</v>
      </c>
      <c r="F4131">
        <v>1736793512</v>
      </c>
      <c r="G4131">
        <v>1392279392</v>
      </c>
      <c r="H4131">
        <v>1297169218</v>
      </c>
      <c r="I4131">
        <v>1135014006</v>
      </c>
      <c r="J4131">
        <v>944117738</v>
      </c>
      <c r="K4131">
        <v>415723450</v>
      </c>
      <c r="L4131">
        <v>365157861</v>
      </c>
      <c r="M4131">
        <v>357302682</v>
      </c>
      <c r="N4131">
        <v>289636852</v>
      </c>
      <c r="O4131">
        <v>233917726</v>
      </c>
      <c r="P4131">
        <v>164</v>
      </c>
      <c r="Q4131" t="s">
        <v>8608</v>
      </c>
    </row>
    <row r="4132" spans="1:17" x14ac:dyDescent="0.3">
      <c r="A4132" t="s">
        <v>4729</v>
      </c>
      <c r="B4132" t="str">
        <f>"300332"</f>
        <v>300332</v>
      </c>
      <c r="C4132" t="s">
        <v>8609</v>
      </c>
      <c r="D4132" t="s">
        <v>749</v>
      </c>
      <c r="F4132">
        <v>2051986717</v>
      </c>
      <c r="G4132">
        <v>1693665456</v>
      </c>
      <c r="H4132">
        <v>1807111308</v>
      </c>
      <c r="I4132">
        <v>1974072257</v>
      </c>
      <c r="J4132">
        <v>1983877479</v>
      </c>
      <c r="K4132">
        <v>1688224240</v>
      </c>
      <c r="L4132">
        <v>953430244</v>
      </c>
      <c r="M4132">
        <v>447750516</v>
      </c>
      <c r="N4132">
        <v>325502457</v>
      </c>
      <c r="O4132">
        <v>257371634</v>
      </c>
      <c r="P4132">
        <v>117</v>
      </c>
      <c r="Q4132" t="s">
        <v>8610</v>
      </c>
    </row>
    <row r="4133" spans="1:17" x14ac:dyDescent="0.3">
      <c r="A4133" t="s">
        <v>4729</v>
      </c>
      <c r="B4133" t="str">
        <f>"300333"</f>
        <v>300333</v>
      </c>
      <c r="C4133" t="s">
        <v>8611</v>
      </c>
      <c r="D4133" t="s">
        <v>236</v>
      </c>
      <c r="F4133">
        <v>200327186</v>
      </c>
      <c r="G4133">
        <v>213764372</v>
      </c>
      <c r="H4133">
        <v>239673516</v>
      </c>
      <c r="I4133">
        <v>215843735</v>
      </c>
      <c r="J4133">
        <v>231099705</v>
      </c>
      <c r="K4133">
        <v>191567567</v>
      </c>
      <c r="L4133">
        <v>200143054</v>
      </c>
      <c r="M4133">
        <v>180525094</v>
      </c>
      <c r="N4133">
        <v>190109467</v>
      </c>
      <c r="O4133">
        <v>231261585</v>
      </c>
      <c r="P4133">
        <v>94</v>
      </c>
      <c r="Q4133" t="s">
        <v>8612</v>
      </c>
    </row>
    <row r="4134" spans="1:17" x14ac:dyDescent="0.3">
      <c r="A4134" t="s">
        <v>4729</v>
      </c>
      <c r="B4134" t="str">
        <f>"300334"</f>
        <v>300334</v>
      </c>
      <c r="C4134" t="s">
        <v>8613</v>
      </c>
      <c r="D4134" t="s">
        <v>33</v>
      </c>
      <c r="F4134">
        <v>473336155</v>
      </c>
      <c r="G4134">
        <v>502523636</v>
      </c>
      <c r="H4134">
        <v>516341745</v>
      </c>
      <c r="I4134">
        <v>686359698</v>
      </c>
      <c r="J4134">
        <v>633117254</v>
      </c>
      <c r="K4134">
        <v>749192435</v>
      </c>
      <c r="L4134">
        <v>604620370</v>
      </c>
      <c r="M4134">
        <v>524495476</v>
      </c>
      <c r="N4134">
        <v>381923413</v>
      </c>
      <c r="O4134">
        <v>290778006</v>
      </c>
      <c r="P4134">
        <v>80</v>
      </c>
      <c r="Q4134" t="s">
        <v>8614</v>
      </c>
    </row>
    <row r="4135" spans="1:17" x14ac:dyDescent="0.3">
      <c r="A4135" t="s">
        <v>4729</v>
      </c>
      <c r="B4135" t="str">
        <f>"300335"</f>
        <v>300335</v>
      </c>
      <c r="C4135" t="s">
        <v>8615</v>
      </c>
      <c r="D4135" t="s">
        <v>351</v>
      </c>
      <c r="F4135">
        <v>1249081804</v>
      </c>
      <c r="G4135">
        <v>1562624074</v>
      </c>
      <c r="H4135">
        <v>1460955401</v>
      </c>
      <c r="I4135">
        <v>1775599876</v>
      </c>
      <c r="J4135">
        <v>1920714675</v>
      </c>
      <c r="K4135">
        <v>1060661100</v>
      </c>
      <c r="L4135">
        <v>508915985</v>
      </c>
      <c r="M4135">
        <v>573345379</v>
      </c>
      <c r="N4135">
        <v>414906417</v>
      </c>
      <c r="O4135">
        <v>410303547</v>
      </c>
      <c r="P4135">
        <v>231</v>
      </c>
      <c r="Q4135" t="s">
        <v>8616</v>
      </c>
    </row>
    <row r="4136" spans="1:17" x14ac:dyDescent="0.3">
      <c r="A4136" t="s">
        <v>4729</v>
      </c>
      <c r="B4136" t="str">
        <f>"300336"</f>
        <v>300336</v>
      </c>
      <c r="C4136" t="s">
        <v>8617</v>
      </c>
      <c r="D4136" t="s">
        <v>5132</v>
      </c>
      <c r="F4136">
        <v>142441522</v>
      </c>
      <c r="G4136">
        <v>338856416</v>
      </c>
      <c r="H4136">
        <v>556053771</v>
      </c>
      <c r="I4136">
        <v>805824105</v>
      </c>
      <c r="J4136">
        <v>1233216104</v>
      </c>
      <c r="K4136">
        <v>1113047397</v>
      </c>
      <c r="L4136">
        <v>1026087421</v>
      </c>
      <c r="M4136">
        <v>620686273</v>
      </c>
      <c r="N4136">
        <v>481712435</v>
      </c>
      <c r="O4136">
        <v>386057084</v>
      </c>
      <c r="P4136">
        <v>98</v>
      </c>
      <c r="Q4136" t="s">
        <v>8618</v>
      </c>
    </row>
    <row r="4137" spans="1:17" x14ac:dyDescent="0.3">
      <c r="A4137" t="s">
        <v>4729</v>
      </c>
      <c r="B4137" t="str">
        <f>"300337"</f>
        <v>300337</v>
      </c>
      <c r="C4137" t="s">
        <v>8619</v>
      </c>
      <c r="D4137" t="s">
        <v>504</v>
      </c>
      <c r="F4137">
        <v>3195255933</v>
      </c>
      <c r="G4137">
        <v>2370484203</v>
      </c>
      <c r="H4137">
        <v>2024905608</v>
      </c>
      <c r="I4137">
        <v>1930318973</v>
      </c>
      <c r="J4137">
        <v>1989102562</v>
      </c>
      <c r="K4137">
        <v>1564897745</v>
      </c>
      <c r="L4137">
        <v>1360709046</v>
      </c>
      <c r="M4137">
        <v>1428709345</v>
      </c>
      <c r="N4137">
        <v>1570158559</v>
      </c>
      <c r="O4137">
        <v>1407250314</v>
      </c>
      <c r="P4137">
        <v>142</v>
      </c>
      <c r="Q4137" t="s">
        <v>8620</v>
      </c>
    </row>
    <row r="4138" spans="1:17" x14ac:dyDescent="0.3">
      <c r="A4138" t="s">
        <v>4729</v>
      </c>
      <c r="B4138" t="str">
        <f>"300338"</f>
        <v>300338</v>
      </c>
      <c r="C4138" t="s">
        <v>8621</v>
      </c>
      <c r="D4138" t="s">
        <v>1336</v>
      </c>
      <c r="F4138">
        <v>930830594</v>
      </c>
      <c r="G4138">
        <v>850157066</v>
      </c>
      <c r="H4138">
        <v>1489345076</v>
      </c>
      <c r="I4138">
        <v>1453901102</v>
      </c>
      <c r="J4138">
        <v>980739992</v>
      </c>
      <c r="K4138">
        <v>340924916</v>
      </c>
      <c r="L4138">
        <v>282478713</v>
      </c>
      <c r="M4138">
        <v>307390534</v>
      </c>
      <c r="N4138">
        <v>282374136</v>
      </c>
      <c r="O4138">
        <v>301820201</v>
      </c>
      <c r="P4138">
        <v>118</v>
      </c>
      <c r="Q4138" t="s">
        <v>8622</v>
      </c>
    </row>
    <row r="4139" spans="1:17" x14ac:dyDescent="0.3">
      <c r="A4139" t="s">
        <v>4729</v>
      </c>
      <c r="B4139" t="str">
        <f>"300339"</f>
        <v>300339</v>
      </c>
      <c r="C4139" t="s">
        <v>8623</v>
      </c>
      <c r="D4139" t="s">
        <v>316</v>
      </c>
      <c r="F4139">
        <v>2758867790</v>
      </c>
      <c r="G4139">
        <v>2480392684</v>
      </c>
      <c r="H4139">
        <v>2121173721</v>
      </c>
      <c r="I4139">
        <v>2037713936</v>
      </c>
      <c r="J4139">
        <v>1611974437</v>
      </c>
      <c r="K4139">
        <v>1314967805</v>
      </c>
      <c r="L4139">
        <v>1128583975</v>
      </c>
      <c r="M4139">
        <v>733234727</v>
      </c>
      <c r="N4139">
        <v>476797826</v>
      </c>
      <c r="O4139">
        <v>379535216</v>
      </c>
      <c r="P4139">
        <v>332</v>
      </c>
      <c r="Q4139" t="s">
        <v>8624</v>
      </c>
    </row>
    <row r="4140" spans="1:17" x14ac:dyDescent="0.3">
      <c r="A4140" t="s">
        <v>4729</v>
      </c>
      <c r="B4140" t="str">
        <f>"300340"</f>
        <v>300340</v>
      </c>
      <c r="C4140" t="s">
        <v>8625</v>
      </c>
      <c r="D4140" t="s">
        <v>1790</v>
      </c>
      <c r="F4140">
        <v>3330642471</v>
      </c>
      <c r="G4140">
        <v>1646469671</v>
      </c>
      <c r="H4140">
        <v>1839913630</v>
      </c>
      <c r="I4140">
        <v>2202287834</v>
      </c>
      <c r="J4140">
        <v>2060599657</v>
      </c>
      <c r="K4140">
        <v>786990824</v>
      </c>
      <c r="L4140">
        <v>391328211</v>
      </c>
      <c r="M4140">
        <v>389697553</v>
      </c>
      <c r="N4140">
        <v>379671826</v>
      </c>
      <c r="O4140">
        <v>527294788</v>
      </c>
      <c r="P4140">
        <v>96</v>
      </c>
      <c r="Q4140" t="s">
        <v>8626</v>
      </c>
    </row>
    <row r="4141" spans="1:17" x14ac:dyDescent="0.3">
      <c r="A4141" t="s">
        <v>4729</v>
      </c>
      <c r="B4141" t="str">
        <f>"300341"</f>
        <v>300341</v>
      </c>
      <c r="C4141" t="s">
        <v>8627</v>
      </c>
      <c r="D4141" t="s">
        <v>210</v>
      </c>
      <c r="F4141">
        <v>1464754513</v>
      </c>
      <c r="G4141">
        <v>1186600559</v>
      </c>
      <c r="H4141">
        <v>1118092930</v>
      </c>
      <c r="I4141">
        <v>978799885</v>
      </c>
      <c r="J4141">
        <v>795534210</v>
      </c>
      <c r="K4141">
        <v>731874211</v>
      </c>
      <c r="L4141">
        <v>714032572</v>
      </c>
      <c r="M4141">
        <v>305946562</v>
      </c>
      <c r="N4141">
        <v>315425539</v>
      </c>
      <c r="O4141">
        <v>291913866</v>
      </c>
      <c r="P4141">
        <v>142</v>
      </c>
      <c r="Q4141" t="s">
        <v>8628</v>
      </c>
    </row>
    <row r="4142" spans="1:17" x14ac:dyDescent="0.3">
      <c r="A4142" t="s">
        <v>4729</v>
      </c>
      <c r="B4142" t="str">
        <f>"300342"</f>
        <v>300342</v>
      </c>
      <c r="C4142" t="s">
        <v>8629</v>
      </c>
      <c r="D4142" t="s">
        <v>1253</v>
      </c>
      <c r="F4142">
        <v>1039148999</v>
      </c>
      <c r="G4142">
        <v>898386035</v>
      </c>
      <c r="H4142">
        <v>945337268</v>
      </c>
      <c r="I4142">
        <v>745747569</v>
      </c>
      <c r="J4142">
        <v>772973746</v>
      </c>
      <c r="K4142">
        <v>654480345</v>
      </c>
      <c r="L4142">
        <v>533773271</v>
      </c>
      <c r="M4142">
        <v>409174526</v>
      </c>
      <c r="N4142">
        <v>446582233</v>
      </c>
      <c r="O4142">
        <v>361500588</v>
      </c>
      <c r="P4142">
        <v>181</v>
      </c>
      <c r="Q4142" t="s">
        <v>8630</v>
      </c>
    </row>
    <row r="4143" spans="1:17" x14ac:dyDescent="0.3">
      <c r="A4143" t="s">
        <v>4729</v>
      </c>
      <c r="B4143" t="str">
        <f>"300343"</f>
        <v>300343</v>
      </c>
      <c r="C4143" t="s">
        <v>8631</v>
      </c>
      <c r="D4143" t="s">
        <v>207</v>
      </c>
      <c r="F4143">
        <v>1835098496</v>
      </c>
      <c r="G4143">
        <v>1738388036</v>
      </c>
      <c r="H4143">
        <v>3513747937</v>
      </c>
      <c r="I4143">
        <v>3599465997</v>
      </c>
      <c r="J4143">
        <v>2767571424</v>
      </c>
      <c r="K4143">
        <v>2330939607</v>
      </c>
      <c r="L4143">
        <v>964579215</v>
      </c>
      <c r="M4143">
        <v>832616142</v>
      </c>
      <c r="N4143">
        <v>498278058</v>
      </c>
      <c r="O4143">
        <v>425149262</v>
      </c>
      <c r="P4143">
        <v>155</v>
      </c>
      <c r="Q4143" t="s">
        <v>8632</v>
      </c>
    </row>
    <row r="4144" spans="1:17" x14ac:dyDescent="0.3">
      <c r="A4144" t="s">
        <v>4729</v>
      </c>
      <c r="B4144" t="str">
        <f>"300344"</f>
        <v>300344</v>
      </c>
      <c r="C4144" t="s">
        <v>8633</v>
      </c>
      <c r="D4144" t="s">
        <v>945</v>
      </c>
      <c r="F4144">
        <v>558500748</v>
      </c>
      <c r="G4144">
        <v>197707828</v>
      </c>
      <c r="H4144">
        <v>451873252</v>
      </c>
      <c r="I4144">
        <v>537096927</v>
      </c>
      <c r="J4144">
        <v>468842851</v>
      </c>
      <c r="K4144">
        <v>331798124</v>
      </c>
      <c r="L4144">
        <v>117361870</v>
      </c>
      <c r="M4144">
        <v>128413163</v>
      </c>
      <c r="N4144">
        <v>218163408</v>
      </c>
      <c r="O4144">
        <v>279437678</v>
      </c>
      <c r="P4144">
        <v>64</v>
      </c>
      <c r="Q4144" t="s">
        <v>8634</v>
      </c>
    </row>
    <row r="4145" spans="1:17" x14ac:dyDescent="0.3">
      <c r="A4145" t="s">
        <v>4729</v>
      </c>
      <c r="B4145" t="str">
        <f>"300345"</f>
        <v>300345</v>
      </c>
      <c r="C4145" t="s">
        <v>8635</v>
      </c>
      <c r="D4145" t="s">
        <v>404</v>
      </c>
      <c r="F4145">
        <v>157883983</v>
      </c>
      <c r="G4145">
        <v>149193400</v>
      </c>
      <c r="H4145">
        <v>123285949</v>
      </c>
      <c r="I4145">
        <v>104574832</v>
      </c>
      <c r="J4145">
        <v>151142967</v>
      </c>
      <c r="K4145">
        <v>198716066</v>
      </c>
      <c r="L4145">
        <v>231583900</v>
      </c>
      <c r="M4145">
        <v>213217432</v>
      </c>
      <c r="N4145">
        <v>191177280</v>
      </c>
      <c r="O4145">
        <v>236882897</v>
      </c>
      <c r="P4145">
        <v>53</v>
      </c>
      <c r="Q4145" t="s">
        <v>8636</v>
      </c>
    </row>
    <row r="4146" spans="1:17" x14ac:dyDescent="0.3">
      <c r="A4146" t="s">
        <v>4729</v>
      </c>
      <c r="B4146" t="str">
        <f>"300346"</f>
        <v>300346</v>
      </c>
      <c r="C4146" t="s">
        <v>8637</v>
      </c>
      <c r="D4146" t="s">
        <v>2408</v>
      </c>
      <c r="F4146">
        <v>984446342</v>
      </c>
      <c r="G4146">
        <v>594958532</v>
      </c>
      <c r="H4146">
        <v>321375774</v>
      </c>
      <c r="I4146">
        <v>228174901</v>
      </c>
      <c r="J4146">
        <v>177213496</v>
      </c>
      <c r="K4146">
        <v>101325461</v>
      </c>
      <c r="L4146">
        <v>120372270</v>
      </c>
      <c r="M4146">
        <v>149877964</v>
      </c>
      <c r="N4146">
        <v>135084353</v>
      </c>
      <c r="O4146">
        <v>177305667</v>
      </c>
      <c r="P4146">
        <v>447</v>
      </c>
      <c r="Q4146" t="s">
        <v>8638</v>
      </c>
    </row>
    <row r="4147" spans="1:17" x14ac:dyDescent="0.3">
      <c r="A4147" t="s">
        <v>4729</v>
      </c>
      <c r="B4147" t="str">
        <f>"300347"</f>
        <v>300347</v>
      </c>
      <c r="C4147" t="s">
        <v>8639</v>
      </c>
      <c r="D4147" t="s">
        <v>1461</v>
      </c>
      <c r="F4147">
        <v>5213538054</v>
      </c>
      <c r="G4147">
        <v>3192278505</v>
      </c>
      <c r="H4147">
        <v>2803309288</v>
      </c>
      <c r="I4147">
        <v>2300659707</v>
      </c>
      <c r="J4147">
        <v>1687033456</v>
      </c>
      <c r="K4147">
        <v>1174538203</v>
      </c>
      <c r="L4147">
        <v>956997682</v>
      </c>
      <c r="M4147">
        <v>624561658</v>
      </c>
      <c r="N4147">
        <v>336518890</v>
      </c>
      <c r="O4147">
        <v>254315148</v>
      </c>
      <c r="P4147">
        <v>3109</v>
      </c>
      <c r="Q4147" t="s">
        <v>8640</v>
      </c>
    </row>
    <row r="4148" spans="1:17" x14ac:dyDescent="0.3">
      <c r="A4148" t="s">
        <v>4729</v>
      </c>
      <c r="B4148" t="str">
        <f>"300348"</f>
        <v>300348</v>
      </c>
      <c r="C4148" t="s">
        <v>8641</v>
      </c>
      <c r="D4148" t="s">
        <v>945</v>
      </c>
      <c r="F4148">
        <v>1572018848</v>
      </c>
      <c r="G4148">
        <v>1550839809</v>
      </c>
      <c r="H4148">
        <v>1311125162</v>
      </c>
      <c r="I4148">
        <v>1087496803</v>
      </c>
      <c r="J4148">
        <v>879652256</v>
      </c>
      <c r="K4148">
        <v>650808858</v>
      </c>
      <c r="L4148">
        <v>436246053</v>
      </c>
      <c r="M4148">
        <v>249232971</v>
      </c>
      <c r="N4148">
        <v>177670653</v>
      </c>
      <c r="O4148">
        <v>165269683</v>
      </c>
      <c r="P4148">
        <v>364</v>
      </c>
      <c r="Q4148" t="s">
        <v>8642</v>
      </c>
    </row>
    <row r="4149" spans="1:17" x14ac:dyDescent="0.3">
      <c r="A4149" t="s">
        <v>4729</v>
      </c>
      <c r="B4149" t="str">
        <f>"300349"</f>
        <v>300349</v>
      </c>
      <c r="C4149" t="s">
        <v>8643</v>
      </c>
      <c r="D4149" t="s">
        <v>2566</v>
      </c>
      <c r="F4149">
        <v>2301160517</v>
      </c>
      <c r="G4149">
        <v>1934184018</v>
      </c>
      <c r="H4149">
        <v>1972125086</v>
      </c>
      <c r="I4149">
        <v>2039904330</v>
      </c>
      <c r="J4149">
        <v>1687545359</v>
      </c>
      <c r="K4149">
        <v>854251761</v>
      </c>
      <c r="L4149">
        <v>592699561</v>
      </c>
      <c r="M4149">
        <v>588869550</v>
      </c>
      <c r="N4149">
        <v>496188774</v>
      </c>
      <c r="O4149">
        <v>356173239</v>
      </c>
      <c r="P4149">
        <v>395</v>
      </c>
      <c r="Q4149" t="s">
        <v>8644</v>
      </c>
    </row>
    <row r="4150" spans="1:17" x14ac:dyDescent="0.3">
      <c r="A4150" t="s">
        <v>4729</v>
      </c>
      <c r="B4150" t="str">
        <f>"300350"</f>
        <v>300350</v>
      </c>
      <c r="C4150" t="s">
        <v>8645</v>
      </c>
      <c r="D4150" t="s">
        <v>3125</v>
      </c>
      <c r="F4150">
        <v>540539664</v>
      </c>
      <c r="G4150">
        <v>609104364</v>
      </c>
      <c r="H4150">
        <v>591305408</v>
      </c>
      <c r="I4150">
        <v>953971733</v>
      </c>
      <c r="J4150">
        <v>964123775</v>
      </c>
      <c r="K4150">
        <v>695683777</v>
      </c>
      <c r="L4150">
        <v>777067046</v>
      </c>
      <c r="M4150">
        <v>679706937</v>
      </c>
      <c r="N4150">
        <v>405034934</v>
      </c>
      <c r="O4150">
        <v>414892503</v>
      </c>
      <c r="P4150">
        <v>106</v>
      </c>
      <c r="Q4150" t="s">
        <v>8646</v>
      </c>
    </row>
    <row r="4151" spans="1:17" x14ac:dyDescent="0.3">
      <c r="A4151" t="s">
        <v>4729</v>
      </c>
      <c r="B4151" t="str">
        <f>"300351"</f>
        <v>300351</v>
      </c>
      <c r="C4151" t="s">
        <v>8647</v>
      </c>
      <c r="D4151" t="s">
        <v>1012</v>
      </c>
      <c r="F4151">
        <v>1149332316</v>
      </c>
      <c r="G4151">
        <v>1053695313</v>
      </c>
      <c r="H4151">
        <v>1080292797</v>
      </c>
      <c r="I4151">
        <v>1310268163</v>
      </c>
      <c r="J4151">
        <v>1270389772</v>
      </c>
      <c r="K4151">
        <v>958754300</v>
      </c>
      <c r="L4151">
        <v>511128439</v>
      </c>
      <c r="M4151">
        <v>384067450</v>
      </c>
      <c r="N4151">
        <v>224652536</v>
      </c>
      <c r="O4151">
        <v>158140481</v>
      </c>
      <c r="P4151">
        <v>234</v>
      </c>
      <c r="Q4151" t="s">
        <v>8648</v>
      </c>
    </row>
    <row r="4152" spans="1:17" x14ac:dyDescent="0.3">
      <c r="A4152" t="s">
        <v>4729</v>
      </c>
      <c r="B4152" t="str">
        <f>"300352"</f>
        <v>300352</v>
      </c>
      <c r="C4152" t="s">
        <v>8649</v>
      </c>
      <c r="D4152" t="s">
        <v>945</v>
      </c>
      <c r="F4152">
        <v>675153951</v>
      </c>
      <c r="G4152">
        <v>640823447</v>
      </c>
      <c r="H4152">
        <v>721982374</v>
      </c>
      <c r="I4152">
        <v>572400446</v>
      </c>
      <c r="J4152">
        <v>514852611</v>
      </c>
      <c r="K4152">
        <v>492299778</v>
      </c>
      <c r="L4152">
        <v>470015348</v>
      </c>
      <c r="M4152">
        <v>262733639</v>
      </c>
      <c r="N4152">
        <v>228204555</v>
      </c>
      <c r="O4152">
        <v>189957859</v>
      </c>
      <c r="P4152">
        <v>255</v>
      </c>
      <c r="Q4152" t="s">
        <v>8650</v>
      </c>
    </row>
    <row r="4153" spans="1:17" x14ac:dyDescent="0.3">
      <c r="A4153" t="s">
        <v>4729</v>
      </c>
      <c r="B4153" t="str">
        <f>"300353"</f>
        <v>300353</v>
      </c>
      <c r="C4153" t="s">
        <v>8651</v>
      </c>
      <c r="D4153" t="s">
        <v>595</v>
      </c>
      <c r="F4153">
        <v>941002773</v>
      </c>
      <c r="G4153">
        <v>534959996</v>
      </c>
      <c r="H4153">
        <v>815987278</v>
      </c>
      <c r="I4153">
        <v>954521595</v>
      </c>
      <c r="J4153">
        <v>821052048</v>
      </c>
      <c r="K4153">
        <v>661805588</v>
      </c>
      <c r="L4153">
        <v>402553197</v>
      </c>
      <c r="M4153">
        <v>241195021</v>
      </c>
      <c r="N4153">
        <v>174201269</v>
      </c>
      <c r="O4153">
        <v>164644289</v>
      </c>
      <c r="P4153">
        <v>3033</v>
      </c>
      <c r="Q4153" t="s">
        <v>8652</v>
      </c>
    </row>
    <row r="4154" spans="1:17" x14ac:dyDescent="0.3">
      <c r="A4154" t="s">
        <v>4729</v>
      </c>
      <c r="B4154" t="str">
        <f>"300354"</f>
        <v>300354</v>
      </c>
      <c r="C4154" t="s">
        <v>8653</v>
      </c>
      <c r="D4154" t="s">
        <v>2566</v>
      </c>
      <c r="F4154">
        <v>257042602</v>
      </c>
      <c r="G4154">
        <v>205268529</v>
      </c>
      <c r="H4154">
        <v>177743283</v>
      </c>
      <c r="I4154">
        <v>134196992</v>
      </c>
      <c r="J4154">
        <v>129488610</v>
      </c>
      <c r="K4154">
        <v>129805638</v>
      </c>
      <c r="L4154">
        <v>114193767</v>
      </c>
      <c r="M4154">
        <v>91228061</v>
      </c>
      <c r="N4154">
        <v>86864750</v>
      </c>
      <c r="O4154">
        <v>100281071</v>
      </c>
      <c r="P4154">
        <v>139</v>
      </c>
      <c r="Q4154" t="s">
        <v>8654</v>
      </c>
    </row>
    <row r="4155" spans="1:17" x14ac:dyDescent="0.3">
      <c r="A4155" t="s">
        <v>4729</v>
      </c>
      <c r="B4155" t="str">
        <f>"300355"</f>
        <v>300355</v>
      </c>
      <c r="C4155" t="s">
        <v>8655</v>
      </c>
      <c r="D4155" t="s">
        <v>2417</v>
      </c>
      <c r="F4155">
        <v>2911426895</v>
      </c>
      <c r="G4155">
        <v>2541794782</v>
      </c>
      <c r="H4155">
        <v>2851757001</v>
      </c>
      <c r="I4155">
        <v>3820534511</v>
      </c>
      <c r="J4155">
        <v>5578887956</v>
      </c>
      <c r="K4155">
        <v>2860506355</v>
      </c>
      <c r="L4155">
        <v>1768396482</v>
      </c>
      <c r="M4155">
        <v>1626143365</v>
      </c>
      <c r="N4155">
        <v>747057861</v>
      </c>
      <c r="O4155">
        <v>628001489</v>
      </c>
      <c r="P4155">
        <v>406</v>
      </c>
      <c r="Q4155" t="s">
        <v>8656</v>
      </c>
    </row>
    <row r="4156" spans="1:17" x14ac:dyDescent="0.3">
      <c r="A4156" t="s">
        <v>4729</v>
      </c>
      <c r="B4156" t="str">
        <f>"300356"</f>
        <v>300356</v>
      </c>
      <c r="C4156" t="s">
        <v>8657</v>
      </c>
      <c r="D4156" t="s">
        <v>2180</v>
      </c>
      <c r="F4156">
        <v>384182598</v>
      </c>
      <c r="G4156">
        <v>393017483</v>
      </c>
      <c r="H4156">
        <v>409098684</v>
      </c>
      <c r="I4156">
        <v>435931413</v>
      </c>
      <c r="J4156">
        <v>540224209</v>
      </c>
      <c r="K4156">
        <v>814298079</v>
      </c>
      <c r="L4156">
        <v>707673704</v>
      </c>
      <c r="M4156">
        <v>343346896</v>
      </c>
      <c r="N4156">
        <v>323440328</v>
      </c>
      <c r="O4156">
        <v>385898898</v>
      </c>
      <c r="P4156">
        <v>67</v>
      </c>
      <c r="Q4156" t="s">
        <v>8658</v>
      </c>
    </row>
    <row r="4157" spans="1:17" x14ac:dyDescent="0.3">
      <c r="A4157" t="s">
        <v>4729</v>
      </c>
      <c r="B4157" t="str">
        <f>"300357"</f>
        <v>300357</v>
      </c>
      <c r="C4157" t="s">
        <v>8659</v>
      </c>
      <c r="D4157" t="s">
        <v>1379</v>
      </c>
      <c r="F4157">
        <v>807691606</v>
      </c>
      <c r="G4157">
        <v>636208243</v>
      </c>
      <c r="H4157">
        <v>639352854</v>
      </c>
      <c r="I4157">
        <v>500744692</v>
      </c>
      <c r="J4157">
        <v>385576842</v>
      </c>
      <c r="K4157">
        <v>312085773</v>
      </c>
      <c r="L4157">
        <v>267105586</v>
      </c>
      <c r="M4157">
        <v>239511106</v>
      </c>
      <c r="N4157">
        <v>193609754</v>
      </c>
      <c r="O4157">
        <v>147517280</v>
      </c>
      <c r="P4157">
        <v>31266</v>
      </c>
      <c r="Q4157" t="s">
        <v>8660</v>
      </c>
    </row>
    <row r="4158" spans="1:17" x14ac:dyDescent="0.3">
      <c r="A4158" t="s">
        <v>4729</v>
      </c>
      <c r="B4158" t="str">
        <f>"300358"</f>
        <v>300358</v>
      </c>
      <c r="C4158" t="s">
        <v>8661</v>
      </c>
      <c r="D4158" t="s">
        <v>122</v>
      </c>
      <c r="F4158">
        <v>5259872952</v>
      </c>
      <c r="G4158">
        <v>3576213392</v>
      </c>
      <c r="H4158">
        <v>1915966174</v>
      </c>
      <c r="I4158">
        <v>1631790561</v>
      </c>
      <c r="J4158">
        <v>1280416134</v>
      </c>
      <c r="K4158">
        <v>975042976</v>
      </c>
      <c r="L4158">
        <v>974828683</v>
      </c>
      <c r="M4158">
        <v>1005189785</v>
      </c>
      <c r="N4158">
        <v>797205682</v>
      </c>
      <c r="O4158">
        <v>588699883</v>
      </c>
      <c r="P4158">
        <v>187</v>
      </c>
      <c r="Q4158" t="s">
        <v>8662</v>
      </c>
    </row>
    <row r="4159" spans="1:17" x14ac:dyDescent="0.3">
      <c r="A4159" t="s">
        <v>4729</v>
      </c>
      <c r="B4159" t="str">
        <f>"300359"</f>
        <v>300359</v>
      </c>
      <c r="C4159" t="s">
        <v>8663</v>
      </c>
      <c r="D4159" t="s">
        <v>1336</v>
      </c>
      <c r="F4159">
        <v>722165316</v>
      </c>
      <c r="G4159">
        <v>705501351</v>
      </c>
      <c r="H4159">
        <v>717695781</v>
      </c>
      <c r="I4159">
        <v>839676332</v>
      </c>
      <c r="J4159">
        <v>1031113574</v>
      </c>
      <c r="K4159">
        <v>977161101</v>
      </c>
      <c r="L4159">
        <v>439018500</v>
      </c>
      <c r="M4159">
        <v>192573766</v>
      </c>
      <c r="N4159">
        <v>172255373</v>
      </c>
      <c r="O4159">
        <v>156597326</v>
      </c>
      <c r="P4159">
        <v>166</v>
      </c>
      <c r="Q4159" t="s">
        <v>8664</v>
      </c>
    </row>
    <row r="4160" spans="1:17" x14ac:dyDescent="0.3">
      <c r="A4160" t="s">
        <v>4729</v>
      </c>
      <c r="B4160" t="str">
        <f>"300360"</f>
        <v>300360</v>
      </c>
      <c r="C4160" t="s">
        <v>8665</v>
      </c>
      <c r="D4160" t="s">
        <v>2180</v>
      </c>
      <c r="F4160">
        <v>1210211360</v>
      </c>
      <c r="G4160">
        <v>1096981157</v>
      </c>
      <c r="H4160">
        <v>892390589</v>
      </c>
      <c r="I4160">
        <v>871902385</v>
      </c>
      <c r="J4160">
        <v>973161987</v>
      </c>
      <c r="K4160">
        <v>1193997801</v>
      </c>
      <c r="L4160">
        <v>1086836363</v>
      </c>
      <c r="M4160">
        <v>988325039</v>
      </c>
      <c r="N4160">
        <v>766170531</v>
      </c>
      <c r="O4160">
        <v>717884809</v>
      </c>
      <c r="P4160">
        <v>958</v>
      </c>
      <c r="Q4160" t="s">
        <v>8666</v>
      </c>
    </row>
    <row r="4161" spans="1:17" x14ac:dyDescent="0.3">
      <c r="A4161" t="s">
        <v>4729</v>
      </c>
      <c r="B4161" t="str">
        <f>"300361"</f>
        <v>300361</v>
      </c>
      <c r="C4161" t="s">
        <v>7298</v>
      </c>
      <c r="D4161" t="s">
        <v>143</v>
      </c>
      <c r="P4161">
        <v>8</v>
      </c>
      <c r="Q4161" t="s">
        <v>8667</v>
      </c>
    </row>
    <row r="4162" spans="1:17" x14ac:dyDescent="0.3">
      <c r="A4162" t="s">
        <v>4729</v>
      </c>
      <c r="B4162" t="str">
        <f>"300362"</f>
        <v>300362</v>
      </c>
      <c r="C4162" t="s">
        <v>8668</v>
      </c>
      <c r="G4162">
        <v>413697397</v>
      </c>
      <c r="H4162">
        <v>409925044</v>
      </c>
      <c r="I4162">
        <v>350830020</v>
      </c>
      <c r="J4162">
        <v>939987375</v>
      </c>
      <c r="K4162">
        <v>1073868561</v>
      </c>
      <c r="L4162">
        <v>493790412</v>
      </c>
      <c r="M4162">
        <v>399324016</v>
      </c>
      <c r="N4162">
        <v>355918519</v>
      </c>
      <c r="O4162">
        <v>340780215</v>
      </c>
      <c r="P4162">
        <v>87</v>
      </c>
      <c r="Q4162" t="s">
        <v>8669</v>
      </c>
    </row>
    <row r="4163" spans="1:17" x14ac:dyDescent="0.3">
      <c r="A4163" t="s">
        <v>4729</v>
      </c>
      <c r="B4163" t="str">
        <f>"300363"</f>
        <v>300363</v>
      </c>
      <c r="C4163" t="s">
        <v>8670</v>
      </c>
      <c r="D4163" t="s">
        <v>1461</v>
      </c>
      <c r="F4163">
        <v>3105149630</v>
      </c>
      <c r="G4163">
        <v>2071875422</v>
      </c>
      <c r="H4163">
        <v>1551298762</v>
      </c>
      <c r="I4163">
        <v>1184863256</v>
      </c>
      <c r="J4163">
        <v>1184088767</v>
      </c>
      <c r="K4163">
        <v>1326634032</v>
      </c>
      <c r="L4163">
        <v>1021209221</v>
      </c>
      <c r="M4163">
        <v>987255906</v>
      </c>
      <c r="N4163">
        <v>734360859</v>
      </c>
      <c r="O4163">
        <v>689879030</v>
      </c>
      <c r="P4163">
        <v>539</v>
      </c>
      <c r="Q4163" t="s">
        <v>8671</v>
      </c>
    </row>
    <row r="4164" spans="1:17" x14ac:dyDescent="0.3">
      <c r="A4164" t="s">
        <v>4729</v>
      </c>
      <c r="B4164" t="str">
        <f>"300364"</f>
        <v>300364</v>
      </c>
      <c r="C4164" t="s">
        <v>8672</v>
      </c>
      <c r="D4164" t="s">
        <v>525</v>
      </c>
      <c r="F4164">
        <v>1188852605</v>
      </c>
      <c r="G4164">
        <v>975901261</v>
      </c>
      <c r="H4164">
        <v>705377024</v>
      </c>
      <c r="I4164">
        <v>885489948</v>
      </c>
      <c r="J4164">
        <v>716779582</v>
      </c>
      <c r="K4164">
        <v>601515607</v>
      </c>
      <c r="L4164">
        <v>390246186</v>
      </c>
      <c r="M4164">
        <v>269738063</v>
      </c>
      <c r="N4164">
        <v>220336179</v>
      </c>
      <c r="O4164">
        <v>183869585</v>
      </c>
      <c r="P4164">
        <v>153</v>
      </c>
      <c r="Q4164" t="s">
        <v>8673</v>
      </c>
    </row>
    <row r="4165" spans="1:17" x14ac:dyDescent="0.3">
      <c r="A4165" t="s">
        <v>4729</v>
      </c>
      <c r="B4165" t="str">
        <f>"300365"</f>
        <v>300365</v>
      </c>
      <c r="C4165" t="s">
        <v>8674</v>
      </c>
      <c r="D4165" t="s">
        <v>945</v>
      </c>
      <c r="F4165">
        <v>872176767</v>
      </c>
      <c r="G4165">
        <v>965315952</v>
      </c>
      <c r="H4165">
        <v>1123172357</v>
      </c>
      <c r="I4165">
        <v>1183922148</v>
      </c>
      <c r="J4165">
        <v>855747514</v>
      </c>
      <c r="K4165">
        <v>603302731</v>
      </c>
      <c r="L4165">
        <v>391785865</v>
      </c>
      <c r="M4165">
        <v>227637712</v>
      </c>
      <c r="N4165">
        <v>198227846</v>
      </c>
      <c r="O4165">
        <v>164770401</v>
      </c>
      <c r="P4165">
        <v>334</v>
      </c>
      <c r="Q4165" t="s">
        <v>8675</v>
      </c>
    </row>
    <row r="4166" spans="1:17" x14ac:dyDescent="0.3">
      <c r="A4166" t="s">
        <v>4729</v>
      </c>
      <c r="B4166" t="str">
        <f>"300366"</f>
        <v>300366</v>
      </c>
      <c r="C4166" t="s">
        <v>8676</v>
      </c>
      <c r="D4166" t="s">
        <v>945</v>
      </c>
      <c r="F4166">
        <v>1866876728</v>
      </c>
      <c r="G4166">
        <v>2006470834</v>
      </c>
      <c r="H4166">
        <v>1971371759</v>
      </c>
      <c r="I4166">
        <v>1605097155</v>
      </c>
      <c r="J4166">
        <v>1609416889</v>
      </c>
      <c r="K4166">
        <v>1113521983</v>
      </c>
      <c r="L4166">
        <v>620732590</v>
      </c>
      <c r="M4166">
        <v>278827195</v>
      </c>
      <c r="N4166">
        <v>279767378</v>
      </c>
      <c r="O4166">
        <v>258527712</v>
      </c>
      <c r="P4166">
        <v>222</v>
      </c>
      <c r="Q4166" t="s">
        <v>8677</v>
      </c>
    </row>
    <row r="4167" spans="1:17" x14ac:dyDescent="0.3">
      <c r="A4167" t="s">
        <v>4729</v>
      </c>
      <c r="B4167" t="str">
        <f>"300367"</f>
        <v>300367</v>
      </c>
      <c r="C4167" t="s">
        <v>8678</v>
      </c>
      <c r="D4167" t="s">
        <v>2980</v>
      </c>
      <c r="F4167">
        <v>109246536</v>
      </c>
      <c r="G4167">
        <v>276403033</v>
      </c>
      <c r="H4167">
        <v>353502239</v>
      </c>
      <c r="I4167">
        <v>2247336257</v>
      </c>
      <c r="J4167">
        <v>1854722864</v>
      </c>
      <c r="K4167">
        <v>1481246893</v>
      </c>
      <c r="L4167">
        <v>1016782580</v>
      </c>
      <c r="M4167">
        <v>639807036</v>
      </c>
      <c r="N4167">
        <v>436781332</v>
      </c>
      <c r="O4167">
        <v>305281827</v>
      </c>
      <c r="P4167">
        <v>196</v>
      </c>
      <c r="Q4167" t="s">
        <v>8679</v>
      </c>
    </row>
    <row r="4168" spans="1:17" x14ac:dyDescent="0.3">
      <c r="A4168" t="s">
        <v>4729</v>
      </c>
      <c r="B4168" t="str">
        <f>"300368"</f>
        <v>300368</v>
      </c>
      <c r="C4168" t="s">
        <v>8680</v>
      </c>
      <c r="D4168" t="s">
        <v>236</v>
      </c>
      <c r="F4168">
        <v>1592546855</v>
      </c>
      <c r="G4168">
        <v>1359149249</v>
      </c>
      <c r="H4168">
        <v>846521154</v>
      </c>
      <c r="I4168">
        <v>827266152</v>
      </c>
      <c r="J4168">
        <v>621373955</v>
      </c>
      <c r="K4168">
        <v>676019042</v>
      </c>
      <c r="L4168">
        <v>508923077</v>
      </c>
      <c r="M4168">
        <v>304984975</v>
      </c>
      <c r="N4168">
        <v>206657149</v>
      </c>
      <c r="O4168">
        <v>194424419</v>
      </c>
      <c r="P4168">
        <v>119</v>
      </c>
      <c r="Q4168" t="s">
        <v>8681</v>
      </c>
    </row>
    <row r="4169" spans="1:17" x14ac:dyDescent="0.3">
      <c r="A4169" t="s">
        <v>4729</v>
      </c>
      <c r="B4169" t="str">
        <f>"300369"</f>
        <v>300369</v>
      </c>
      <c r="C4169" t="s">
        <v>8682</v>
      </c>
      <c r="D4169" t="s">
        <v>1189</v>
      </c>
      <c r="F4169">
        <v>2608995096</v>
      </c>
      <c r="G4169">
        <v>2010044336</v>
      </c>
      <c r="H4169">
        <v>1671091025</v>
      </c>
      <c r="I4169">
        <v>1345040751</v>
      </c>
      <c r="J4169">
        <v>1255110707</v>
      </c>
      <c r="K4169">
        <v>1090693867</v>
      </c>
      <c r="L4169">
        <v>877664817</v>
      </c>
      <c r="M4169">
        <v>702668198</v>
      </c>
      <c r="N4169">
        <v>623045880</v>
      </c>
      <c r="O4169">
        <v>527221798</v>
      </c>
      <c r="P4169">
        <v>418</v>
      </c>
      <c r="Q4169" t="s">
        <v>8683</v>
      </c>
    </row>
    <row r="4170" spans="1:17" x14ac:dyDescent="0.3">
      <c r="A4170" t="s">
        <v>4729</v>
      </c>
      <c r="B4170" t="str">
        <f>"300370"</f>
        <v>300370</v>
      </c>
      <c r="C4170" t="s">
        <v>8684</v>
      </c>
      <c r="D4170" t="s">
        <v>2566</v>
      </c>
      <c r="F4170">
        <v>559385287</v>
      </c>
      <c r="G4170">
        <v>633022000</v>
      </c>
      <c r="H4170">
        <v>1255875228</v>
      </c>
      <c r="I4170">
        <v>1371045013</v>
      </c>
      <c r="J4170">
        <v>1766370972</v>
      </c>
      <c r="K4170">
        <v>934647477</v>
      </c>
      <c r="L4170">
        <v>547647049</v>
      </c>
      <c r="M4170">
        <v>428391780</v>
      </c>
      <c r="N4170">
        <v>337790943</v>
      </c>
      <c r="O4170">
        <v>259799968</v>
      </c>
      <c r="P4170">
        <v>103</v>
      </c>
      <c r="Q4170" t="s">
        <v>8685</v>
      </c>
    </row>
    <row r="4171" spans="1:17" x14ac:dyDescent="0.3">
      <c r="A4171" t="s">
        <v>4729</v>
      </c>
      <c r="B4171" t="str">
        <f>"300371"</f>
        <v>300371</v>
      </c>
      <c r="C4171" t="s">
        <v>8686</v>
      </c>
      <c r="D4171" t="s">
        <v>2566</v>
      </c>
      <c r="F4171">
        <v>523536484</v>
      </c>
      <c r="G4171">
        <v>425210341</v>
      </c>
      <c r="H4171">
        <v>360263748</v>
      </c>
      <c r="I4171">
        <v>279765365</v>
      </c>
      <c r="J4171">
        <v>246668974</v>
      </c>
      <c r="K4171">
        <v>213661564</v>
      </c>
      <c r="L4171">
        <v>212499136</v>
      </c>
      <c r="M4171">
        <v>201751411</v>
      </c>
      <c r="N4171">
        <v>183331886</v>
      </c>
      <c r="O4171">
        <v>142585017</v>
      </c>
      <c r="P4171">
        <v>288</v>
      </c>
      <c r="Q4171" t="s">
        <v>8687</v>
      </c>
    </row>
    <row r="4172" spans="1:17" x14ac:dyDescent="0.3">
      <c r="A4172" t="s">
        <v>4729</v>
      </c>
      <c r="B4172" t="str">
        <f>"300372"</f>
        <v>300372</v>
      </c>
      <c r="C4172" t="s">
        <v>8688</v>
      </c>
      <c r="K4172">
        <v>141274700</v>
      </c>
      <c r="L4172">
        <v>372311930.94</v>
      </c>
      <c r="M4172">
        <v>419011080.06</v>
      </c>
      <c r="N4172">
        <v>473467534.44999999</v>
      </c>
      <c r="O4172">
        <v>461545782.27999997</v>
      </c>
      <c r="P4172">
        <v>5</v>
      </c>
      <c r="Q4172" t="s">
        <v>8689</v>
      </c>
    </row>
    <row r="4173" spans="1:17" x14ac:dyDescent="0.3">
      <c r="A4173" t="s">
        <v>4729</v>
      </c>
      <c r="B4173" t="str">
        <f>"300373"</f>
        <v>300373</v>
      </c>
      <c r="C4173" t="s">
        <v>8690</v>
      </c>
      <c r="D4173" t="s">
        <v>795</v>
      </c>
      <c r="F4173">
        <v>4396593538</v>
      </c>
      <c r="G4173">
        <v>2616972732</v>
      </c>
      <c r="H4173">
        <v>2007075029</v>
      </c>
      <c r="I4173">
        <v>1851783480</v>
      </c>
      <c r="J4173">
        <v>1469508390</v>
      </c>
      <c r="K4173">
        <v>1190162835</v>
      </c>
      <c r="L4173">
        <v>833893445</v>
      </c>
      <c r="M4173">
        <v>647811831</v>
      </c>
      <c r="N4173">
        <v>530057104</v>
      </c>
      <c r="O4173">
        <v>454188110</v>
      </c>
      <c r="P4173">
        <v>4304</v>
      </c>
      <c r="Q4173" t="s">
        <v>8691</v>
      </c>
    </row>
    <row r="4174" spans="1:17" x14ac:dyDescent="0.3">
      <c r="A4174" t="s">
        <v>4729</v>
      </c>
      <c r="B4174" t="str">
        <f>"300374"</f>
        <v>300374</v>
      </c>
      <c r="C4174" t="s">
        <v>8692</v>
      </c>
      <c r="D4174" t="s">
        <v>5922</v>
      </c>
      <c r="F4174">
        <v>422397820</v>
      </c>
      <c r="G4174">
        <v>991428264</v>
      </c>
      <c r="H4174">
        <v>954134727</v>
      </c>
      <c r="I4174">
        <v>770850448</v>
      </c>
      <c r="J4174">
        <v>1066590284</v>
      </c>
      <c r="K4174">
        <v>829676427</v>
      </c>
      <c r="L4174">
        <v>450660218</v>
      </c>
      <c r="M4174">
        <v>415289985</v>
      </c>
      <c r="N4174">
        <v>355556093</v>
      </c>
      <c r="O4174">
        <v>299386145</v>
      </c>
      <c r="P4174">
        <v>61</v>
      </c>
      <c r="Q4174" t="s">
        <v>8693</v>
      </c>
    </row>
    <row r="4175" spans="1:17" x14ac:dyDescent="0.3">
      <c r="A4175" t="s">
        <v>4729</v>
      </c>
      <c r="B4175" t="str">
        <f>"300375"</f>
        <v>300375</v>
      </c>
      <c r="C4175" t="s">
        <v>8694</v>
      </c>
      <c r="D4175" t="s">
        <v>348</v>
      </c>
      <c r="F4175">
        <v>1656872325</v>
      </c>
      <c r="G4175">
        <v>1675061741</v>
      </c>
      <c r="H4175">
        <v>1600992154</v>
      </c>
      <c r="I4175">
        <v>1458218971</v>
      </c>
      <c r="J4175">
        <v>1142786770</v>
      </c>
      <c r="K4175">
        <v>1087838513</v>
      </c>
      <c r="L4175">
        <v>985322098</v>
      </c>
      <c r="M4175">
        <v>1099154242</v>
      </c>
      <c r="N4175">
        <v>1003513502</v>
      </c>
      <c r="O4175">
        <v>760554893</v>
      </c>
      <c r="P4175">
        <v>99</v>
      </c>
      <c r="Q4175" t="s">
        <v>8695</v>
      </c>
    </row>
    <row r="4176" spans="1:17" x14ac:dyDescent="0.3">
      <c r="A4176" t="s">
        <v>4729</v>
      </c>
      <c r="B4176" t="str">
        <f>"300376"</f>
        <v>300376</v>
      </c>
      <c r="C4176" t="s">
        <v>8696</v>
      </c>
      <c r="D4176" t="s">
        <v>880</v>
      </c>
      <c r="F4176">
        <v>4297004779</v>
      </c>
      <c r="G4176">
        <v>4170812857</v>
      </c>
      <c r="H4176">
        <v>3873497859</v>
      </c>
      <c r="I4176">
        <v>4652053985</v>
      </c>
      <c r="J4176">
        <v>7317580006</v>
      </c>
      <c r="K4176">
        <v>5245363789</v>
      </c>
      <c r="L4176">
        <v>3682385136</v>
      </c>
      <c r="M4176">
        <v>1969085429</v>
      </c>
      <c r="N4176">
        <v>1347865487</v>
      </c>
      <c r="O4176">
        <v>982872014</v>
      </c>
      <c r="P4176">
        <v>849</v>
      </c>
      <c r="Q4176" t="s">
        <v>8697</v>
      </c>
    </row>
    <row r="4177" spans="1:17" x14ac:dyDescent="0.3">
      <c r="A4177" t="s">
        <v>4729</v>
      </c>
      <c r="B4177" t="str">
        <f>"300377"</f>
        <v>300377</v>
      </c>
      <c r="C4177" t="s">
        <v>8698</v>
      </c>
      <c r="D4177" t="s">
        <v>945</v>
      </c>
      <c r="F4177">
        <v>1029890830</v>
      </c>
      <c r="G4177">
        <v>837770539</v>
      </c>
      <c r="H4177">
        <v>655579978</v>
      </c>
      <c r="I4177">
        <v>639100494</v>
      </c>
      <c r="J4177">
        <v>537017966</v>
      </c>
      <c r="K4177">
        <v>350808371</v>
      </c>
      <c r="L4177">
        <v>250105175</v>
      </c>
      <c r="M4177">
        <v>200037321</v>
      </c>
      <c r="N4177">
        <v>168207620</v>
      </c>
      <c r="O4177">
        <v>143916993</v>
      </c>
      <c r="P4177">
        <v>3125</v>
      </c>
      <c r="Q4177" t="s">
        <v>8699</v>
      </c>
    </row>
    <row r="4178" spans="1:17" x14ac:dyDescent="0.3">
      <c r="A4178" t="s">
        <v>4729</v>
      </c>
      <c r="B4178" t="str">
        <f>"300378"</f>
        <v>300378</v>
      </c>
      <c r="C4178" t="s">
        <v>8700</v>
      </c>
      <c r="D4178" t="s">
        <v>1189</v>
      </c>
      <c r="F4178">
        <v>1788139320</v>
      </c>
      <c r="G4178">
        <v>1496085349</v>
      </c>
      <c r="H4178">
        <v>1466718147</v>
      </c>
      <c r="I4178">
        <v>1341521548</v>
      </c>
      <c r="J4178">
        <v>1215980531</v>
      </c>
      <c r="K4178">
        <v>1140012842</v>
      </c>
      <c r="L4178">
        <v>1020116619</v>
      </c>
      <c r="M4178">
        <v>1053186652</v>
      </c>
      <c r="N4178">
        <v>1059267598</v>
      </c>
      <c r="O4178">
        <v>995011612</v>
      </c>
      <c r="P4178">
        <v>195</v>
      </c>
      <c r="Q4178" t="s">
        <v>8701</v>
      </c>
    </row>
    <row r="4179" spans="1:17" x14ac:dyDescent="0.3">
      <c r="A4179" t="s">
        <v>4729</v>
      </c>
      <c r="B4179" t="str">
        <f>"300379"</f>
        <v>300379</v>
      </c>
      <c r="C4179" t="s">
        <v>8702</v>
      </c>
      <c r="D4179" t="s">
        <v>945</v>
      </c>
      <c r="F4179">
        <v>863160675</v>
      </c>
      <c r="G4179">
        <v>640337779</v>
      </c>
      <c r="H4179">
        <v>499969904</v>
      </c>
      <c r="I4179">
        <v>372052345</v>
      </c>
      <c r="J4179">
        <v>292786400</v>
      </c>
      <c r="K4179">
        <v>325397640</v>
      </c>
      <c r="L4179">
        <v>237277215</v>
      </c>
      <c r="M4179">
        <v>194137638</v>
      </c>
      <c r="N4179">
        <v>180212252</v>
      </c>
      <c r="O4179">
        <v>154996242</v>
      </c>
      <c r="P4179">
        <v>397</v>
      </c>
      <c r="Q4179" t="s">
        <v>8703</v>
      </c>
    </row>
    <row r="4180" spans="1:17" x14ac:dyDescent="0.3">
      <c r="A4180" t="s">
        <v>4729</v>
      </c>
      <c r="B4180" t="str">
        <f>"300380"</f>
        <v>300380</v>
      </c>
      <c r="C4180" t="s">
        <v>8704</v>
      </c>
      <c r="D4180" t="s">
        <v>945</v>
      </c>
      <c r="F4180">
        <v>755179963</v>
      </c>
      <c r="G4180">
        <v>660948844</v>
      </c>
      <c r="H4180">
        <v>646796515</v>
      </c>
      <c r="I4180">
        <v>547136457</v>
      </c>
      <c r="J4180">
        <v>513570969</v>
      </c>
      <c r="K4180">
        <v>410055134</v>
      </c>
      <c r="L4180">
        <v>303251871</v>
      </c>
      <c r="M4180">
        <v>220034640</v>
      </c>
      <c r="N4180">
        <v>204706918</v>
      </c>
      <c r="O4180">
        <v>155218978</v>
      </c>
      <c r="P4180">
        <v>85</v>
      </c>
      <c r="Q4180" t="s">
        <v>8705</v>
      </c>
    </row>
    <row r="4181" spans="1:17" x14ac:dyDescent="0.3">
      <c r="A4181" t="s">
        <v>4729</v>
      </c>
      <c r="B4181" t="str">
        <f>"300381"</f>
        <v>300381</v>
      </c>
      <c r="C4181" t="s">
        <v>8706</v>
      </c>
      <c r="D4181" t="s">
        <v>496</v>
      </c>
      <c r="F4181">
        <v>1892160336</v>
      </c>
      <c r="G4181">
        <v>1914764459</v>
      </c>
      <c r="H4181">
        <v>2048133404</v>
      </c>
      <c r="I4181">
        <v>1768167808</v>
      </c>
      <c r="J4181">
        <v>1499263323</v>
      </c>
      <c r="K4181">
        <v>1512440992</v>
      </c>
      <c r="L4181">
        <v>703472718</v>
      </c>
      <c r="M4181">
        <v>359816415</v>
      </c>
      <c r="N4181">
        <v>359159329</v>
      </c>
      <c r="O4181">
        <v>337425698</v>
      </c>
      <c r="P4181">
        <v>160</v>
      </c>
      <c r="Q4181" t="s">
        <v>8707</v>
      </c>
    </row>
    <row r="4182" spans="1:17" x14ac:dyDescent="0.3">
      <c r="A4182" t="s">
        <v>4729</v>
      </c>
      <c r="B4182" t="str">
        <f>"300382"</f>
        <v>300382</v>
      </c>
      <c r="C4182" t="s">
        <v>8708</v>
      </c>
      <c r="D4182" t="s">
        <v>741</v>
      </c>
      <c r="F4182">
        <v>1003491521</v>
      </c>
      <c r="G4182">
        <v>882865572</v>
      </c>
      <c r="H4182">
        <v>791816676</v>
      </c>
      <c r="I4182">
        <v>739366092</v>
      </c>
      <c r="J4182">
        <v>548578226</v>
      </c>
      <c r="K4182">
        <v>388454274</v>
      </c>
      <c r="L4182">
        <v>348331629</v>
      </c>
      <c r="M4182">
        <v>292069710</v>
      </c>
      <c r="N4182">
        <v>321981256</v>
      </c>
      <c r="O4182">
        <v>250752039</v>
      </c>
      <c r="P4182">
        <v>182</v>
      </c>
      <c r="Q4182" t="s">
        <v>8709</v>
      </c>
    </row>
    <row r="4183" spans="1:17" x14ac:dyDescent="0.3">
      <c r="A4183" t="s">
        <v>4729</v>
      </c>
      <c r="B4183" t="str">
        <f>"300383"</f>
        <v>300383</v>
      </c>
      <c r="C4183" t="s">
        <v>8710</v>
      </c>
      <c r="D4183" t="s">
        <v>316</v>
      </c>
      <c r="F4183">
        <v>7699883084</v>
      </c>
      <c r="G4183">
        <v>7476152000</v>
      </c>
      <c r="H4183">
        <v>7097172610</v>
      </c>
      <c r="I4183">
        <v>6023164541</v>
      </c>
      <c r="J4183">
        <v>4077168685</v>
      </c>
      <c r="K4183">
        <v>2317626641</v>
      </c>
      <c r="L4183">
        <v>591530413</v>
      </c>
      <c r="M4183">
        <v>434543130</v>
      </c>
      <c r="N4183">
        <v>308149552</v>
      </c>
      <c r="O4183">
        <v>242229505</v>
      </c>
      <c r="P4183">
        <v>2115</v>
      </c>
      <c r="Q4183" t="s">
        <v>8711</v>
      </c>
    </row>
    <row r="4184" spans="1:17" x14ac:dyDescent="0.3">
      <c r="A4184" t="s">
        <v>4729</v>
      </c>
      <c r="B4184" t="str">
        <f>"300384"</f>
        <v>300384</v>
      </c>
      <c r="C4184" t="s">
        <v>8712</v>
      </c>
      <c r="D4184" t="s">
        <v>2025</v>
      </c>
      <c r="F4184">
        <v>840427231</v>
      </c>
      <c r="G4184">
        <v>875401841</v>
      </c>
      <c r="H4184">
        <v>841115469</v>
      </c>
      <c r="I4184">
        <v>619540154</v>
      </c>
      <c r="J4184">
        <v>293225560</v>
      </c>
      <c r="K4184">
        <v>247362312</v>
      </c>
      <c r="L4184">
        <v>375606760</v>
      </c>
      <c r="M4184">
        <v>417782526</v>
      </c>
      <c r="N4184">
        <v>345743819</v>
      </c>
      <c r="O4184">
        <v>283705965</v>
      </c>
      <c r="P4184">
        <v>164</v>
      </c>
      <c r="Q4184" t="s">
        <v>8713</v>
      </c>
    </row>
    <row r="4185" spans="1:17" x14ac:dyDescent="0.3">
      <c r="A4185" t="s">
        <v>4729</v>
      </c>
      <c r="B4185" t="str">
        <f>"300385"</f>
        <v>300385</v>
      </c>
      <c r="C4185" t="s">
        <v>8714</v>
      </c>
      <c r="D4185" t="s">
        <v>663</v>
      </c>
      <c r="F4185">
        <v>1812493846</v>
      </c>
      <c r="G4185">
        <v>1487949564</v>
      </c>
      <c r="H4185">
        <v>1242529678</v>
      </c>
      <c r="I4185">
        <v>959725568</v>
      </c>
      <c r="J4185">
        <v>818035386</v>
      </c>
      <c r="K4185">
        <v>696323054</v>
      </c>
      <c r="L4185">
        <v>579539440</v>
      </c>
      <c r="M4185">
        <v>419686117</v>
      </c>
      <c r="N4185">
        <v>415191441</v>
      </c>
      <c r="O4185">
        <v>382813822</v>
      </c>
      <c r="P4185">
        <v>92</v>
      </c>
      <c r="Q4185" t="s">
        <v>8715</v>
      </c>
    </row>
    <row r="4186" spans="1:17" x14ac:dyDescent="0.3">
      <c r="A4186" t="s">
        <v>4729</v>
      </c>
      <c r="B4186" t="str">
        <f>"300386"</f>
        <v>300386</v>
      </c>
      <c r="C4186" t="s">
        <v>8716</v>
      </c>
      <c r="D4186" t="s">
        <v>236</v>
      </c>
      <c r="F4186">
        <v>779305236</v>
      </c>
      <c r="G4186">
        <v>898489703</v>
      </c>
      <c r="H4186">
        <v>939620454</v>
      </c>
      <c r="I4186">
        <v>1071782405</v>
      </c>
      <c r="J4186">
        <v>1103048519</v>
      </c>
      <c r="K4186">
        <v>889431946</v>
      </c>
      <c r="L4186">
        <v>911596080</v>
      </c>
      <c r="M4186">
        <v>1080430838</v>
      </c>
      <c r="N4186">
        <v>845824491</v>
      </c>
      <c r="O4186">
        <v>605049151</v>
      </c>
      <c r="P4186">
        <v>188</v>
      </c>
      <c r="Q4186" t="s">
        <v>8717</v>
      </c>
    </row>
    <row r="4187" spans="1:17" x14ac:dyDescent="0.3">
      <c r="A4187" t="s">
        <v>4729</v>
      </c>
      <c r="B4187" t="str">
        <f>"300387"</f>
        <v>300387</v>
      </c>
      <c r="C4187" t="s">
        <v>8718</v>
      </c>
      <c r="D4187" t="s">
        <v>5562</v>
      </c>
      <c r="F4187">
        <v>683004666</v>
      </c>
      <c r="G4187">
        <v>645426216</v>
      </c>
      <c r="H4187">
        <v>582026992</v>
      </c>
      <c r="I4187">
        <v>576648824</v>
      </c>
      <c r="J4187">
        <v>530044623</v>
      </c>
      <c r="K4187">
        <v>496919809</v>
      </c>
      <c r="L4187">
        <v>392347204</v>
      </c>
      <c r="M4187">
        <v>303449215</v>
      </c>
      <c r="N4187">
        <v>302313767</v>
      </c>
      <c r="O4187">
        <v>286624990</v>
      </c>
      <c r="P4187">
        <v>89</v>
      </c>
      <c r="Q4187" t="s">
        <v>8719</v>
      </c>
    </row>
    <row r="4188" spans="1:17" x14ac:dyDescent="0.3">
      <c r="A4188" t="s">
        <v>4729</v>
      </c>
      <c r="B4188" t="str">
        <f>"300388"</f>
        <v>300388</v>
      </c>
      <c r="C4188" t="s">
        <v>8720</v>
      </c>
      <c r="D4188" t="s">
        <v>33</v>
      </c>
      <c r="F4188">
        <v>4476914404</v>
      </c>
      <c r="G4188">
        <v>3869243264</v>
      </c>
      <c r="H4188">
        <v>4169813123</v>
      </c>
      <c r="I4188">
        <v>4006383886</v>
      </c>
      <c r="J4188">
        <v>2628091410</v>
      </c>
      <c r="K4188">
        <v>1462693503</v>
      </c>
      <c r="L4188">
        <v>1046297682</v>
      </c>
      <c r="M4188">
        <v>1022672738</v>
      </c>
      <c r="N4188">
        <v>638230981</v>
      </c>
      <c r="O4188">
        <v>503715650</v>
      </c>
      <c r="P4188">
        <v>225</v>
      </c>
      <c r="Q4188" t="s">
        <v>8721</v>
      </c>
    </row>
    <row r="4189" spans="1:17" x14ac:dyDescent="0.3">
      <c r="A4189" t="s">
        <v>4729</v>
      </c>
      <c r="B4189" t="str">
        <f>"300389"</f>
        <v>300389</v>
      </c>
      <c r="C4189" t="s">
        <v>8722</v>
      </c>
      <c r="D4189" t="s">
        <v>803</v>
      </c>
      <c r="F4189">
        <v>2328147853</v>
      </c>
      <c r="G4189">
        <v>1642114686</v>
      </c>
      <c r="H4189">
        <v>2180567053</v>
      </c>
      <c r="I4189">
        <v>1986731435</v>
      </c>
      <c r="J4189">
        <v>1547386406</v>
      </c>
      <c r="K4189">
        <v>1165998434</v>
      </c>
      <c r="L4189">
        <v>1013538570</v>
      </c>
      <c r="M4189">
        <v>1079466179</v>
      </c>
      <c r="N4189">
        <v>729774528</v>
      </c>
      <c r="O4189">
        <v>623731061</v>
      </c>
      <c r="P4189">
        <v>198</v>
      </c>
      <c r="Q4189" t="s">
        <v>8723</v>
      </c>
    </row>
    <row r="4190" spans="1:17" x14ac:dyDescent="0.3">
      <c r="A4190" t="s">
        <v>4729</v>
      </c>
      <c r="B4190" t="str">
        <f>"300390"</f>
        <v>300390</v>
      </c>
      <c r="C4190" t="s">
        <v>8724</v>
      </c>
      <c r="D4190" t="s">
        <v>651</v>
      </c>
      <c r="F4190">
        <v>3397557862</v>
      </c>
      <c r="G4190">
        <v>1313177403</v>
      </c>
      <c r="H4190">
        <v>758142392</v>
      </c>
      <c r="I4190">
        <v>778359981</v>
      </c>
      <c r="J4190">
        <v>736332720</v>
      </c>
      <c r="K4190">
        <v>590988702</v>
      </c>
      <c r="L4190">
        <v>460129790</v>
      </c>
      <c r="M4190">
        <v>390129281</v>
      </c>
      <c r="N4190">
        <v>345878703</v>
      </c>
      <c r="O4190">
        <v>334668070</v>
      </c>
      <c r="P4190">
        <v>460</v>
      </c>
      <c r="Q4190" t="s">
        <v>8725</v>
      </c>
    </row>
    <row r="4191" spans="1:17" x14ac:dyDescent="0.3">
      <c r="A4191" t="s">
        <v>4729</v>
      </c>
      <c r="B4191" t="str">
        <f>"300391"</f>
        <v>300391</v>
      </c>
      <c r="C4191" t="s">
        <v>8726</v>
      </c>
      <c r="D4191" t="s">
        <v>348</v>
      </c>
      <c r="F4191">
        <v>2361946450</v>
      </c>
      <c r="G4191">
        <v>1214503960</v>
      </c>
      <c r="H4191">
        <v>725310883</v>
      </c>
      <c r="I4191">
        <v>881022368</v>
      </c>
      <c r="J4191">
        <v>744154807</v>
      </c>
      <c r="K4191">
        <v>234866048</v>
      </c>
      <c r="L4191">
        <v>191250585</v>
      </c>
      <c r="M4191">
        <v>243428659</v>
      </c>
      <c r="N4191">
        <v>255385121</v>
      </c>
      <c r="O4191">
        <v>225272827</v>
      </c>
      <c r="P4191">
        <v>80</v>
      </c>
      <c r="Q4191" t="s">
        <v>8727</v>
      </c>
    </row>
    <row r="4192" spans="1:17" x14ac:dyDescent="0.3">
      <c r="A4192" t="s">
        <v>4729</v>
      </c>
      <c r="B4192" t="str">
        <f>"300392"</f>
        <v>300392</v>
      </c>
      <c r="C4192" t="s">
        <v>8728</v>
      </c>
      <c r="D4192" t="s">
        <v>207</v>
      </c>
      <c r="F4192">
        <v>343648008</v>
      </c>
      <c r="G4192">
        <v>890831596</v>
      </c>
      <c r="H4192">
        <v>1480598636</v>
      </c>
      <c r="I4192">
        <v>1332066470</v>
      </c>
      <c r="J4192">
        <v>1624384618</v>
      </c>
      <c r="K4192">
        <v>1349159569</v>
      </c>
      <c r="L4192">
        <v>1452386132</v>
      </c>
      <c r="M4192">
        <v>839312488</v>
      </c>
      <c r="N4192">
        <v>692707602</v>
      </c>
      <c r="O4192">
        <v>672928819</v>
      </c>
      <c r="P4192">
        <v>66</v>
      </c>
      <c r="Q4192" t="s">
        <v>8729</v>
      </c>
    </row>
    <row r="4193" spans="1:17" x14ac:dyDescent="0.3">
      <c r="A4193" t="s">
        <v>4729</v>
      </c>
      <c r="B4193" t="str">
        <f>"300393"</f>
        <v>300393</v>
      </c>
      <c r="C4193" t="s">
        <v>8730</v>
      </c>
      <c r="D4193" t="s">
        <v>356</v>
      </c>
      <c r="F4193">
        <v>5819537415</v>
      </c>
      <c r="G4193">
        <v>5084945898</v>
      </c>
      <c r="H4193">
        <v>3477899159</v>
      </c>
      <c r="I4193">
        <v>2691837885</v>
      </c>
      <c r="J4193">
        <v>3242852763</v>
      </c>
      <c r="K4193">
        <v>1387709576</v>
      </c>
      <c r="L4193">
        <v>734035215</v>
      </c>
      <c r="M4193">
        <v>475898119</v>
      </c>
      <c r="N4193">
        <v>345373132</v>
      </c>
      <c r="O4193">
        <v>245608918</v>
      </c>
      <c r="P4193">
        <v>304</v>
      </c>
      <c r="Q4193" t="s">
        <v>8731</v>
      </c>
    </row>
    <row r="4194" spans="1:17" x14ac:dyDescent="0.3">
      <c r="A4194" t="s">
        <v>4729</v>
      </c>
      <c r="B4194" t="str">
        <f>"300394"</f>
        <v>300394</v>
      </c>
      <c r="C4194" t="s">
        <v>8732</v>
      </c>
      <c r="D4194" t="s">
        <v>1019</v>
      </c>
      <c r="F4194">
        <v>1032392965</v>
      </c>
      <c r="G4194">
        <v>873449246</v>
      </c>
      <c r="H4194">
        <v>522930856</v>
      </c>
      <c r="I4194">
        <v>442889123</v>
      </c>
      <c r="J4194">
        <v>337992404</v>
      </c>
      <c r="K4194">
        <v>310047078</v>
      </c>
      <c r="L4194">
        <v>237030891</v>
      </c>
      <c r="M4194">
        <v>200643770</v>
      </c>
      <c r="N4194">
        <v>150808333</v>
      </c>
      <c r="O4194">
        <v>144465159</v>
      </c>
      <c r="P4194">
        <v>804</v>
      </c>
      <c r="Q4194" t="s">
        <v>8733</v>
      </c>
    </row>
    <row r="4195" spans="1:17" x14ac:dyDescent="0.3">
      <c r="A4195" t="s">
        <v>4729</v>
      </c>
      <c r="B4195" t="str">
        <f>"300395"</f>
        <v>300395</v>
      </c>
      <c r="C4195" t="s">
        <v>8734</v>
      </c>
      <c r="D4195" t="s">
        <v>98</v>
      </c>
      <c r="F4195">
        <v>1223548359</v>
      </c>
      <c r="G4195">
        <v>863578277</v>
      </c>
      <c r="H4195">
        <v>779015429</v>
      </c>
      <c r="I4195">
        <v>722097911</v>
      </c>
      <c r="J4195">
        <v>545340469</v>
      </c>
      <c r="K4195">
        <v>440813170</v>
      </c>
      <c r="L4195">
        <v>340277085</v>
      </c>
      <c r="M4195">
        <v>287215619</v>
      </c>
      <c r="N4195">
        <v>282258940</v>
      </c>
      <c r="O4195">
        <v>284881527</v>
      </c>
      <c r="P4195">
        <v>555</v>
      </c>
      <c r="Q4195" t="s">
        <v>8735</v>
      </c>
    </row>
    <row r="4196" spans="1:17" x14ac:dyDescent="0.3">
      <c r="A4196" t="s">
        <v>4729</v>
      </c>
      <c r="B4196" t="str">
        <f>"300396"</f>
        <v>300396</v>
      </c>
      <c r="C4196" t="s">
        <v>8736</v>
      </c>
      <c r="D4196" t="s">
        <v>1305</v>
      </c>
      <c r="F4196">
        <v>905795040</v>
      </c>
      <c r="G4196">
        <v>937235915</v>
      </c>
      <c r="H4196">
        <v>1008790835</v>
      </c>
      <c r="I4196">
        <v>933418598</v>
      </c>
      <c r="J4196">
        <v>867690655</v>
      </c>
      <c r="K4196">
        <v>758694234</v>
      </c>
      <c r="L4196">
        <v>567325999</v>
      </c>
      <c r="M4196">
        <v>486472263</v>
      </c>
      <c r="N4196">
        <v>464403761</v>
      </c>
      <c r="O4196">
        <v>413634970</v>
      </c>
      <c r="P4196">
        <v>360</v>
      </c>
      <c r="Q4196" t="s">
        <v>8737</v>
      </c>
    </row>
    <row r="4197" spans="1:17" x14ac:dyDescent="0.3">
      <c r="A4197" t="s">
        <v>4729</v>
      </c>
      <c r="B4197" t="str">
        <f>"300397"</f>
        <v>300397</v>
      </c>
      <c r="C4197" t="s">
        <v>8738</v>
      </c>
      <c r="D4197" t="s">
        <v>98</v>
      </c>
      <c r="F4197">
        <v>558578735</v>
      </c>
      <c r="G4197">
        <v>1222639513</v>
      </c>
      <c r="H4197">
        <v>867780084</v>
      </c>
      <c r="I4197">
        <v>263987163</v>
      </c>
      <c r="J4197">
        <v>354106395</v>
      </c>
      <c r="K4197">
        <v>218067706</v>
      </c>
      <c r="L4197">
        <v>77873803</v>
      </c>
      <c r="M4197">
        <v>223013287</v>
      </c>
      <c r="N4197">
        <v>303399069</v>
      </c>
      <c r="O4197">
        <v>348170802</v>
      </c>
      <c r="P4197">
        <v>232</v>
      </c>
      <c r="Q4197" t="s">
        <v>8739</v>
      </c>
    </row>
    <row r="4198" spans="1:17" x14ac:dyDescent="0.3">
      <c r="A4198" t="s">
        <v>4729</v>
      </c>
      <c r="B4198" t="str">
        <f>"300398"</f>
        <v>300398</v>
      </c>
      <c r="C4198" t="s">
        <v>8740</v>
      </c>
      <c r="D4198" t="s">
        <v>2408</v>
      </c>
      <c r="F4198">
        <v>2627104371</v>
      </c>
      <c r="G4198">
        <v>1864010456</v>
      </c>
      <c r="H4198">
        <v>1513307758</v>
      </c>
      <c r="I4198">
        <v>1445719802</v>
      </c>
      <c r="J4198">
        <v>820367582</v>
      </c>
      <c r="K4198">
        <v>391040152</v>
      </c>
      <c r="L4198">
        <v>432072749</v>
      </c>
      <c r="M4198">
        <v>402417587</v>
      </c>
      <c r="N4198">
        <v>323230600</v>
      </c>
      <c r="O4198">
        <v>261421373</v>
      </c>
      <c r="P4198">
        <v>244</v>
      </c>
      <c r="Q4198" t="s">
        <v>8741</v>
      </c>
    </row>
    <row r="4199" spans="1:17" x14ac:dyDescent="0.3">
      <c r="A4199" t="s">
        <v>4729</v>
      </c>
      <c r="B4199" t="str">
        <f>"300399"</f>
        <v>300399</v>
      </c>
      <c r="C4199" t="s">
        <v>8742</v>
      </c>
      <c r="D4199" t="s">
        <v>316</v>
      </c>
      <c r="F4199">
        <v>508397434</v>
      </c>
      <c r="G4199">
        <v>486604254</v>
      </c>
      <c r="H4199">
        <v>565299337</v>
      </c>
      <c r="I4199">
        <v>346643061</v>
      </c>
      <c r="J4199">
        <v>322283440</v>
      </c>
      <c r="K4199">
        <v>287501876</v>
      </c>
      <c r="L4199">
        <v>185396041</v>
      </c>
      <c r="M4199">
        <v>138491107</v>
      </c>
      <c r="N4199">
        <v>197419133</v>
      </c>
      <c r="O4199">
        <v>221604820</v>
      </c>
      <c r="P4199">
        <v>80</v>
      </c>
      <c r="Q4199" t="s">
        <v>8743</v>
      </c>
    </row>
    <row r="4200" spans="1:17" x14ac:dyDescent="0.3">
      <c r="A4200" t="s">
        <v>4729</v>
      </c>
      <c r="B4200" t="str">
        <f>"300400"</f>
        <v>300400</v>
      </c>
      <c r="C4200" t="s">
        <v>8744</v>
      </c>
      <c r="D4200" t="s">
        <v>3477</v>
      </c>
      <c r="F4200">
        <v>989178448</v>
      </c>
      <c r="G4200">
        <v>883796810</v>
      </c>
      <c r="H4200">
        <v>495387015</v>
      </c>
      <c r="I4200">
        <v>590897303</v>
      </c>
      <c r="J4200">
        <v>477762957</v>
      </c>
      <c r="K4200">
        <v>328498465</v>
      </c>
      <c r="L4200">
        <v>257440510</v>
      </c>
      <c r="M4200">
        <v>269830777</v>
      </c>
      <c r="N4200">
        <v>243765444</v>
      </c>
      <c r="O4200">
        <v>209357342</v>
      </c>
      <c r="P4200">
        <v>273</v>
      </c>
      <c r="Q4200" t="s">
        <v>8745</v>
      </c>
    </row>
    <row r="4201" spans="1:17" x14ac:dyDescent="0.3">
      <c r="A4201" t="s">
        <v>4729</v>
      </c>
      <c r="B4201" t="str">
        <f>"300401"</f>
        <v>300401</v>
      </c>
      <c r="C4201" t="s">
        <v>8746</v>
      </c>
      <c r="D4201" t="s">
        <v>496</v>
      </c>
      <c r="F4201">
        <v>1117099893</v>
      </c>
      <c r="G4201">
        <v>614894441</v>
      </c>
      <c r="H4201">
        <v>718384536</v>
      </c>
      <c r="I4201">
        <v>660216835</v>
      </c>
      <c r="J4201">
        <v>419868699</v>
      </c>
      <c r="K4201">
        <v>329093756</v>
      </c>
      <c r="L4201">
        <v>151221057</v>
      </c>
      <c r="M4201">
        <v>158840438</v>
      </c>
      <c r="N4201">
        <v>184386510</v>
      </c>
      <c r="O4201">
        <v>225996938</v>
      </c>
      <c r="P4201">
        <v>476</v>
      </c>
      <c r="Q4201" t="s">
        <v>8747</v>
      </c>
    </row>
    <row r="4202" spans="1:17" x14ac:dyDescent="0.3">
      <c r="A4202" t="s">
        <v>4729</v>
      </c>
      <c r="B4202" t="str">
        <f>"300402"</f>
        <v>300402</v>
      </c>
      <c r="C4202" t="s">
        <v>8748</v>
      </c>
      <c r="D4202" t="s">
        <v>274</v>
      </c>
      <c r="F4202">
        <v>1256642228</v>
      </c>
      <c r="G4202">
        <v>1092062566</v>
      </c>
      <c r="H4202">
        <v>917050576</v>
      </c>
      <c r="I4202">
        <v>713834462</v>
      </c>
      <c r="J4202">
        <v>440058248</v>
      </c>
      <c r="K4202">
        <v>252508424</v>
      </c>
      <c r="L4202">
        <v>667401669</v>
      </c>
      <c r="M4202">
        <v>687324168</v>
      </c>
      <c r="N4202">
        <v>789114151</v>
      </c>
      <c r="O4202">
        <v>737801157</v>
      </c>
      <c r="P4202">
        <v>101</v>
      </c>
      <c r="Q4202" t="s">
        <v>8749</v>
      </c>
    </row>
    <row r="4203" spans="1:17" x14ac:dyDescent="0.3">
      <c r="A4203" t="s">
        <v>4729</v>
      </c>
      <c r="B4203" t="str">
        <f>"300403"</f>
        <v>300403</v>
      </c>
      <c r="C4203" t="s">
        <v>8750</v>
      </c>
      <c r="D4203" t="s">
        <v>1253</v>
      </c>
      <c r="F4203">
        <v>1128005947</v>
      </c>
      <c r="G4203">
        <v>938390105</v>
      </c>
      <c r="H4203">
        <v>863796022</v>
      </c>
      <c r="I4203">
        <v>793822246</v>
      </c>
      <c r="J4203">
        <v>778098631</v>
      </c>
      <c r="K4203">
        <v>758200508</v>
      </c>
      <c r="L4203">
        <v>696305434</v>
      </c>
      <c r="M4203">
        <v>649143572</v>
      </c>
      <c r="N4203">
        <v>595297236</v>
      </c>
      <c r="O4203">
        <v>491661993</v>
      </c>
      <c r="P4203">
        <v>253</v>
      </c>
      <c r="Q4203" t="s">
        <v>8751</v>
      </c>
    </row>
    <row r="4204" spans="1:17" x14ac:dyDescent="0.3">
      <c r="A4204" t="s">
        <v>4729</v>
      </c>
      <c r="B4204" t="str">
        <f>"300404"</f>
        <v>300404</v>
      </c>
      <c r="C4204" t="s">
        <v>8752</v>
      </c>
      <c r="D4204" t="s">
        <v>1461</v>
      </c>
      <c r="F4204">
        <v>324202623</v>
      </c>
      <c r="G4204">
        <v>260468434</v>
      </c>
      <c r="H4204">
        <v>224064704</v>
      </c>
      <c r="I4204">
        <v>172042840</v>
      </c>
      <c r="J4204">
        <v>130751653</v>
      </c>
      <c r="K4204">
        <v>72151503</v>
      </c>
      <c r="L4204">
        <v>126626044</v>
      </c>
      <c r="M4204">
        <v>143873597</v>
      </c>
      <c r="N4204">
        <v>136411894</v>
      </c>
      <c r="O4204">
        <v>125589725</v>
      </c>
      <c r="P4204">
        <v>150</v>
      </c>
      <c r="Q4204" t="s">
        <v>8753</v>
      </c>
    </row>
    <row r="4205" spans="1:17" x14ac:dyDescent="0.3">
      <c r="A4205" t="s">
        <v>4729</v>
      </c>
      <c r="B4205" t="str">
        <f>"300405"</f>
        <v>300405</v>
      </c>
      <c r="C4205" t="s">
        <v>8754</v>
      </c>
      <c r="D4205" t="s">
        <v>386</v>
      </c>
      <c r="F4205">
        <v>1088769165</v>
      </c>
      <c r="G4205">
        <v>928804730</v>
      </c>
      <c r="H4205">
        <v>943752926</v>
      </c>
      <c r="I4205">
        <v>1194904298</v>
      </c>
      <c r="J4205">
        <v>1126881722</v>
      </c>
      <c r="K4205">
        <v>776694917</v>
      </c>
      <c r="L4205">
        <v>800037027</v>
      </c>
      <c r="M4205">
        <v>1137307815</v>
      </c>
      <c r="N4205">
        <v>1003888135</v>
      </c>
      <c r="O4205">
        <v>1108613256</v>
      </c>
      <c r="P4205">
        <v>59</v>
      </c>
      <c r="Q4205" t="s">
        <v>8755</v>
      </c>
    </row>
    <row r="4206" spans="1:17" x14ac:dyDescent="0.3">
      <c r="A4206" t="s">
        <v>4729</v>
      </c>
      <c r="B4206" t="str">
        <f>"300406"</f>
        <v>300406</v>
      </c>
      <c r="C4206" t="s">
        <v>8756</v>
      </c>
      <c r="D4206" t="s">
        <v>1305</v>
      </c>
      <c r="F4206">
        <v>1599384352</v>
      </c>
      <c r="G4206">
        <v>848118493</v>
      </c>
      <c r="H4206">
        <v>840861681</v>
      </c>
      <c r="I4206">
        <v>774178200</v>
      </c>
      <c r="J4206">
        <v>694277363</v>
      </c>
      <c r="K4206">
        <v>667402750</v>
      </c>
      <c r="L4206">
        <v>566201721</v>
      </c>
      <c r="M4206">
        <v>508274279</v>
      </c>
      <c r="N4206">
        <v>444625404</v>
      </c>
      <c r="O4206">
        <v>380144035</v>
      </c>
      <c r="P4206">
        <v>14630</v>
      </c>
      <c r="Q4206" t="s">
        <v>8757</v>
      </c>
    </row>
    <row r="4207" spans="1:17" x14ac:dyDescent="0.3">
      <c r="A4207" t="s">
        <v>4729</v>
      </c>
      <c r="B4207" t="str">
        <f>"300407"</f>
        <v>300407</v>
      </c>
      <c r="C4207" t="s">
        <v>8758</v>
      </c>
      <c r="D4207" t="s">
        <v>610</v>
      </c>
      <c r="F4207">
        <v>1899601144</v>
      </c>
      <c r="G4207">
        <v>1948167896</v>
      </c>
      <c r="H4207">
        <v>1808714438</v>
      </c>
      <c r="I4207">
        <v>1622312080</v>
      </c>
      <c r="J4207">
        <v>1458490145</v>
      </c>
      <c r="K4207">
        <v>772734347</v>
      </c>
      <c r="L4207">
        <v>423527618</v>
      </c>
      <c r="M4207">
        <v>341502554</v>
      </c>
      <c r="N4207">
        <v>296015100</v>
      </c>
      <c r="O4207">
        <v>279659039</v>
      </c>
      <c r="P4207">
        <v>132</v>
      </c>
      <c r="Q4207" t="s">
        <v>8759</v>
      </c>
    </row>
    <row r="4208" spans="1:17" x14ac:dyDescent="0.3">
      <c r="A4208" t="s">
        <v>4729</v>
      </c>
      <c r="B4208" t="str">
        <f>"300408"</f>
        <v>300408</v>
      </c>
      <c r="C4208" t="s">
        <v>8760</v>
      </c>
      <c r="D4208" t="s">
        <v>546</v>
      </c>
      <c r="F4208">
        <v>6218042007</v>
      </c>
      <c r="G4208">
        <v>3993974641</v>
      </c>
      <c r="H4208">
        <v>2726451719</v>
      </c>
      <c r="I4208">
        <v>3750072863</v>
      </c>
      <c r="J4208">
        <v>3129801620</v>
      </c>
      <c r="K4208">
        <v>2887507921</v>
      </c>
      <c r="L4208">
        <v>2489224909</v>
      </c>
      <c r="M4208">
        <v>2200398452</v>
      </c>
      <c r="N4208">
        <v>2023864882</v>
      </c>
      <c r="O4208">
        <v>2103304090</v>
      </c>
      <c r="P4208">
        <v>1509</v>
      </c>
      <c r="Q4208" t="s">
        <v>8761</v>
      </c>
    </row>
    <row r="4209" spans="1:17" x14ac:dyDescent="0.3">
      <c r="A4209" t="s">
        <v>4729</v>
      </c>
      <c r="B4209" t="str">
        <f>"300409"</f>
        <v>300409</v>
      </c>
      <c r="C4209" t="s">
        <v>8762</v>
      </c>
      <c r="D4209" t="s">
        <v>1790</v>
      </c>
      <c r="F4209">
        <v>6569192183</v>
      </c>
      <c r="G4209">
        <v>3314724366</v>
      </c>
      <c r="H4209">
        <v>2986416006</v>
      </c>
      <c r="I4209">
        <v>3543928461</v>
      </c>
      <c r="J4209">
        <v>1695623358</v>
      </c>
      <c r="K4209">
        <v>803653433</v>
      </c>
      <c r="L4209">
        <v>553563138</v>
      </c>
      <c r="M4209">
        <v>446792562</v>
      </c>
      <c r="N4209">
        <v>319265187</v>
      </c>
      <c r="O4209">
        <v>218337925</v>
      </c>
      <c r="P4209">
        <v>242</v>
      </c>
      <c r="Q4209" t="s">
        <v>8763</v>
      </c>
    </row>
    <row r="4210" spans="1:17" x14ac:dyDescent="0.3">
      <c r="A4210" t="s">
        <v>4729</v>
      </c>
      <c r="B4210" t="str">
        <f>"300410"</f>
        <v>300410</v>
      </c>
      <c r="C4210" t="s">
        <v>8764</v>
      </c>
      <c r="D4210" t="s">
        <v>2566</v>
      </c>
      <c r="F4210">
        <v>1459900057</v>
      </c>
      <c r="G4210">
        <v>1197272061</v>
      </c>
      <c r="H4210">
        <v>1045970416</v>
      </c>
      <c r="I4210">
        <v>1428985615</v>
      </c>
      <c r="J4210">
        <v>1265378908</v>
      </c>
      <c r="K4210">
        <v>600344651</v>
      </c>
      <c r="L4210">
        <v>357083509</v>
      </c>
      <c r="M4210">
        <v>311074661</v>
      </c>
      <c r="N4210">
        <v>264057693</v>
      </c>
      <c r="O4210">
        <v>251327868</v>
      </c>
      <c r="P4210">
        <v>215</v>
      </c>
      <c r="Q4210" t="s">
        <v>8765</v>
      </c>
    </row>
    <row r="4211" spans="1:17" x14ac:dyDescent="0.3">
      <c r="A4211" t="s">
        <v>4729</v>
      </c>
      <c r="B4211" t="str">
        <f>"300411"</f>
        <v>300411</v>
      </c>
      <c r="C4211" t="s">
        <v>8766</v>
      </c>
      <c r="D4211" t="s">
        <v>741</v>
      </c>
      <c r="F4211">
        <v>490417974</v>
      </c>
      <c r="G4211">
        <v>733776474</v>
      </c>
      <c r="H4211">
        <v>521535157</v>
      </c>
      <c r="I4211">
        <v>553446532</v>
      </c>
      <c r="J4211">
        <v>464905116</v>
      </c>
      <c r="K4211">
        <v>343844069</v>
      </c>
      <c r="L4211">
        <v>335568612</v>
      </c>
      <c r="M4211">
        <v>308938710</v>
      </c>
      <c r="N4211">
        <v>294701563</v>
      </c>
      <c r="O4211">
        <v>273684167</v>
      </c>
      <c r="P4211">
        <v>73</v>
      </c>
      <c r="Q4211" t="s">
        <v>8767</v>
      </c>
    </row>
    <row r="4212" spans="1:17" x14ac:dyDescent="0.3">
      <c r="A4212" t="s">
        <v>4729</v>
      </c>
      <c r="B4212" t="str">
        <f>"300412"</f>
        <v>300412</v>
      </c>
      <c r="C4212" t="s">
        <v>8768</v>
      </c>
      <c r="D4212" t="s">
        <v>741</v>
      </c>
      <c r="F4212">
        <v>1059613870</v>
      </c>
      <c r="G4212">
        <v>1007249169</v>
      </c>
      <c r="H4212">
        <v>703164546</v>
      </c>
      <c r="I4212">
        <v>578756392</v>
      </c>
      <c r="J4212">
        <v>445032264</v>
      </c>
      <c r="K4212">
        <v>301792830</v>
      </c>
      <c r="L4212">
        <v>217418448</v>
      </c>
      <c r="M4212">
        <v>183810027</v>
      </c>
      <c r="N4212">
        <v>154249253</v>
      </c>
      <c r="O4212">
        <v>152084831</v>
      </c>
      <c r="P4212">
        <v>96</v>
      </c>
      <c r="Q4212" t="s">
        <v>8769</v>
      </c>
    </row>
    <row r="4213" spans="1:17" x14ac:dyDescent="0.3">
      <c r="A4213" t="s">
        <v>4729</v>
      </c>
      <c r="B4213" t="str">
        <f>"300413"</f>
        <v>300413</v>
      </c>
      <c r="C4213" t="s">
        <v>8770</v>
      </c>
      <c r="D4213" t="s">
        <v>1294</v>
      </c>
      <c r="F4213">
        <v>15355863482</v>
      </c>
      <c r="G4213">
        <v>14005534955</v>
      </c>
      <c r="H4213">
        <v>12500664232</v>
      </c>
      <c r="I4213">
        <v>9660661414</v>
      </c>
      <c r="J4213">
        <v>2983760658</v>
      </c>
      <c r="K4213">
        <v>3219279125</v>
      </c>
      <c r="L4213">
        <v>2797607222</v>
      </c>
      <c r="M4213">
        <v>2738011404</v>
      </c>
      <c r="N4213">
        <v>3149875201</v>
      </c>
      <c r="O4213">
        <v>2855104901</v>
      </c>
      <c r="P4213">
        <v>1145</v>
      </c>
      <c r="Q4213" t="s">
        <v>8771</v>
      </c>
    </row>
    <row r="4214" spans="1:17" x14ac:dyDescent="0.3">
      <c r="A4214" t="s">
        <v>4729</v>
      </c>
      <c r="B4214" t="str">
        <f>"300414"</f>
        <v>300414</v>
      </c>
      <c r="C4214" t="s">
        <v>8772</v>
      </c>
      <c r="D4214" t="s">
        <v>595</v>
      </c>
      <c r="F4214">
        <v>591860991</v>
      </c>
      <c r="G4214">
        <v>446444518</v>
      </c>
      <c r="H4214">
        <v>400529175</v>
      </c>
      <c r="I4214">
        <v>379783868</v>
      </c>
      <c r="J4214">
        <v>364319365</v>
      </c>
      <c r="K4214">
        <v>316270194</v>
      </c>
      <c r="L4214">
        <v>359772847</v>
      </c>
      <c r="M4214">
        <v>456528425</v>
      </c>
      <c r="N4214">
        <v>267613245</v>
      </c>
      <c r="O4214">
        <v>224332012</v>
      </c>
      <c r="P4214">
        <v>219</v>
      </c>
      <c r="Q4214" t="s">
        <v>8773</v>
      </c>
    </row>
    <row r="4215" spans="1:17" x14ac:dyDescent="0.3">
      <c r="A4215" t="s">
        <v>4729</v>
      </c>
      <c r="B4215" t="str">
        <f>"300415"</f>
        <v>300415</v>
      </c>
      <c r="C4215" t="s">
        <v>8774</v>
      </c>
      <c r="D4215" t="s">
        <v>741</v>
      </c>
      <c r="F4215">
        <v>3532869321</v>
      </c>
      <c r="G4215">
        <v>2718203896</v>
      </c>
      <c r="H4215">
        <v>2113851320</v>
      </c>
      <c r="I4215">
        <v>2014969814</v>
      </c>
      <c r="J4215">
        <v>2008314566</v>
      </c>
      <c r="K4215">
        <v>1442715067</v>
      </c>
      <c r="L4215">
        <v>1188889337</v>
      </c>
      <c r="M4215">
        <v>1175140144</v>
      </c>
      <c r="N4215">
        <v>1043465574</v>
      </c>
      <c r="O4215">
        <v>861790873</v>
      </c>
      <c r="P4215">
        <v>547</v>
      </c>
      <c r="Q4215" t="s">
        <v>8775</v>
      </c>
    </row>
    <row r="4216" spans="1:17" x14ac:dyDescent="0.3">
      <c r="A4216" t="s">
        <v>4729</v>
      </c>
      <c r="B4216" t="str">
        <f>"300416"</f>
        <v>300416</v>
      </c>
      <c r="C4216" t="s">
        <v>8776</v>
      </c>
      <c r="D4216" t="s">
        <v>2566</v>
      </c>
      <c r="F4216">
        <v>1501641337</v>
      </c>
      <c r="G4216">
        <v>1184844312</v>
      </c>
      <c r="H4216">
        <v>788095512</v>
      </c>
      <c r="I4216">
        <v>628896455</v>
      </c>
      <c r="J4216">
        <v>490916515</v>
      </c>
      <c r="K4216">
        <v>394233984</v>
      </c>
      <c r="L4216">
        <v>312932345</v>
      </c>
      <c r="M4216">
        <v>253979385</v>
      </c>
      <c r="N4216">
        <v>224357454</v>
      </c>
      <c r="O4216">
        <v>189706622</v>
      </c>
      <c r="P4216">
        <v>305</v>
      </c>
      <c r="Q4216" t="s">
        <v>8777</v>
      </c>
    </row>
    <row r="4217" spans="1:17" x14ac:dyDescent="0.3">
      <c r="A4217" t="s">
        <v>4729</v>
      </c>
      <c r="B4217" t="str">
        <f>"300417"</f>
        <v>300417</v>
      </c>
      <c r="C4217" t="s">
        <v>8778</v>
      </c>
      <c r="D4217" t="s">
        <v>2566</v>
      </c>
      <c r="F4217">
        <v>182145971</v>
      </c>
      <c r="G4217">
        <v>311639479</v>
      </c>
      <c r="H4217">
        <v>598714206</v>
      </c>
      <c r="I4217">
        <v>152603325</v>
      </c>
      <c r="J4217">
        <v>186088721</v>
      </c>
      <c r="K4217">
        <v>175237872</v>
      </c>
      <c r="L4217">
        <v>168980059</v>
      </c>
      <c r="M4217">
        <v>145848187</v>
      </c>
      <c r="N4217">
        <v>125421264</v>
      </c>
      <c r="O4217">
        <v>111416121</v>
      </c>
      <c r="P4217">
        <v>196</v>
      </c>
      <c r="Q4217" t="s">
        <v>8779</v>
      </c>
    </row>
    <row r="4218" spans="1:17" x14ac:dyDescent="0.3">
      <c r="A4218" t="s">
        <v>4729</v>
      </c>
      <c r="B4218" t="str">
        <f>"300418"</f>
        <v>300418</v>
      </c>
      <c r="C4218" t="s">
        <v>8780</v>
      </c>
      <c r="D4218" t="s">
        <v>517</v>
      </c>
      <c r="F4218">
        <v>4849950686</v>
      </c>
      <c r="G4218">
        <v>2739272126</v>
      </c>
      <c r="H4218">
        <v>3687883696</v>
      </c>
      <c r="I4218">
        <v>3577178501</v>
      </c>
      <c r="J4218">
        <v>3436369668</v>
      </c>
      <c r="K4218">
        <v>2424670627</v>
      </c>
      <c r="L4218">
        <v>1789140565</v>
      </c>
      <c r="M4218">
        <v>1934145769</v>
      </c>
      <c r="N4218">
        <v>1509992796</v>
      </c>
      <c r="O4218">
        <v>806204718</v>
      </c>
      <c r="P4218">
        <v>17528</v>
      </c>
      <c r="Q4218" t="s">
        <v>8781</v>
      </c>
    </row>
    <row r="4219" spans="1:17" x14ac:dyDescent="0.3">
      <c r="A4219" t="s">
        <v>4729</v>
      </c>
      <c r="B4219" t="str">
        <f>"300419"</f>
        <v>300419</v>
      </c>
      <c r="C4219" t="s">
        <v>8782</v>
      </c>
      <c r="D4219" t="s">
        <v>316</v>
      </c>
      <c r="F4219">
        <v>617163627</v>
      </c>
      <c r="G4219">
        <v>639935897</v>
      </c>
      <c r="H4219">
        <v>621046072</v>
      </c>
      <c r="I4219">
        <v>568556029</v>
      </c>
      <c r="J4219">
        <v>543433906</v>
      </c>
      <c r="K4219">
        <v>466467677</v>
      </c>
      <c r="L4219">
        <v>354442980</v>
      </c>
      <c r="M4219">
        <v>284029056</v>
      </c>
      <c r="N4219">
        <v>247707090</v>
      </c>
      <c r="O4219">
        <v>196904399</v>
      </c>
      <c r="P4219">
        <v>89</v>
      </c>
      <c r="Q4219" t="s">
        <v>8783</v>
      </c>
    </row>
    <row r="4220" spans="1:17" x14ac:dyDescent="0.3">
      <c r="A4220" t="s">
        <v>4729</v>
      </c>
      <c r="B4220" t="str">
        <f>"300420"</f>
        <v>300420</v>
      </c>
      <c r="C4220" t="s">
        <v>8784</v>
      </c>
      <c r="D4220" t="s">
        <v>560</v>
      </c>
      <c r="F4220">
        <v>1555955258</v>
      </c>
      <c r="G4220">
        <v>1631563724</v>
      </c>
      <c r="H4220">
        <v>1291377836</v>
      </c>
      <c r="I4220">
        <v>1002076417</v>
      </c>
      <c r="J4220">
        <v>754572740</v>
      </c>
      <c r="K4220">
        <v>606627349</v>
      </c>
      <c r="L4220">
        <v>206712658</v>
      </c>
      <c r="M4220">
        <v>189863050</v>
      </c>
      <c r="N4220">
        <v>184643949</v>
      </c>
      <c r="O4220">
        <v>187589000</v>
      </c>
      <c r="P4220">
        <v>146</v>
      </c>
      <c r="Q4220" t="s">
        <v>8785</v>
      </c>
    </row>
    <row r="4221" spans="1:17" x14ac:dyDescent="0.3">
      <c r="A4221" t="s">
        <v>4729</v>
      </c>
      <c r="B4221" t="str">
        <f>"300421"</f>
        <v>300421</v>
      </c>
      <c r="C4221" t="s">
        <v>8786</v>
      </c>
      <c r="D4221" t="s">
        <v>274</v>
      </c>
      <c r="F4221">
        <v>973904661</v>
      </c>
      <c r="G4221">
        <v>787351854</v>
      </c>
      <c r="H4221">
        <v>729373906</v>
      </c>
      <c r="I4221">
        <v>706278034</v>
      </c>
      <c r="J4221">
        <v>663356782</v>
      </c>
      <c r="K4221">
        <v>486178173</v>
      </c>
      <c r="L4221">
        <v>478104825</v>
      </c>
      <c r="M4221">
        <v>470986200</v>
      </c>
      <c r="N4221">
        <v>424111064</v>
      </c>
      <c r="O4221">
        <v>405383276</v>
      </c>
      <c r="P4221">
        <v>108</v>
      </c>
      <c r="Q4221" t="s">
        <v>8787</v>
      </c>
    </row>
    <row r="4222" spans="1:17" x14ac:dyDescent="0.3">
      <c r="A4222" t="s">
        <v>4729</v>
      </c>
      <c r="B4222" t="str">
        <f>"300422"</f>
        <v>300422</v>
      </c>
      <c r="C4222" t="s">
        <v>8788</v>
      </c>
      <c r="D4222" t="s">
        <v>33</v>
      </c>
      <c r="F4222">
        <v>2656577027</v>
      </c>
      <c r="G4222">
        <v>3609417825</v>
      </c>
      <c r="H4222">
        <v>3243604063</v>
      </c>
      <c r="I4222">
        <v>2724023570</v>
      </c>
      <c r="J4222">
        <v>1468545794</v>
      </c>
      <c r="K4222">
        <v>828969071</v>
      </c>
      <c r="L4222">
        <v>504673304</v>
      </c>
      <c r="M4222">
        <v>280314215</v>
      </c>
      <c r="N4222">
        <v>206280804</v>
      </c>
      <c r="O4222">
        <v>221951847</v>
      </c>
      <c r="P4222">
        <v>331</v>
      </c>
      <c r="Q4222" t="s">
        <v>8789</v>
      </c>
    </row>
    <row r="4223" spans="1:17" x14ac:dyDescent="0.3">
      <c r="A4223" t="s">
        <v>4729</v>
      </c>
      <c r="B4223" t="str">
        <f>"300423"</f>
        <v>300423</v>
      </c>
      <c r="C4223" t="s">
        <v>8790</v>
      </c>
      <c r="D4223" t="s">
        <v>210</v>
      </c>
      <c r="F4223">
        <v>2709828104</v>
      </c>
      <c r="G4223">
        <v>4194302790</v>
      </c>
      <c r="H4223">
        <v>3942192794</v>
      </c>
      <c r="I4223">
        <v>3031109567</v>
      </c>
      <c r="J4223">
        <v>264004665</v>
      </c>
      <c r="K4223">
        <v>233323127</v>
      </c>
      <c r="L4223">
        <v>314172064</v>
      </c>
      <c r="M4223">
        <v>304048766</v>
      </c>
      <c r="N4223">
        <v>263438328</v>
      </c>
      <c r="O4223">
        <v>276030435</v>
      </c>
      <c r="P4223">
        <v>156</v>
      </c>
      <c r="Q4223" t="s">
        <v>8791</v>
      </c>
    </row>
    <row r="4224" spans="1:17" x14ac:dyDescent="0.3">
      <c r="A4224" t="s">
        <v>4729</v>
      </c>
      <c r="B4224" t="str">
        <f>"300424"</f>
        <v>300424</v>
      </c>
      <c r="C4224" t="s">
        <v>8792</v>
      </c>
      <c r="D4224" t="s">
        <v>98</v>
      </c>
      <c r="F4224">
        <v>1160148829</v>
      </c>
      <c r="G4224">
        <v>1223635327</v>
      </c>
      <c r="H4224">
        <v>1494625114</v>
      </c>
      <c r="I4224">
        <v>754589698</v>
      </c>
      <c r="J4224">
        <v>473380806</v>
      </c>
      <c r="K4224">
        <v>424522850</v>
      </c>
      <c r="L4224">
        <v>412646482</v>
      </c>
      <c r="M4224">
        <v>509111833</v>
      </c>
      <c r="N4224">
        <v>475706727</v>
      </c>
      <c r="O4224">
        <v>408204285</v>
      </c>
      <c r="P4224">
        <v>133</v>
      </c>
      <c r="Q4224" t="s">
        <v>8793</v>
      </c>
    </row>
    <row r="4225" spans="1:17" x14ac:dyDescent="0.3">
      <c r="A4225" t="s">
        <v>4729</v>
      </c>
      <c r="B4225" t="str">
        <f>"300425"</f>
        <v>300425</v>
      </c>
      <c r="C4225" t="s">
        <v>8794</v>
      </c>
      <c r="D4225" t="s">
        <v>33</v>
      </c>
      <c r="F4225">
        <v>1461463041</v>
      </c>
      <c r="G4225">
        <v>1242064229</v>
      </c>
      <c r="H4225">
        <v>1231778860</v>
      </c>
      <c r="I4225">
        <v>1185755425</v>
      </c>
      <c r="J4225">
        <v>811195135</v>
      </c>
      <c r="K4225">
        <v>488013688</v>
      </c>
      <c r="L4225">
        <v>329557344</v>
      </c>
      <c r="M4225">
        <v>235126090</v>
      </c>
      <c r="N4225">
        <v>233655026</v>
      </c>
      <c r="O4225">
        <v>225271596</v>
      </c>
      <c r="P4225">
        <v>121</v>
      </c>
      <c r="Q4225" t="s">
        <v>8795</v>
      </c>
    </row>
    <row r="4226" spans="1:17" x14ac:dyDescent="0.3">
      <c r="A4226" t="s">
        <v>4729</v>
      </c>
      <c r="B4226" t="str">
        <f>"300426"</f>
        <v>300426</v>
      </c>
      <c r="C4226" t="s">
        <v>8796</v>
      </c>
      <c r="D4226" t="s">
        <v>113</v>
      </c>
      <c r="F4226">
        <v>476396981</v>
      </c>
      <c r="G4226">
        <v>199102933</v>
      </c>
      <c r="H4226">
        <v>-114856852</v>
      </c>
      <c r="I4226">
        <v>371517727</v>
      </c>
      <c r="J4226">
        <v>1180207412</v>
      </c>
      <c r="K4226">
        <v>787912082</v>
      </c>
      <c r="L4226">
        <v>537467248</v>
      </c>
      <c r="M4226">
        <v>407788571</v>
      </c>
      <c r="N4226">
        <v>319327666</v>
      </c>
      <c r="O4226">
        <v>191156890</v>
      </c>
      <c r="P4226">
        <v>130</v>
      </c>
      <c r="Q4226" t="s">
        <v>8797</v>
      </c>
    </row>
    <row r="4227" spans="1:17" x14ac:dyDescent="0.3">
      <c r="A4227" t="s">
        <v>4729</v>
      </c>
      <c r="B4227" t="str">
        <f>"300427"</f>
        <v>300427</v>
      </c>
      <c r="C4227" t="s">
        <v>8798</v>
      </c>
      <c r="D4227" t="s">
        <v>610</v>
      </c>
      <c r="F4227">
        <v>1394369586</v>
      </c>
      <c r="G4227">
        <v>1515992751</v>
      </c>
      <c r="H4227">
        <v>1340472990</v>
      </c>
      <c r="I4227">
        <v>1311493533</v>
      </c>
      <c r="J4227">
        <v>743861467</v>
      </c>
      <c r="K4227">
        <v>410557481</v>
      </c>
      <c r="L4227">
        <v>305254633</v>
      </c>
      <c r="M4227">
        <v>267597005</v>
      </c>
      <c r="N4227">
        <v>242094510</v>
      </c>
      <c r="O4227">
        <v>233458528</v>
      </c>
      <c r="P4227">
        <v>249</v>
      </c>
      <c r="Q4227" t="s">
        <v>8799</v>
      </c>
    </row>
    <row r="4228" spans="1:17" x14ac:dyDescent="0.3">
      <c r="A4228" t="s">
        <v>4729</v>
      </c>
      <c r="B4228" t="str">
        <f>"300428"</f>
        <v>300428</v>
      </c>
      <c r="C4228" t="s">
        <v>8800</v>
      </c>
      <c r="D4228" t="s">
        <v>422</v>
      </c>
      <c r="F4228">
        <v>18633677143</v>
      </c>
      <c r="G4228">
        <v>13391595979</v>
      </c>
      <c r="H4228">
        <v>6426889811</v>
      </c>
      <c r="I4228">
        <v>6754637523</v>
      </c>
      <c r="J4228">
        <v>1149958813</v>
      </c>
      <c r="K4228">
        <v>898621601</v>
      </c>
      <c r="L4228">
        <v>745991965</v>
      </c>
      <c r="M4228">
        <v>695970910</v>
      </c>
      <c r="N4228">
        <v>537274424</v>
      </c>
      <c r="O4228">
        <v>484167983</v>
      </c>
      <c r="P4228">
        <v>171</v>
      </c>
      <c r="Q4228" t="s">
        <v>8801</v>
      </c>
    </row>
    <row r="4229" spans="1:17" x14ac:dyDescent="0.3">
      <c r="A4229" t="s">
        <v>4729</v>
      </c>
      <c r="B4229" t="str">
        <f>"300429"</f>
        <v>300429</v>
      </c>
      <c r="C4229" t="s">
        <v>8802</v>
      </c>
      <c r="D4229" t="s">
        <v>2408</v>
      </c>
      <c r="F4229">
        <v>1038704787</v>
      </c>
      <c r="G4229">
        <v>776472531</v>
      </c>
      <c r="H4229">
        <v>863906733</v>
      </c>
      <c r="I4229">
        <v>739083610</v>
      </c>
      <c r="J4229">
        <v>639954962</v>
      </c>
      <c r="K4229">
        <v>439581110</v>
      </c>
      <c r="L4229">
        <v>334438567</v>
      </c>
      <c r="M4229">
        <v>275933422</v>
      </c>
      <c r="N4229">
        <v>233706110</v>
      </c>
      <c r="O4229">
        <v>205195592</v>
      </c>
      <c r="P4229">
        <v>261</v>
      </c>
      <c r="Q4229" t="s">
        <v>8803</v>
      </c>
    </row>
    <row r="4230" spans="1:17" x14ac:dyDescent="0.3">
      <c r="A4230" t="s">
        <v>4729</v>
      </c>
      <c r="B4230" t="str">
        <f>"300430"</f>
        <v>300430</v>
      </c>
      <c r="C4230" t="s">
        <v>8804</v>
      </c>
      <c r="D4230" t="s">
        <v>560</v>
      </c>
      <c r="F4230">
        <v>915238095</v>
      </c>
      <c r="G4230">
        <v>764426898</v>
      </c>
      <c r="H4230">
        <v>689199686</v>
      </c>
      <c r="I4230">
        <v>689136877</v>
      </c>
      <c r="J4230">
        <v>555130304</v>
      </c>
      <c r="K4230">
        <v>373059156</v>
      </c>
      <c r="L4230">
        <v>344495750</v>
      </c>
      <c r="M4230">
        <v>319485637</v>
      </c>
      <c r="N4230">
        <v>287815872</v>
      </c>
      <c r="O4230">
        <v>259175736</v>
      </c>
      <c r="P4230">
        <v>95</v>
      </c>
      <c r="Q4230" t="s">
        <v>8805</v>
      </c>
    </row>
    <row r="4231" spans="1:17" x14ac:dyDescent="0.3">
      <c r="A4231" t="s">
        <v>4729</v>
      </c>
      <c r="B4231" t="str">
        <f>"300431"</f>
        <v>300431</v>
      </c>
      <c r="C4231" t="s">
        <v>8806</v>
      </c>
      <c r="I4231">
        <v>1126942565</v>
      </c>
      <c r="J4231">
        <v>1914973680</v>
      </c>
      <c r="K4231">
        <v>1647348906</v>
      </c>
      <c r="L4231">
        <v>652110126</v>
      </c>
      <c r="M4231">
        <v>386205751</v>
      </c>
      <c r="N4231">
        <v>324769419</v>
      </c>
      <c r="O4231">
        <v>251540241</v>
      </c>
      <c r="P4231">
        <v>145</v>
      </c>
      <c r="Q4231" t="s">
        <v>8807</v>
      </c>
    </row>
    <row r="4232" spans="1:17" x14ac:dyDescent="0.3">
      <c r="A4232" t="s">
        <v>4729</v>
      </c>
      <c r="B4232" t="str">
        <f>"300432"</f>
        <v>300432</v>
      </c>
      <c r="C4232" t="s">
        <v>8808</v>
      </c>
      <c r="D4232" t="s">
        <v>348</v>
      </c>
      <c r="F4232">
        <v>2656371038</v>
      </c>
      <c r="G4232">
        <v>1844526993</v>
      </c>
      <c r="H4232">
        <v>1511718898</v>
      </c>
      <c r="I4232">
        <v>1478554919</v>
      </c>
      <c r="J4232">
        <v>2328218161</v>
      </c>
      <c r="K4232">
        <v>1171636150</v>
      </c>
      <c r="L4232">
        <v>859407847</v>
      </c>
      <c r="M4232">
        <v>699571628</v>
      </c>
      <c r="N4232">
        <v>536057540</v>
      </c>
      <c r="O4232">
        <v>368323968</v>
      </c>
      <c r="P4232">
        <v>304</v>
      </c>
      <c r="Q4232" t="s">
        <v>8809</v>
      </c>
    </row>
    <row r="4233" spans="1:17" x14ac:dyDescent="0.3">
      <c r="A4233" t="s">
        <v>4729</v>
      </c>
      <c r="B4233" t="str">
        <f>"300433"</f>
        <v>300433</v>
      </c>
      <c r="C4233" t="s">
        <v>8810</v>
      </c>
      <c r="D4233" t="s">
        <v>313</v>
      </c>
      <c r="F4233">
        <v>45268146209</v>
      </c>
      <c r="G4233">
        <v>36939133599</v>
      </c>
      <c r="H4233">
        <v>30257760249</v>
      </c>
      <c r="I4233">
        <v>27717496839</v>
      </c>
      <c r="J4233">
        <v>23702962254</v>
      </c>
      <c r="K4233">
        <v>15236116891</v>
      </c>
      <c r="L4233">
        <v>17227384659</v>
      </c>
      <c r="M4233">
        <v>14497014010</v>
      </c>
      <c r="N4233">
        <v>13351648853</v>
      </c>
      <c r="O4233">
        <v>11163108713</v>
      </c>
      <c r="P4233">
        <v>1654</v>
      </c>
      <c r="Q4233" t="s">
        <v>8811</v>
      </c>
    </row>
    <row r="4234" spans="1:17" x14ac:dyDescent="0.3">
      <c r="A4234" t="s">
        <v>4729</v>
      </c>
      <c r="B4234" t="str">
        <f>"300434"</f>
        <v>300434</v>
      </c>
      <c r="C4234" t="s">
        <v>8812</v>
      </c>
      <c r="D4234" t="s">
        <v>143</v>
      </c>
      <c r="F4234">
        <v>1053504604</v>
      </c>
      <c r="G4234">
        <v>777296370</v>
      </c>
      <c r="H4234">
        <v>1005606188</v>
      </c>
      <c r="I4234">
        <v>970716006</v>
      </c>
      <c r="J4234">
        <v>704012121</v>
      </c>
      <c r="K4234">
        <v>162414456</v>
      </c>
      <c r="L4234">
        <v>117112086</v>
      </c>
      <c r="M4234">
        <v>172830050</v>
      </c>
      <c r="N4234">
        <v>238588152</v>
      </c>
      <c r="O4234">
        <v>264180986</v>
      </c>
      <c r="P4234">
        <v>96</v>
      </c>
      <c r="Q4234" t="s">
        <v>8813</v>
      </c>
    </row>
    <row r="4235" spans="1:17" x14ac:dyDescent="0.3">
      <c r="A4235" t="s">
        <v>4729</v>
      </c>
      <c r="B4235" t="str">
        <f>"300435"</f>
        <v>300435</v>
      </c>
      <c r="C4235" t="s">
        <v>8814</v>
      </c>
      <c r="D4235" t="s">
        <v>749</v>
      </c>
      <c r="F4235">
        <v>2406997414</v>
      </c>
      <c r="G4235">
        <v>1977500165</v>
      </c>
      <c r="H4235">
        <v>1034330204</v>
      </c>
      <c r="I4235">
        <v>594732320</v>
      </c>
      <c r="J4235">
        <v>485579895</v>
      </c>
      <c r="K4235">
        <v>337164043</v>
      </c>
      <c r="L4235">
        <v>462464028</v>
      </c>
      <c r="M4235">
        <v>432770454</v>
      </c>
      <c r="N4235">
        <v>379623409</v>
      </c>
      <c r="O4235">
        <v>308609031</v>
      </c>
      <c r="P4235">
        <v>111</v>
      </c>
      <c r="Q4235" t="s">
        <v>8815</v>
      </c>
    </row>
    <row r="4236" spans="1:17" x14ac:dyDescent="0.3">
      <c r="A4236" t="s">
        <v>4729</v>
      </c>
      <c r="B4236" t="str">
        <f>"300436"</f>
        <v>300436</v>
      </c>
      <c r="C4236" t="s">
        <v>8816</v>
      </c>
      <c r="D4236" t="s">
        <v>143</v>
      </c>
      <c r="F4236">
        <v>370442190</v>
      </c>
      <c r="G4236">
        <v>368489434</v>
      </c>
      <c r="H4236">
        <v>414866331</v>
      </c>
      <c r="I4236">
        <v>402400221</v>
      </c>
      <c r="J4236">
        <v>296122689</v>
      </c>
      <c r="K4236">
        <v>312882593</v>
      </c>
      <c r="L4236">
        <v>308923393</v>
      </c>
      <c r="M4236">
        <v>254467794</v>
      </c>
      <c r="N4236">
        <v>178154992</v>
      </c>
      <c r="O4236">
        <v>125789129</v>
      </c>
      <c r="P4236">
        <v>135</v>
      </c>
      <c r="Q4236" t="s">
        <v>8817</v>
      </c>
    </row>
    <row r="4237" spans="1:17" x14ac:dyDescent="0.3">
      <c r="A4237" t="s">
        <v>4729</v>
      </c>
      <c r="B4237" t="str">
        <f>"300437"</f>
        <v>300437</v>
      </c>
      <c r="C4237" t="s">
        <v>8818</v>
      </c>
      <c r="D4237" t="s">
        <v>33</v>
      </c>
      <c r="F4237">
        <v>1637922415</v>
      </c>
      <c r="G4237">
        <v>1237387447</v>
      </c>
      <c r="H4237">
        <v>1707807465</v>
      </c>
      <c r="I4237">
        <v>1712117474</v>
      </c>
      <c r="J4237">
        <v>841134820</v>
      </c>
      <c r="K4237">
        <v>478774225</v>
      </c>
      <c r="L4237">
        <v>398033575</v>
      </c>
      <c r="M4237">
        <v>424554516</v>
      </c>
      <c r="N4237">
        <v>382620166</v>
      </c>
      <c r="O4237">
        <v>300732668</v>
      </c>
      <c r="P4237">
        <v>143</v>
      </c>
      <c r="Q4237" t="s">
        <v>8819</v>
      </c>
    </row>
    <row r="4238" spans="1:17" x14ac:dyDescent="0.3">
      <c r="A4238" t="s">
        <v>4729</v>
      </c>
      <c r="B4238" t="str">
        <f>"300438"</f>
        <v>300438</v>
      </c>
      <c r="C4238" t="s">
        <v>8820</v>
      </c>
      <c r="D4238" t="s">
        <v>359</v>
      </c>
      <c r="F4238">
        <v>5692893584</v>
      </c>
      <c r="G4238">
        <v>3642225979</v>
      </c>
      <c r="H4238">
        <v>3308448046</v>
      </c>
      <c r="I4238">
        <v>2568705637</v>
      </c>
      <c r="J4238">
        <v>2098492686</v>
      </c>
      <c r="K4238">
        <v>1271353632</v>
      </c>
      <c r="L4238">
        <v>878735747</v>
      </c>
      <c r="M4238">
        <v>700535333</v>
      </c>
      <c r="N4238">
        <v>668405940</v>
      </c>
      <c r="O4238">
        <v>544336534</v>
      </c>
      <c r="P4238">
        <v>394</v>
      </c>
      <c r="Q4238" t="s">
        <v>8821</v>
      </c>
    </row>
    <row r="4239" spans="1:17" x14ac:dyDescent="0.3">
      <c r="A4239" t="s">
        <v>4729</v>
      </c>
      <c r="B4239" t="str">
        <f>"300439"</f>
        <v>300439</v>
      </c>
      <c r="C4239" t="s">
        <v>8822</v>
      </c>
      <c r="D4239" t="s">
        <v>1305</v>
      </c>
      <c r="F4239">
        <v>2251532207</v>
      </c>
      <c r="G4239">
        <v>2302032421</v>
      </c>
      <c r="H4239">
        <v>3133447697</v>
      </c>
      <c r="I4239">
        <v>3135122920</v>
      </c>
      <c r="J4239">
        <v>1805167985</v>
      </c>
      <c r="K4239">
        <v>1055056671</v>
      </c>
      <c r="L4239">
        <v>683141160</v>
      </c>
      <c r="M4239">
        <v>597849202</v>
      </c>
      <c r="N4239">
        <v>432061496</v>
      </c>
      <c r="O4239">
        <v>327742449</v>
      </c>
      <c r="P4239">
        <v>209</v>
      </c>
      <c r="Q4239" t="s">
        <v>8823</v>
      </c>
    </row>
    <row r="4240" spans="1:17" x14ac:dyDescent="0.3">
      <c r="A4240" t="s">
        <v>4729</v>
      </c>
      <c r="B4240" t="str">
        <f>"300440"</f>
        <v>300440</v>
      </c>
      <c r="C4240" t="s">
        <v>8824</v>
      </c>
      <c r="D4240" t="s">
        <v>316</v>
      </c>
      <c r="F4240">
        <v>906352619</v>
      </c>
      <c r="G4240">
        <v>693893691</v>
      </c>
      <c r="H4240">
        <v>689812653</v>
      </c>
      <c r="I4240">
        <v>519589576</v>
      </c>
      <c r="J4240">
        <v>595054204</v>
      </c>
      <c r="K4240">
        <v>597304088</v>
      </c>
      <c r="L4240">
        <v>459885369</v>
      </c>
      <c r="M4240">
        <v>363098751</v>
      </c>
      <c r="N4240">
        <v>310801901</v>
      </c>
      <c r="O4240">
        <v>274931081</v>
      </c>
      <c r="P4240">
        <v>151</v>
      </c>
      <c r="Q4240" t="s">
        <v>8825</v>
      </c>
    </row>
    <row r="4241" spans="1:17" x14ac:dyDescent="0.3">
      <c r="A4241" t="s">
        <v>4729</v>
      </c>
      <c r="B4241" t="str">
        <f>"300441"</f>
        <v>300441</v>
      </c>
      <c r="C4241" t="s">
        <v>8826</v>
      </c>
      <c r="D4241" t="s">
        <v>560</v>
      </c>
      <c r="F4241">
        <v>2171826108</v>
      </c>
      <c r="G4241">
        <v>1970959530</v>
      </c>
      <c r="H4241">
        <v>1559555366</v>
      </c>
      <c r="I4241">
        <v>1505302641</v>
      </c>
      <c r="J4241">
        <v>1114538720</v>
      </c>
      <c r="K4241">
        <v>565990158</v>
      </c>
      <c r="L4241">
        <v>257225628</v>
      </c>
      <c r="M4241">
        <v>246963846</v>
      </c>
      <c r="N4241">
        <v>252336074</v>
      </c>
      <c r="O4241">
        <v>225165880</v>
      </c>
      <c r="P4241">
        <v>96</v>
      </c>
      <c r="Q4241" t="s">
        <v>8827</v>
      </c>
    </row>
    <row r="4242" spans="1:17" x14ac:dyDescent="0.3">
      <c r="A4242" t="s">
        <v>4729</v>
      </c>
      <c r="B4242" t="str">
        <f>"300442"</f>
        <v>300442</v>
      </c>
      <c r="C4242" t="s">
        <v>8828</v>
      </c>
      <c r="D4242" t="s">
        <v>3415</v>
      </c>
      <c r="F4242">
        <v>691645163</v>
      </c>
      <c r="G4242">
        <v>459494013</v>
      </c>
      <c r="H4242">
        <v>640060243</v>
      </c>
      <c r="I4242">
        <v>579549996</v>
      </c>
      <c r="J4242">
        <v>694225979</v>
      </c>
      <c r="K4242">
        <v>575815769</v>
      </c>
      <c r="L4242">
        <v>540611908</v>
      </c>
      <c r="M4242">
        <v>581590635</v>
      </c>
      <c r="N4242">
        <v>466727883</v>
      </c>
      <c r="O4242">
        <v>370577846</v>
      </c>
      <c r="P4242">
        <v>66</v>
      </c>
      <c r="Q4242" t="s">
        <v>8829</v>
      </c>
    </row>
    <row r="4243" spans="1:17" x14ac:dyDescent="0.3">
      <c r="A4243" t="s">
        <v>4729</v>
      </c>
      <c r="B4243" t="str">
        <f>"300443"</f>
        <v>300443</v>
      </c>
      <c r="C4243" t="s">
        <v>8830</v>
      </c>
      <c r="D4243" t="s">
        <v>950</v>
      </c>
      <c r="F4243">
        <v>1650839300</v>
      </c>
      <c r="G4243">
        <v>1476556394</v>
      </c>
      <c r="H4243">
        <v>1124000775</v>
      </c>
      <c r="I4243">
        <v>789639908</v>
      </c>
      <c r="J4243">
        <v>596281601</v>
      </c>
      <c r="K4243">
        <v>636297656</v>
      </c>
      <c r="L4243">
        <v>661204134</v>
      </c>
      <c r="M4243">
        <v>454830712</v>
      </c>
      <c r="N4243">
        <v>370389835</v>
      </c>
      <c r="O4243">
        <v>336062095</v>
      </c>
      <c r="P4243">
        <v>359</v>
      </c>
      <c r="Q4243" t="s">
        <v>8831</v>
      </c>
    </row>
    <row r="4244" spans="1:17" x14ac:dyDescent="0.3">
      <c r="A4244" t="s">
        <v>4729</v>
      </c>
      <c r="B4244" t="str">
        <f>"300444"</f>
        <v>300444</v>
      </c>
      <c r="C4244" t="s">
        <v>8832</v>
      </c>
      <c r="D4244" t="s">
        <v>210</v>
      </c>
      <c r="F4244">
        <v>1171281252</v>
      </c>
      <c r="G4244">
        <v>1231348378</v>
      </c>
      <c r="H4244">
        <v>1701250777</v>
      </c>
      <c r="I4244">
        <v>1905146835</v>
      </c>
      <c r="J4244">
        <v>1399918597</v>
      </c>
      <c r="K4244">
        <v>998480328</v>
      </c>
      <c r="L4244">
        <v>661063317</v>
      </c>
      <c r="M4244">
        <v>544921246</v>
      </c>
      <c r="N4244">
        <v>448145959</v>
      </c>
      <c r="O4244">
        <v>369016120</v>
      </c>
      <c r="P4244">
        <v>101</v>
      </c>
      <c r="Q4244" t="s">
        <v>8833</v>
      </c>
    </row>
    <row r="4245" spans="1:17" x14ac:dyDescent="0.3">
      <c r="A4245" t="s">
        <v>4729</v>
      </c>
      <c r="B4245" t="str">
        <f>"300445"</f>
        <v>300445</v>
      </c>
      <c r="C4245" t="s">
        <v>8834</v>
      </c>
      <c r="D4245" t="s">
        <v>2566</v>
      </c>
      <c r="F4245">
        <v>353357839</v>
      </c>
      <c r="G4245">
        <v>289141157</v>
      </c>
      <c r="H4245">
        <v>286407472</v>
      </c>
      <c r="I4245">
        <v>240499463</v>
      </c>
      <c r="J4245">
        <v>202893531</v>
      </c>
      <c r="K4245">
        <v>176102464</v>
      </c>
      <c r="L4245">
        <v>162523641</v>
      </c>
      <c r="M4245">
        <v>140877842</v>
      </c>
      <c r="N4245">
        <v>117717118</v>
      </c>
      <c r="O4245">
        <v>104534355</v>
      </c>
      <c r="P4245">
        <v>169</v>
      </c>
      <c r="Q4245" t="s">
        <v>8835</v>
      </c>
    </row>
    <row r="4246" spans="1:17" x14ac:dyDescent="0.3">
      <c r="A4246" t="s">
        <v>4729</v>
      </c>
      <c r="B4246" t="str">
        <f>"300446"</f>
        <v>300446</v>
      </c>
      <c r="C4246" t="s">
        <v>8836</v>
      </c>
      <c r="D4246" t="s">
        <v>2408</v>
      </c>
      <c r="F4246">
        <v>153094271</v>
      </c>
      <c r="G4246">
        <v>131049778</v>
      </c>
      <c r="H4246">
        <v>278580164</v>
      </c>
      <c r="I4246">
        <v>264459596</v>
      </c>
      <c r="J4246">
        <v>258233136</v>
      </c>
      <c r="K4246">
        <v>261429532</v>
      </c>
      <c r="L4246">
        <v>241400794</v>
      </c>
      <c r="M4246">
        <v>210537598</v>
      </c>
      <c r="N4246">
        <v>180425395</v>
      </c>
      <c r="O4246">
        <v>133829530</v>
      </c>
      <c r="P4246">
        <v>980</v>
      </c>
      <c r="Q4246" t="s">
        <v>8837</v>
      </c>
    </row>
    <row r="4247" spans="1:17" x14ac:dyDescent="0.3">
      <c r="A4247" t="s">
        <v>4729</v>
      </c>
      <c r="B4247" t="str">
        <f>"300447"</f>
        <v>300447</v>
      </c>
      <c r="C4247" t="s">
        <v>8838</v>
      </c>
      <c r="D4247" t="s">
        <v>1136</v>
      </c>
      <c r="F4247">
        <v>939992948</v>
      </c>
      <c r="G4247">
        <v>712742333</v>
      </c>
      <c r="H4247">
        <v>625449612</v>
      </c>
      <c r="I4247">
        <v>647991538</v>
      </c>
      <c r="J4247">
        <v>566755592</v>
      </c>
      <c r="K4247">
        <v>418487399</v>
      </c>
      <c r="L4247">
        <v>251263522</v>
      </c>
      <c r="M4247">
        <v>205175964</v>
      </c>
      <c r="N4247">
        <v>186575134</v>
      </c>
      <c r="O4247">
        <v>175258918</v>
      </c>
      <c r="P4247">
        <v>119</v>
      </c>
      <c r="Q4247" t="s">
        <v>8839</v>
      </c>
    </row>
    <row r="4248" spans="1:17" x14ac:dyDescent="0.3">
      <c r="A4248" t="s">
        <v>4729</v>
      </c>
      <c r="B4248" t="str">
        <f>"300448"</f>
        <v>300448</v>
      </c>
      <c r="C4248" t="s">
        <v>8840</v>
      </c>
      <c r="D4248" t="s">
        <v>316</v>
      </c>
      <c r="F4248">
        <v>564811736</v>
      </c>
      <c r="G4248">
        <v>511444125</v>
      </c>
      <c r="H4248">
        <v>784434539</v>
      </c>
      <c r="I4248">
        <v>765302137</v>
      </c>
      <c r="J4248">
        <v>569795019</v>
      </c>
      <c r="K4248">
        <v>544953860</v>
      </c>
      <c r="L4248">
        <v>465691390</v>
      </c>
      <c r="M4248">
        <v>386269442</v>
      </c>
      <c r="N4248">
        <v>328764723</v>
      </c>
      <c r="O4248">
        <v>262427400</v>
      </c>
      <c r="P4248">
        <v>157</v>
      </c>
      <c r="Q4248" t="s">
        <v>8841</v>
      </c>
    </row>
    <row r="4249" spans="1:17" x14ac:dyDescent="0.3">
      <c r="A4249" t="s">
        <v>4729</v>
      </c>
      <c r="B4249" t="str">
        <f>"300449"</f>
        <v>300449</v>
      </c>
      <c r="C4249" t="s">
        <v>8842</v>
      </c>
      <c r="D4249" t="s">
        <v>2980</v>
      </c>
      <c r="F4249">
        <v>292428638</v>
      </c>
      <c r="G4249">
        <v>423878084</v>
      </c>
      <c r="H4249">
        <v>515414228</v>
      </c>
      <c r="I4249">
        <v>526085768</v>
      </c>
      <c r="J4249">
        <v>690555876</v>
      </c>
      <c r="K4249">
        <v>553431374</v>
      </c>
      <c r="L4249">
        <v>479191479</v>
      </c>
      <c r="M4249">
        <v>562892411</v>
      </c>
      <c r="N4249">
        <v>556610080</v>
      </c>
      <c r="O4249">
        <v>449448889</v>
      </c>
      <c r="P4249">
        <v>85</v>
      </c>
      <c r="Q4249" t="s">
        <v>8843</v>
      </c>
    </row>
    <row r="4250" spans="1:17" x14ac:dyDescent="0.3">
      <c r="A4250" t="s">
        <v>4729</v>
      </c>
      <c r="B4250" t="str">
        <f>"300450"</f>
        <v>300450</v>
      </c>
      <c r="C4250" t="s">
        <v>8844</v>
      </c>
      <c r="D4250" t="s">
        <v>3776</v>
      </c>
      <c r="F4250">
        <v>10036591737</v>
      </c>
      <c r="G4250">
        <v>5858300569</v>
      </c>
      <c r="H4250">
        <v>4683978834</v>
      </c>
      <c r="I4250">
        <v>3890034989</v>
      </c>
      <c r="J4250">
        <v>2176895329</v>
      </c>
      <c r="K4250">
        <v>1078980824</v>
      </c>
      <c r="L4250">
        <v>536110765</v>
      </c>
      <c r="M4250">
        <v>306543666</v>
      </c>
      <c r="N4250">
        <v>174760950</v>
      </c>
      <c r="O4250">
        <v>153763647</v>
      </c>
      <c r="P4250">
        <v>9751</v>
      </c>
      <c r="Q4250" t="s">
        <v>8845</v>
      </c>
    </row>
    <row r="4251" spans="1:17" x14ac:dyDescent="0.3">
      <c r="A4251" t="s">
        <v>4729</v>
      </c>
      <c r="B4251" t="str">
        <f>"300451"</f>
        <v>300451</v>
      </c>
      <c r="C4251" t="s">
        <v>8846</v>
      </c>
      <c r="D4251" t="s">
        <v>945</v>
      </c>
      <c r="F4251">
        <v>1898976984</v>
      </c>
      <c r="G4251">
        <v>1632841326</v>
      </c>
      <c r="H4251">
        <v>1479824748</v>
      </c>
      <c r="I4251">
        <v>1290288361</v>
      </c>
      <c r="J4251">
        <v>1152952938</v>
      </c>
      <c r="K4251">
        <v>548645308</v>
      </c>
      <c r="L4251">
        <v>425971561</v>
      </c>
      <c r="M4251">
        <v>405648139</v>
      </c>
      <c r="N4251">
        <v>378005476</v>
      </c>
      <c r="O4251">
        <v>361086876</v>
      </c>
      <c r="P4251">
        <v>353</v>
      </c>
      <c r="Q4251" t="s">
        <v>8847</v>
      </c>
    </row>
    <row r="4252" spans="1:17" x14ac:dyDescent="0.3">
      <c r="A4252" t="s">
        <v>4729</v>
      </c>
      <c r="B4252" t="str">
        <f>"300452"</f>
        <v>300452</v>
      </c>
      <c r="C4252" t="s">
        <v>8848</v>
      </c>
      <c r="D4252" t="s">
        <v>496</v>
      </c>
      <c r="F4252">
        <v>616707253</v>
      </c>
      <c r="G4252">
        <v>531196557</v>
      </c>
      <c r="H4252">
        <v>464067091</v>
      </c>
      <c r="I4252">
        <v>428556523</v>
      </c>
      <c r="J4252">
        <v>339358775</v>
      </c>
      <c r="K4252">
        <v>286403296</v>
      </c>
      <c r="L4252">
        <v>258919172</v>
      </c>
      <c r="M4252">
        <v>239393819</v>
      </c>
      <c r="N4252">
        <v>212890538</v>
      </c>
      <c r="O4252">
        <v>183880566</v>
      </c>
      <c r="P4252">
        <v>300</v>
      </c>
      <c r="Q4252" t="s">
        <v>8849</v>
      </c>
    </row>
    <row r="4253" spans="1:17" x14ac:dyDescent="0.3">
      <c r="A4253" t="s">
        <v>4729</v>
      </c>
      <c r="B4253" t="str">
        <f>"300453"</f>
        <v>300453</v>
      </c>
      <c r="C4253" t="s">
        <v>8850</v>
      </c>
      <c r="D4253" t="s">
        <v>1077</v>
      </c>
      <c r="F4253">
        <v>1164288764</v>
      </c>
      <c r="G4253">
        <v>940385589</v>
      </c>
      <c r="H4253">
        <v>721668064</v>
      </c>
      <c r="I4253">
        <v>531302359</v>
      </c>
      <c r="J4253">
        <v>403871873</v>
      </c>
      <c r="K4253">
        <v>317774432</v>
      </c>
      <c r="L4253">
        <v>311848212</v>
      </c>
      <c r="M4253">
        <v>322204633</v>
      </c>
      <c r="N4253">
        <v>304737396</v>
      </c>
      <c r="O4253">
        <v>280442904</v>
      </c>
      <c r="P4253">
        <v>225</v>
      </c>
      <c r="Q4253" t="s">
        <v>8851</v>
      </c>
    </row>
    <row r="4254" spans="1:17" x14ac:dyDescent="0.3">
      <c r="A4254" t="s">
        <v>4729</v>
      </c>
      <c r="B4254" t="str">
        <f>"300454"</f>
        <v>300454</v>
      </c>
      <c r="C4254" t="s">
        <v>8852</v>
      </c>
      <c r="D4254" t="s">
        <v>1189</v>
      </c>
      <c r="F4254">
        <v>6804903467</v>
      </c>
      <c r="G4254">
        <v>5458395234</v>
      </c>
      <c r="H4254">
        <v>4589898923</v>
      </c>
      <c r="I4254">
        <v>3224450529</v>
      </c>
      <c r="J4254">
        <v>2472474537</v>
      </c>
      <c r="K4254">
        <v>1750046752</v>
      </c>
      <c r="L4254">
        <v>1318758308</v>
      </c>
      <c r="P4254">
        <v>799</v>
      </c>
      <c r="Q4254" t="s">
        <v>8853</v>
      </c>
    </row>
    <row r="4255" spans="1:17" x14ac:dyDescent="0.3">
      <c r="A4255" t="s">
        <v>4729</v>
      </c>
      <c r="B4255" t="str">
        <f>"300455"</f>
        <v>300455</v>
      </c>
      <c r="C4255" t="s">
        <v>8854</v>
      </c>
      <c r="D4255" t="s">
        <v>236</v>
      </c>
      <c r="F4255">
        <v>1288307821</v>
      </c>
      <c r="G4255">
        <v>1135171972</v>
      </c>
      <c r="H4255">
        <v>927742355</v>
      </c>
      <c r="I4255">
        <v>312346840</v>
      </c>
      <c r="J4255">
        <v>294901492</v>
      </c>
      <c r="K4255">
        <v>283626916</v>
      </c>
      <c r="L4255">
        <v>252095376</v>
      </c>
      <c r="M4255">
        <v>233595817</v>
      </c>
      <c r="N4255">
        <v>227625033</v>
      </c>
      <c r="O4255">
        <v>219433003</v>
      </c>
      <c r="P4255">
        <v>137</v>
      </c>
      <c r="Q4255" t="s">
        <v>8855</v>
      </c>
    </row>
    <row r="4256" spans="1:17" x14ac:dyDescent="0.3">
      <c r="A4256" t="s">
        <v>4729</v>
      </c>
      <c r="B4256" t="str">
        <f>"300456"</f>
        <v>300456</v>
      </c>
      <c r="C4256" t="s">
        <v>8856</v>
      </c>
      <c r="D4256" t="s">
        <v>4332</v>
      </c>
      <c r="F4256">
        <v>928547014</v>
      </c>
      <c r="G4256">
        <v>765006088</v>
      </c>
      <c r="H4256">
        <v>717966332</v>
      </c>
      <c r="I4256">
        <v>712497309</v>
      </c>
      <c r="J4256">
        <v>600500243</v>
      </c>
      <c r="K4256">
        <v>336955806</v>
      </c>
      <c r="L4256">
        <v>170973901</v>
      </c>
      <c r="M4256">
        <v>169390980</v>
      </c>
      <c r="N4256">
        <v>167161919</v>
      </c>
      <c r="O4256">
        <v>130464309</v>
      </c>
      <c r="P4256">
        <v>376</v>
      </c>
      <c r="Q4256" t="s">
        <v>8857</v>
      </c>
    </row>
    <row r="4257" spans="1:17" x14ac:dyDescent="0.3">
      <c r="A4257" t="s">
        <v>4729</v>
      </c>
      <c r="B4257" t="str">
        <f>"300457"</f>
        <v>300457</v>
      </c>
      <c r="C4257" t="s">
        <v>8858</v>
      </c>
      <c r="D4257" t="s">
        <v>3776</v>
      </c>
      <c r="F4257">
        <v>5201618930</v>
      </c>
      <c r="G4257">
        <v>2384713370</v>
      </c>
      <c r="H4257">
        <v>1669764439</v>
      </c>
      <c r="I4257">
        <v>2087285066</v>
      </c>
      <c r="J4257">
        <v>1586331194</v>
      </c>
      <c r="K4257">
        <v>850490384</v>
      </c>
      <c r="L4257">
        <v>365170910</v>
      </c>
      <c r="M4257">
        <v>225006164</v>
      </c>
      <c r="N4257">
        <v>211177244</v>
      </c>
      <c r="O4257">
        <v>164338753</v>
      </c>
      <c r="P4257">
        <v>359</v>
      </c>
      <c r="Q4257" t="s">
        <v>8859</v>
      </c>
    </row>
    <row r="4258" spans="1:17" x14ac:dyDescent="0.3">
      <c r="A4258" t="s">
        <v>4729</v>
      </c>
      <c r="B4258" t="str">
        <f>"300458"</f>
        <v>300458</v>
      </c>
      <c r="C4258" t="s">
        <v>8860</v>
      </c>
      <c r="D4258" t="s">
        <v>461</v>
      </c>
      <c r="F4258">
        <v>2065356819</v>
      </c>
      <c r="G4258">
        <v>1505485853</v>
      </c>
      <c r="H4258">
        <v>1463360309</v>
      </c>
      <c r="I4258">
        <v>1364689743</v>
      </c>
      <c r="J4258">
        <v>1200950546</v>
      </c>
      <c r="K4258">
        <v>1252039237</v>
      </c>
      <c r="L4258">
        <v>1209465496</v>
      </c>
      <c r="M4258">
        <v>1241963822</v>
      </c>
      <c r="N4258">
        <v>1650099168</v>
      </c>
      <c r="O4258">
        <v>1339417804</v>
      </c>
      <c r="P4258">
        <v>561</v>
      </c>
      <c r="Q4258" t="s">
        <v>8861</v>
      </c>
    </row>
    <row r="4259" spans="1:17" x14ac:dyDescent="0.3">
      <c r="A4259" t="s">
        <v>4729</v>
      </c>
      <c r="B4259" t="str">
        <f>"300459"</f>
        <v>300459</v>
      </c>
      <c r="C4259" t="s">
        <v>8862</v>
      </c>
      <c r="D4259" t="s">
        <v>517</v>
      </c>
      <c r="F4259">
        <v>1941450204</v>
      </c>
      <c r="G4259">
        <v>1807222572</v>
      </c>
      <c r="H4259">
        <v>1830611722</v>
      </c>
      <c r="I4259">
        <v>2725148206</v>
      </c>
      <c r="J4259">
        <v>1396270939</v>
      </c>
      <c r="K4259">
        <v>894561203</v>
      </c>
      <c r="L4259">
        <v>506442538</v>
      </c>
      <c r="M4259">
        <v>476902017</v>
      </c>
      <c r="N4259">
        <v>480412503</v>
      </c>
      <c r="O4259">
        <v>464670411</v>
      </c>
      <c r="P4259">
        <v>287</v>
      </c>
      <c r="Q4259" t="s">
        <v>8863</v>
      </c>
    </row>
    <row r="4260" spans="1:17" x14ac:dyDescent="0.3">
      <c r="A4260" t="s">
        <v>4729</v>
      </c>
      <c r="B4260" t="str">
        <f>"300460"</f>
        <v>300460</v>
      </c>
      <c r="C4260" t="s">
        <v>8864</v>
      </c>
      <c r="D4260" t="s">
        <v>546</v>
      </c>
      <c r="F4260">
        <v>655368803</v>
      </c>
      <c r="G4260">
        <v>387840492</v>
      </c>
      <c r="H4260">
        <v>309942731</v>
      </c>
      <c r="I4260">
        <v>318987012</v>
      </c>
      <c r="J4260">
        <v>363278188</v>
      </c>
      <c r="K4260">
        <v>369797362</v>
      </c>
      <c r="L4260">
        <v>416417144</v>
      </c>
      <c r="M4260">
        <v>404157127</v>
      </c>
      <c r="N4260">
        <v>400437124</v>
      </c>
      <c r="O4260">
        <v>391360484</v>
      </c>
      <c r="P4260">
        <v>154</v>
      </c>
      <c r="Q4260" t="s">
        <v>8865</v>
      </c>
    </row>
    <row r="4261" spans="1:17" x14ac:dyDescent="0.3">
      <c r="A4261" t="s">
        <v>4729</v>
      </c>
      <c r="B4261" t="str">
        <f>"300461"</f>
        <v>300461</v>
      </c>
      <c r="C4261" t="s">
        <v>8866</v>
      </c>
      <c r="D4261" t="s">
        <v>3477</v>
      </c>
      <c r="F4261">
        <v>343891876</v>
      </c>
      <c r="G4261">
        <v>363765918</v>
      </c>
      <c r="H4261">
        <v>503061565</v>
      </c>
      <c r="I4261">
        <v>803327870</v>
      </c>
      <c r="J4261">
        <v>504295847</v>
      </c>
      <c r="K4261">
        <v>212723081</v>
      </c>
      <c r="L4261">
        <v>108533948</v>
      </c>
      <c r="M4261">
        <v>122964101</v>
      </c>
      <c r="N4261">
        <v>153178794</v>
      </c>
      <c r="O4261">
        <v>177679346</v>
      </c>
      <c r="P4261">
        <v>153</v>
      </c>
      <c r="Q4261" t="s">
        <v>8867</v>
      </c>
    </row>
    <row r="4262" spans="1:17" x14ac:dyDescent="0.3">
      <c r="A4262" t="s">
        <v>4729</v>
      </c>
      <c r="B4262" t="str">
        <f>"300462"</f>
        <v>300462</v>
      </c>
      <c r="C4262" t="s">
        <v>8868</v>
      </c>
      <c r="D4262" t="s">
        <v>236</v>
      </c>
      <c r="F4262">
        <v>593624482</v>
      </c>
      <c r="G4262">
        <v>1249773571</v>
      </c>
      <c r="H4262">
        <v>1440180755</v>
      </c>
      <c r="I4262">
        <v>263942876</v>
      </c>
      <c r="J4262">
        <v>240875828</v>
      </c>
      <c r="K4262">
        <v>213445811</v>
      </c>
      <c r="L4262">
        <v>187079574</v>
      </c>
      <c r="M4262">
        <v>181540609</v>
      </c>
      <c r="N4262">
        <v>157681129</v>
      </c>
      <c r="O4262">
        <v>166346540</v>
      </c>
      <c r="P4262">
        <v>176</v>
      </c>
      <c r="Q4262" t="s">
        <v>8869</v>
      </c>
    </row>
    <row r="4263" spans="1:17" x14ac:dyDescent="0.3">
      <c r="A4263" t="s">
        <v>4729</v>
      </c>
      <c r="B4263" t="str">
        <f>"300463"</f>
        <v>300463</v>
      </c>
      <c r="C4263" t="s">
        <v>8870</v>
      </c>
      <c r="D4263" t="s">
        <v>1305</v>
      </c>
      <c r="F4263">
        <v>3980647183</v>
      </c>
      <c r="G4263">
        <v>3703877007</v>
      </c>
      <c r="H4263">
        <v>3222956020</v>
      </c>
      <c r="I4263">
        <v>2685304946</v>
      </c>
      <c r="J4263">
        <v>1969983730</v>
      </c>
      <c r="K4263">
        <v>1488780885</v>
      </c>
      <c r="L4263">
        <v>1065169032</v>
      </c>
      <c r="M4263">
        <v>934846080</v>
      </c>
      <c r="N4263">
        <v>779426580</v>
      </c>
      <c r="O4263">
        <v>606154698</v>
      </c>
      <c r="P4263">
        <v>1103</v>
      </c>
      <c r="Q4263" t="s">
        <v>8871</v>
      </c>
    </row>
    <row r="4264" spans="1:17" x14ac:dyDescent="0.3">
      <c r="A4264" t="s">
        <v>4729</v>
      </c>
      <c r="B4264" t="str">
        <f>"300464"</f>
        <v>300464</v>
      </c>
      <c r="C4264" t="s">
        <v>8872</v>
      </c>
      <c r="D4264" t="s">
        <v>2020</v>
      </c>
      <c r="F4264">
        <v>3659752249</v>
      </c>
      <c r="G4264">
        <v>5522961492</v>
      </c>
      <c r="H4264">
        <v>3491336582</v>
      </c>
      <c r="I4264">
        <v>711147838</v>
      </c>
      <c r="J4264">
        <v>525951511</v>
      </c>
      <c r="K4264">
        <v>458941593</v>
      </c>
      <c r="L4264">
        <v>411902920</v>
      </c>
      <c r="M4264">
        <v>391591212</v>
      </c>
      <c r="N4264">
        <v>395310114</v>
      </c>
      <c r="O4264">
        <v>376478894</v>
      </c>
      <c r="P4264">
        <v>121</v>
      </c>
      <c r="Q4264" t="s">
        <v>8873</v>
      </c>
    </row>
    <row r="4265" spans="1:17" x14ac:dyDescent="0.3">
      <c r="A4265" t="s">
        <v>4729</v>
      </c>
      <c r="B4265" t="str">
        <f>"300465"</f>
        <v>300465</v>
      </c>
      <c r="C4265" t="s">
        <v>8874</v>
      </c>
      <c r="D4265" t="s">
        <v>945</v>
      </c>
      <c r="F4265">
        <v>2278964569</v>
      </c>
      <c r="G4265">
        <v>1893658496</v>
      </c>
      <c r="H4265">
        <v>1758318369</v>
      </c>
      <c r="I4265">
        <v>1591919566</v>
      </c>
      <c r="J4265">
        <v>1319908536</v>
      </c>
      <c r="K4265">
        <v>972683347</v>
      </c>
      <c r="L4265">
        <v>938623959</v>
      </c>
      <c r="M4265">
        <v>995930626</v>
      </c>
      <c r="N4265">
        <v>1101099210</v>
      </c>
      <c r="O4265">
        <v>758706542</v>
      </c>
      <c r="P4265">
        <v>252</v>
      </c>
      <c r="Q4265" t="s">
        <v>8875</v>
      </c>
    </row>
    <row r="4266" spans="1:17" x14ac:dyDescent="0.3">
      <c r="A4266" t="s">
        <v>4729</v>
      </c>
      <c r="B4266" t="str">
        <f>"300466"</f>
        <v>300466</v>
      </c>
      <c r="C4266" t="s">
        <v>8876</v>
      </c>
      <c r="D4266" t="s">
        <v>2180</v>
      </c>
      <c r="F4266">
        <v>587417335</v>
      </c>
      <c r="G4266">
        <v>545051304</v>
      </c>
      <c r="H4266">
        <v>500469297</v>
      </c>
      <c r="I4266">
        <v>429832555</v>
      </c>
      <c r="J4266">
        <v>456772949</v>
      </c>
      <c r="K4266">
        <v>331413452</v>
      </c>
      <c r="L4266">
        <v>233243864</v>
      </c>
      <c r="M4266">
        <v>242105147</v>
      </c>
      <c r="N4266">
        <v>253253482</v>
      </c>
      <c r="O4266">
        <v>213802912</v>
      </c>
      <c r="P4266">
        <v>121</v>
      </c>
      <c r="Q4266" t="s">
        <v>8877</v>
      </c>
    </row>
    <row r="4267" spans="1:17" x14ac:dyDescent="0.3">
      <c r="A4267" t="s">
        <v>4729</v>
      </c>
      <c r="B4267" t="str">
        <f>"300467"</f>
        <v>300467</v>
      </c>
      <c r="C4267" t="s">
        <v>8878</v>
      </c>
      <c r="D4267" t="s">
        <v>517</v>
      </c>
      <c r="F4267">
        <v>473244943</v>
      </c>
      <c r="G4267">
        <v>456643082</v>
      </c>
      <c r="H4267">
        <v>483662653</v>
      </c>
      <c r="I4267">
        <v>730979867</v>
      </c>
      <c r="J4267">
        <v>278195702</v>
      </c>
      <c r="K4267">
        <v>158003764</v>
      </c>
      <c r="L4267">
        <v>171867913</v>
      </c>
      <c r="M4267">
        <v>178063113</v>
      </c>
      <c r="N4267">
        <v>144245324</v>
      </c>
      <c r="O4267">
        <v>90497948</v>
      </c>
      <c r="P4267">
        <v>187</v>
      </c>
      <c r="Q4267" t="s">
        <v>8879</v>
      </c>
    </row>
    <row r="4268" spans="1:17" x14ac:dyDescent="0.3">
      <c r="A4268" t="s">
        <v>4729</v>
      </c>
      <c r="B4268" t="str">
        <f>"300468"</f>
        <v>300468</v>
      </c>
      <c r="C4268" t="s">
        <v>8880</v>
      </c>
      <c r="D4268" t="s">
        <v>945</v>
      </c>
      <c r="F4268">
        <v>641544679</v>
      </c>
      <c r="G4268">
        <v>573983631</v>
      </c>
      <c r="H4268">
        <v>525558673</v>
      </c>
      <c r="I4268">
        <v>487816569</v>
      </c>
      <c r="J4268">
        <v>507805832</v>
      </c>
      <c r="K4268">
        <v>367045428</v>
      </c>
      <c r="L4268">
        <v>300329658</v>
      </c>
      <c r="M4268">
        <v>337988183</v>
      </c>
      <c r="N4268">
        <v>315328829</v>
      </c>
      <c r="O4268">
        <v>283340789</v>
      </c>
      <c r="P4268">
        <v>213</v>
      </c>
      <c r="Q4268" t="s">
        <v>8881</v>
      </c>
    </row>
    <row r="4269" spans="1:17" x14ac:dyDescent="0.3">
      <c r="A4269" t="s">
        <v>4729</v>
      </c>
      <c r="B4269" t="str">
        <f>"300469"</f>
        <v>300469</v>
      </c>
      <c r="C4269" t="s">
        <v>8882</v>
      </c>
      <c r="D4269" t="s">
        <v>945</v>
      </c>
      <c r="F4269">
        <v>421887032</v>
      </c>
      <c r="G4269">
        <v>571998525</v>
      </c>
      <c r="H4269">
        <v>640198271</v>
      </c>
      <c r="I4269">
        <v>706940064</v>
      </c>
      <c r="J4269">
        <v>564293579</v>
      </c>
      <c r="K4269">
        <v>521105140</v>
      </c>
      <c r="L4269">
        <v>437900031</v>
      </c>
      <c r="M4269">
        <v>368328787</v>
      </c>
      <c r="N4269">
        <v>308089482</v>
      </c>
      <c r="O4269">
        <v>256585973</v>
      </c>
      <c r="P4269">
        <v>96</v>
      </c>
      <c r="Q4269" t="s">
        <v>8883</v>
      </c>
    </row>
    <row r="4270" spans="1:17" x14ac:dyDescent="0.3">
      <c r="A4270" t="s">
        <v>4729</v>
      </c>
      <c r="B4270" t="str">
        <f>"300470"</f>
        <v>300470</v>
      </c>
      <c r="C4270" t="s">
        <v>8884</v>
      </c>
      <c r="D4270" t="s">
        <v>560</v>
      </c>
      <c r="F4270">
        <v>1131592437</v>
      </c>
      <c r="G4270">
        <v>924306457</v>
      </c>
      <c r="H4270">
        <v>888344185</v>
      </c>
      <c r="I4270">
        <v>704579552</v>
      </c>
      <c r="J4270">
        <v>495877420</v>
      </c>
      <c r="K4270">
        <v>334060453</v>
      </c>
      <c r="L4270">
        <v>323570971</v>
      </c>
      <c r="M4270">
        <v>356983852</v>
      </c>
      <c r="N4270">
        <v>332811274</v>
      </c>
      <c r="O4270">
        <v>309060512</v>
      </c>
      <c r="P4270">
        <v>349</v>
      </c>
      <c r="Q4270" t="s">
        <v>8885</v>
      </c>
    </row>
    <row r="4271" spans="1:17" x14ac:dyDescent="0.3">
      <c r="A4271" t="s">
        <v>4729</v>
      </c>
      <c r="B4271" t="str">
        <f>"300471"</f>
        <v>300471</v>
      </c>
      <c r="C4271" t="s">
        <v>8886</v>
      </c>
      <c r="D4271" t="s">
        <v>741</v>
      </c>
      <c r="F4271">
        <v>874813425</v>
      </c>
      <c r="G4271">
        <v>478371180</v>
      </c>
      <c r="H4271">
        <v>542818017</v>
      </c>
      <c r="I4271">
        <v>370389640</v>
      </c>
      <c r="J4271">
        <v>738925332</v>
      </c>
      <c r="K4271">
        <v>1301023065</v>
      </c>
      <c r="L4271">
        <v>1113196084</v>
      </c>
      <c r="M4271">
        <v>957593801</v>
      </c>
      <c r="N4271">
        <v>837168708</v>
      </c>
      <c r="O4271">
        <v>627903357</v>
      </c>
      <c r="P4271">
        <v>166</v>
      </c>
      <c r="Q4271" t="s">
        <v>8887</v>
      </c>
    </row>
    <row r="4272" spans="1:17" x14ac:dyDescent="0.3">
      <c r="A4272" t="s">
        <v>4729</v>
      </c>
      <c r="B4272" t="str">
        <f>"300472"</f>
        <v>300472</v>
      </c>
      <c r="C4272" t="s">
        <v>8888</v>
      </c>
      <c r="D4272" t="s">
        <v>741</v>
      </c>
      <c r="F4272">
        <v>684405861</v>
      </c>
      <c r="G4272">
        <v>442756052</v>
      </c>
      <c r="H4272">
        <v>485881377</v>
      </c>
      <c r="I4272">
        <v>535724014</v>
      </c>
      <c r="J4272">
        <v>302855977</v>
      </c>
      <c r="K4272">
        <v>219082697</v>
      </c>
      <c r="L4272">
        <v>214272084</v>
      </c>
      <c r="M4272">
        <v>192262400</v>
      </c>
      <c r="N4272">
        <v>173488723</v>
      </c>
      <c r="O4272">
        <v>163284123</v>
      </c>
      <c r="P4272">
        <v>78</v>
      </c>
      <c r="Q4272" t="s">
        <v>8889</v>
      </c>
    </row>
    <row r="4273" spans="1:17" x14ac:dyDescent="0.3">
      <c r="A4273" t="s">
        <v>4729</v>
      </c>
      <c r="B4273" t="str">
        <f>"300473"</f>
        <v>300473</v>
      </c>
      <c r="C4273" t="s">
        <v>8890</v>
      </c>
      <c r="D4273" t="s">
        <v>985</v>
      </c>
      <c r="F4273">
        <v>3663844900</v>
      </c>
      <c r="G4273">
        <v>3386292920</v>
      </c>
      <c r="H4273">
        <v>3861073195</v>
      </c>
      <c r="I4273">
        <v>3820841805</v>
      </c>
      <c r="J4273">
        <v>2540913520</v>
      </c>
      <c r="K4273">
        <v>622677374</v>
      </c>
      <c r="L4273">
        <v>694569353</v>
      </c>
      <c r="M4273">
        <v>674476088</v>
      </c>
      <c r="N4273">
        <v>612381422</v>
      </c>
      <c r="O4273">
        <v>538840143</v>
      </c>
      <c r="P4273">
        <v>142</v>
      </c>
      <c r="Q4273" t="s">
        <v>8891</v>
      </c>
    </row>
    <row r="4274" spans="1:17" x14ac:dyDescent="0.3">
      <c r="A4274" t="s">
        <v>4729</v>
      </c>
      <c r="B4274" t="str">
        <f>"300474"</f>
        <v>300474</v>
      </c>
      <c r="C4274" t="s">
        <v>8892</v>
      </c>
      <c r="D4274" t="s">
        <v>1136</v>
      </c>
      <c r="F4274">
        <v>1093200462</v>
      </c>
      <c r="G4274">
        <v>653772093</v>
      </c>
      <c r="H4274">
        <v>530787249</v>
      </c>
      <c r="I4274">
        <v>397217860</v>
      </c>
      <c r="J4274">
        <v>306245883</v>
      </c>
      <c r="K4274">
        <v>278005821</v>
      </c>
      <c r="L4274">
        <v>239679665</v>
      </c>
      <c r="M4274">
        <v>204795417</v>
      </c>
      <c r="N4274">
        <v>163064949</v>
      </c>
      <c r="P4274">
        <v>513</v>
      </c>
      <c r="Q4274" t="s">
        <v>8893</v>
      </c>
    </row>
    <row r="4275" spans="1:17" x14ac:dyDescent="0.3">
      <c r="A4275" t="s">
        <v>4729</v>
      </c>
      <c r="B4275" t="str">
        <f>"300475"</f>
        <v>300475</v>
      </c>
      <c r="C4275" t="s">
        <v>8894</v>
      </c>
      <c r="D4275" t="s">
        <v>1253</v>
      </c>
      <c r="F4275">
        <v>9205693339</v>
      </c>
      <c r="G4275">
        <v>264781879</v>
      </c>
      <c r="H4275">
        <v>301072392</v>
      </c>
      <c r="I4275">
        <v>306562975</v>
      </c>
      <c r="J4275">
        <v>477019133</v>
      </c>
      <c r="K4275">
        <v>481463469</v>
      </c>
      <c r="L4275">
        <v>384611486</v>
      </c>
      <c r="M4275">
        <v>458089678</v>
      </c>
      <c r="N4275">
        <v>392850626</v>
      </c>
      <c r="O4275">
        <v>395458774</v>
      </c>
      <c r="P4275">
        <v>92</v>
      </c>
      <c r="Q4275" t="s">
        <v>8895</v>
      </c>
    </row>
    <row r="4276" spans="1:17" x14ac:dyDescent="0.3">
      <c r="A4276" t="s">
        <v>4729</v>
      </c>
      <c r="B4276" t="str">
        <f>"300476"</f>
        <v>300476</v>
      </c>
      <c r="C4276" t="s">
        <v>8896</v>
      </c>
      <c r="D4276" t="s">
        <v>425</v>
      </c>
      <c r="F4276">
        <v>7432014585</v>
      </c>
      <c r="G4276">
        <v>5599607086</v>
      </c>
      <c r="H4276">
        <v>3884618906</v>
      </c>
      <c r="I4276">
        <v>3303949317</v>
      </c>
      <c r="J4276">
        <v>2442144690</v>
      </c>
      <c r="K4276">
        <v>1817694997</v>
      </c>
      <c r="L4276">
        <v>1284631484</v>
      </c>
      <c r="M4276">
        <v>1086725416</v>
      </c>
      <c r="N4276">
        <v>980114888</v>
      </c>
      <c r="O4276">
        <v>954178298</v>
      </c>
      <c r="P4276">
        <v>633</v>
      </c>
      <c r="Q4276" t="s">
        <v>8897</v>
      </c>
    </row>
    <row r="4277" spans="1:17" x14ac:dyDescent="0.3">
      <c r="A4277" t="s">
        <v>4729</v>
      </c>
      <c r="B4277" t="str">
        <f>"300477"</f>
        <v>300477</v>
      </c>
      <c r="C4277" t="s">
        <v>8898</v>
      </c>
      <c r="D4277" t="s">
        <v>210</v>
      </c>
      <c r="F4277">
        <v>2430611520</v>
      </c>
      <c r="G4277">
        <v>1299550004</v>
      </c>
      <c r="H4277">
        <v>1894304153</v>
      </c>
      <c r="I4277">
        <v>2007514867</v>
      </c>
      <c r="J4277">
        <v>2109345874</v>
      </c>
      <c r="K4277">
        <v>1261973945</v>
      </c>
      <c r="L4277">
        <v>1117448993</v>
      </c>
      <c r="M4277">
        <v>911464692</v>
      </c>
      <c r="N4277">
        <v>714235240</v>
      </c>
      <c r="O4277">
        <v>516650536</v>
      </c>
      <c r="P4277">
        <v>100</v>
      </c>
      <c r="Q4277" t="s">
        <v>8899</v>
      </c>
    </row>
    <row r="4278" spans="1:17" x14ac:dyDescent="0.3">
      <c r="A4278" t="s">
        <v>4729</v>
      </c>
      <c r="B4278" t="str">
        <f>"300478"</f>
        <v>300478</v>
      </c>
      <c r="C4278" t="s">
        <v>8900</v>
      </c>
      <c r="D4278" t="s">
        <v>341</v>
      </c>
      <c r="F4278">
        <v>387131927</v>
      </c>
      <c r="G4278">
        <v>411206777</v>
      </c>
      <c r="H4278">
        <v>697250232</v>
      </c>
      <c r="I4278">
        <v>853198214</v>
      </c>
      <c r="J4278">
        <v>651537809</v>
      </c>
      <c r="K4278">
        <v>561567901</v>
      </c>
      <c r="L4278">
        <v>542310639</v>
      </c>
      <c r="M4278">
        <v>572955064</v>
      </c>
      <c r="N4278">
        <v>540605905</v>
      </c>
      <c r="O4278">
        <v>475758824</v>
      </c>
      <c r="P4278">
        <v>58</v>
      </c>
      <c r="Q4278" t="s">
        <v>8901</v>
      </c>
    </row>
    <row r="4279" spans="1:17" x14ac:dyDescent="0.3">
      <c r="A4279" t="s">
        <v>4729</v>
      </c>
      <c r="B4279" t="str">
        <f>"300479"</f>
        <v>300479</v>
      </c>
      <c r="C4279" t="s">
        <v>8902</v>
      </c>
      <c r="D4279" t="s">
        <v>236</v>
      </c>
      <c r="F4279">
        <v>366141922</v>
      </c>
      <c r="G4279">
        <v>375594360</v>
      </c>
      <c r="H4279">
        <v>470389565</v>
      </c>
      <c r="I4279">
        <v>405492306</v>
      </c>
      <c r="J4279">
        <v>355685323</v>
      </c>
      <c r="K4279">
        <v>279334477</v>
      </c>
      <c r="L4279">
        <v>349194915</v>
      </c>
      <c r="M4279">
        <v>247475736</v>
      </c>
      <c r="N4279">
        <v>212126967</v>
      </c>
      <c r="O4279">
        <v>201770856</v>
      </c>
      <c r="P4279">
        <v>167</v>
      </c>
      <c r="Q4279" t="s">
        <v>8903</v>
      </c>
    </row>
    <row r="4280" spans="1:17" x14ac:dyDescent="0.3">
      <c r="A4280" t="s">
        <v>4729</v>
      </c>
      <c r="B4280" t="str">
        <f>"300480"</f>
        <v>300480</v>
      </c>
      <c r="C4280" t="s">
        <v>8904</v>
      </c>
      <c r="D4280" t="s">
        <v>395</v>
      </c>
      <c r="F4280">
        <v>530238266</v>
      </c>
      <c r="G4280">
        <v>311304368</v>
      </c>
      <c r="H4280">
        <v>296641365</v>
      </c>
      <c r="I4280">
        <v>253643841</v>
      </c>
      <c r="J4280">
        <v>192488927</v>
      </c>
      <c r="K4280">
        <v>132153170</v>
      </c>
      <c r="L4280">
        <v>120714008</v>
      </c>
      <c r="M4280">
        <v>127310495</v>
      </c>
      <c r="N4280">
        <v>140359988</v>
      </c>
      <c r="O4280">
        <v>132486726</v>
      </c>
      <c r="P4280">
        <v>84</v>
      </c>
      <c r="Q4280" t="s">
        <v>8905</v>
      </c>
    </row>
    <row r="4281" spans="1:17" x14ac:dyDescent="0.3">
      <c r="A4281" t="s">
        <v>4729</v>
      </c>
      <c r="B4281" t="str">
        <f>"300481"</f>
        <v>300481</v>
      </c>
      <c r="C4281" t="s">
        <v>8906</v>
      </c>
      <c r="D4281" t="s">
        <v>2408</v>
      </c>
      <c r="F4281">
        <v>1393260092</v>
      </c>
      <c r="G4281">
        <v>912941814</v>
      </c>
      <c r="H4281">
        <v>680253790</v>
      </c>
      <c r="I4281">
        <v>635842505</v>
      </c>
      <c r="J4281">
        <v>540919477</v>
      </c>
      <c r="K4281">
        <v>375797253</v>
      </c>
      <c r="L4281">
        <v>350212915</v>
      </c>
      <c r="M4281">
        <v>375609252</v>
      </c>
      <c r="N4281">
        <v>392346757</v>
      </c>
      <c r="O4281">
        <v>374037794</v>
      </c>
      <c r="P4281">
        <v>354</v>
      </c>
      <c r="Q4281" t="s">
        <v>8907</v>
      </c>
    </row>
    <row r="4282" spans="1:17" x14ac:dyDescent="0.3">
      <c r="A4282" t="s">
        <v>4729</v>
      </c>
      <c r="B4282" t="str">
        <f>"300482"</f>
        <v>300482</v>
      </c>
      <c r="C4282" t="s">
        <v>8908</v>
      </c>
      <c r="D4282" t="s">
        <v>1305</v>
      </c>
      <c r="F4282">
        <v>3361043277</v>
      </c>
      <c r="G4282">
        <v>2810841254</v>
      </c>
      <c r="H4282">
        <v>2072320901</v>
      </c>
      <c r="I4282">
        <v>1650059430</v>
      </c>
      <c r="J4282">
        <v>1145484483</v>
      </c>
      <c r="K4282">
        <v>547353287</v>
      </c>
      <c r="L4282">
        <v>428779834</v>
      </c>
      <c r="M4282">
        <v>365395893</v>
      </c>
      <c r="N4282">
        <v>247643091</v>
      </c>
      <c r="O4282">
        <v>227353601</v>
      </c>
      <c r="P4282">
        <v>17063</v>
      </c>
      <c r="Q4282" t="s">
        <v>8909</v>
      </c>
    </row>
    <row r="4283" spans="1:17" x14ac:dyDescent="0.3">
      <c r="A4283" t="s">
        <v>4729</v>
      </c>
      <c r="B4283" t="str">
        <f>"300483"</f>
        <v>300483</v>
      </c>
      <c r="C4283" t="s">
        <v>8910</v>
      </c>
      <c r="D4283" t="s">
        <v>749</v>
      </c>
      <c r="F4283">
        <v>1823556314</v>
      </c>
      <c r="G4283">
        <v>1525535323</v>
      </c>
      <c r="H4283">
        <v>1530646880</v>
      </c>
      <c r="I4283">
        <v>338622752</v>
      </c>
      <c r="J4283">
        <v>384919111</v>
      </c>
      <c r="K4283">
        <v>320664441</v>
      </c>
      <c r="L4283">
        <v>384928679</v>
      </c>
      <c r="M4283">
        <v>387875600</v>
      </c>
      <c r="N4283">
        <v>371947171</v>
      </c>
      <c r="O4283">
        <v>297953866</v>
      </c>
      <c r="P4283">
        <v>140</v>
      </c>
      <c r="Q4283" t="s">
        <v>8911</v>
      </c>
    </row>
    <row r="4284" spans="1:17" x14ac:dyDescent="0.3">
      <c r="A4284" t="s">
        <v>4729</v>
      </c>
      <c r="B4284" t="str">
        <f>"300484"</f>
        <v>300484</v>
      </c>
      <c r="C4284" t="s">
        <v>8912</v>
      </c>
      <c r="D4284" t="s">
        <v>2432</v>
      </c>
      <c r="F4284">
        <v>511913070</v>
      </c>
      <c r="G4284">
        <v>400700586</v>
      </c>
      <c r="H4284">
        <v>320088120</v>
      </c>
      <c r="I4284">
        <v>401836848</v>
      </c>
      <c r="J4284">
        <v>578998851</v>
      </c>
      <c r="K4284">
        <v>677861622</v>
      </c>
      <c r="L4284">
        <v>309821094</v>
      </c>
      <c r="M4284">
        <v>204725356</v>
      </c>
      <c r="N4284">
        <v>213418917</v>
      </c>
      <c r="O4284">
        <v>160415751</v>
      </c>
      <c r="P4284">
        <v>219</v>
      </c>
      <c r="Q4284" t="s">
        <v>8913</v>
      </c>
    </row>
    <row r="4285" spans="1:17" x14ac:dyDescent="0.3">
      <c r="A4285" t="s">
        <v>4729</v>
      </c>
      <c r="B4285" t="str">
        <f>"300485"</f>
        <v>300485</v>
      </c>
      <c r="C4285" t="s">
        <v>8914</v>
      </c>
      <c r="D4285" t="s">
        <v>1379</v>
      </c>
      <c r="F4285">
        <v>1050805089</v>
      </c>
      <c r="G4285">
        <v>1094225280</v>
      </c>
      <c r="H4285">
        <v>1190902506</v>
      </c>
      <c r="I4285">
        <v>1427750944</v>
      </c>
      <c r="J4285">
        <v>749986848</v>
      </c>
      <c r="K4285">
        <v>616238487</v>
      </c>
      <c r="L4285">
        <v>607138311</v>
      </c>
      <c r="M4285">
        <v>589846386</v>
      </c>
      <c r="N4285">
        <v>480212178</v>
      </c>
      <c r="O4285">
        <v>396012791</v>
      </c>
      <c r="P4285">
        <v>196</v>
      </c>
      <c r="Q4285" t="s">
        <v>8915</v>
      </c>
    </row>
    <row r="4286" spans="1:17" x14ac:dyDescent="0.3">
      <c r="A4286" t="s">
        <v>4729</v>
      </c>
      <c r="B4286" t="str">
        <f>"300486"</f>
        <v>300486</v>
      </c>
      <c r="C4286" t="s">
        <v>8916</v>
      </c>
      <c r="D4286" t="s">
        <v>3477</v>
      </c>
      <c r="F4286">
        <v>1299730482</v>
      </c>
      <c r="G4286">
        <v>1034515856</v>
      </c>
      <c r="H4286">
        <v>736322162</v>
      </c>
      <c r="I4286">
        <v>698104908</v>
      </c>
      <c r="J4286">
        <v>507673868</v>
      </c>
      <c r="K4286">
        <v>198939691</v>
      </c>
      <c r="L4286">
        <v>365652267</v>
      </c>
      <c r="M4286">
        <v>396114709</v>
      </c>
      <c r="N4286">
        <v>386520440</v>
      </c>
      <c r="O4286">
        <v>371822227</v>
      </c>
      <c r="P4286">
        <v>74</v>
      </c>
      <c r="Q4286" t="s">
        <v>8917</v>
      </c>
    </row>
    <row r="4287" spans="1:17" x14ac:dyDescent="0.3">
      <c r="A4287" t="s">
        <v>4729</v>
      </c>
      <c r="B4287" t="str">
        <f>"300487"</f>
        <v>300487</v>
      </c>
      <c r="C4287" t="s">
        <v>8918</v>
      </c>
      <c r="D4287" t="s">
        <v>3377</v>
      </c>
      <c r="F4287">
        <v>1194906530</v>
      </c>
      <c r="G4287">
        <v>922630930</v>
      </c>
      <c r="H4287">
        <v>1011930330</v>
      </c>
      <c r="I4287">
        <v>631986784</v>
      </c>
      <c r="J4287">
        <v>444242473</v>
      </c>
      <c r="K4287">
        <v>332405997</v>
      </c>
      <c r="L4287">
        <v>295373405</v>
      </c>
      <c r="M4287">
        <v>286037980</v>
      </c>
      <c r="N4287">
        <v>254176836</v>
      </c>
      <c r="O4287">
        <v>221010910</v>
      </c>
      <c r="P4287">
        <v>374</v>
      </c>
      <c r="Q4287" t="s">
        <v>8919</v>
      </c>
    </row>
    <row r="4288" spans="1:17" x14ac:dyDescent="0.3">
      <c r="A4288" t="s">
        <v>4729</v>
      </c>
      <c r="B4288" t="str">
        <f>"300488"</f>
        <v>300488</v>
      </c>
      <c r="C4288" t="s">
        <v>8920</v>
      </c>
      <c r="D4288" t="s">
        <v>274</v>
      </c>
      <c r="F4288">
        <v>509320953</v>
      </c>
      <c r="G4288">
        <v>387231605</v>
      </c>
      <c r="H4288">
        <v>351693735</v>
      </c>
      <c r="I4288">
        <v>362532501</v>
      </c>
      <c r="J4288">
        <v>324077136</v>
      </c>
      <c r="K4288">
        <v>209163699</v>
      </c>
      <c r="L4288">
        <v>183857804</v>
      </c>
      <c r="M4288">
        <v>173231563</v>
      </c>
      <c r="N4288">
        <v>148939046</v>
      </c>
      <c r="O4288">
        <v>160425682</v>
      </c>
      <c r="P4288">
        <v>120</v>
      </c>
      <c r="Q4288" t="s">
        <v>8921</v>
      </c>
    </row>
    <row r="4289" spans="1:17" x14ac:dyDescent="0.3">
      <c r="A4289" t="s">
        <v>4729</v>
      </c>
      <c r="B4289" t="str">
        <f>"300489"</f>
        <v>300489</v>
      </c>
      <c r="C4289" t="s">
        <v>8922</v>
      </c>
      <c r="D4289" t="s">
        <v>504</v>
      </c>
      <c r="F4289">
        <v>724029119</v>
      </c>
      <c r="G4289">
        <v>415409136</v>
      </c>
      <c r="H4289">
        <v>129134395</v>
      </c>
      <c r="I4289">
        <v>147054140</v>
      </c>
      <c r="J4289">
        <v>143853441</v>
      </c>
      <c r="K4289">
        <v>137685927</v>
      </c>
      <c r="L4289">
        <v>129178866</v>
      </c>
      <c r="M4289">
        <v>157253982</v>
      </c>
      <c r="N4289">
        <v>156812569</v>
      </c>
      <c r="O4289">
        <v>160257864</v>
      </c>
      <c r="P4289">
        <v>71</v>
      </c>
      <c r="Q4289" t="s">
        <v>8923</v>
      </c>
    </row>
    <row r="4290" spans="1:17" x14ac:dyDescent="0.3">
      <c r="A4290" t="s">
        <v>4729</v>
      </c>
      <c r="B4290" t="str">
        <f>"300490"</f>
        <v>300490</v>
      </c>
      <c r="C4290" t="s">
        <v>8924</v>
      </c>
      <c r="D4290" t="s">
        <v>610</v>
      </c>
      <c r="F4290">
        <v>2268469360</v>
      </c>
      <c r="G4290">
        <v>1162285734</v>
      </c>
      <c r="H4290">
        <v>1438860203</v>
      </c>
      <c r="I4290">
        <v>1379966749</v>
      </c>
      <c r="J4290">
        <v>621106157</v>
      </c>
      <c r="K4290">
        <v>515229433</v>
      </c>
      <c r="L4290">
        <v>419324528</v>
      </c>
      <c r="M4290">
        <v>358460782</v>
      </c>
      <c r="N4290">
        <v>342223633</v>
      </c>
      <c r="O4290">
        <v>331066299</v>
      </c>
      <c r="P4290">
        <v>161</v>
      </c>
      <c r="Q4290" t="s">
        <v>8925</v>
      </c>
    </row>
    <row r="4291" spans="1:17" x14ac:dyDescent="0.3">
      <c r="A4291" t="s">
        <v>4729</v>
      </c>
      <c r="B4291" t="str">
        <f>"300491"</f>
        <v>300491</v>
      </c>
      <c r="C4291" t="s">
        <v>8926</v>
      </c>
      <c r="D4291" t="s">
        <v>880</v>
      </c>
      <c r="F4291">
        <v>421068362</v>
      </c>
      <c r="G4291">
        <v>320586339</v>
      </c>
      <c r="H4291">
        <v>276716690</v>
      </c>
      <c r="I4291">
        <v>161987385</v>
      </c>
      <c r="J4291">
        <v>216878674</v>
      </c>
      <c r="K4291">
        <v>222645429</v>
      </c>
      <c r="L4291">
        <v>185471519</v>
      </c>
      <c r="M4291">
        <v>149994813</v>
      </c>
      <c r="N4291">
        <v>134393169</v>
      </c>
      <c r="O4291">
        <v>111292953</v>
      </c>
      <c r="P4291">
        <v>94</v>
      </c>
      <c r="Q4291" t="s">
        <v>8927</v>
      </c>
    </row>
    <row r="4292" spans="1:17" x14ac:dyDescent="0.3">
      <c r="A4292" t="s">
        <v>4729</v>
      </c>
      <c r="B4292" t="str">
        <f>"300492"</f>
        <v>300492</v>
      </c>
      <c r="C4292" t="s">
        <v>8928</v>
      </c>
      <c r="D4292" t="s">
        <v>1272</v>
      </c>
      <c r="F4292">
        <v>110006825</v>
      </c>
      <c r="G4292">
        <v>125453391</v>
      </c>
      <c r="H4292">
        <v>213738817</v>
      </c>
      <c r="I4292">
        <v>215946744</v>
      </c>
      <c r="J4292">
        <v>149941000</v>
      </c>
      <c r="K4292">
        <v>157718068</v>
      </c>
      <c r="L4292">
        <v>185468314</v>
      </c>
      <c r="M4292">
        <v>201821609</v>
      </c>
      <c r="N4292">
        <v>227423145</v>
      </c>
      <c r="O4292">
        <v>193688218</v>
      </c>
      <c r="P4292">
        <v>94</v>
      </c>
      <c r="Q4292" t="s">
        <v>8929</v>
      </c>
    </row>
    <row r="4293" spans="1:17" x14ac:dyDescent="0.3">
      <c r="A4293" t="s">
        <v>4729</v>
      </c>
      <c r="B4293" t="str">
        <f>"300493"</f>
        <v>300493</v>
      </c>
      <c r="C4293" t="s">
        <v>8930</v>
      </c>
      <c r="D4293" t="s">
        <v>651</v>
      </c>
      <c r="F4293">
        <v>1857606310</v>
      </c>
      <c r="G4293">
        <v>1386737662</v>
      </c>
      <c r="H4293">
        <v>1450109005</v>
      </c>
      <c r="I4293">
        <v>1693190645</v>
      </c>
      <c r="J4293">
        <v>1829510096</v>
      </c>
      <c r="K4293">
        <v>1538917302</v>
      </c>
      <c r="L4293">
        <v>1143400653</v>
      </c>
      <c r="M4293">
        <v>1010610036</v>
      </c>
      <c r="N4293">
        <v>996046586</v>
      </c>
      <c r="O4293">
        <v>941233845</v>
      </c>
      <c r="P4293">
        <v>187</v>
      </c>
      <c r="Q4293" t="s">
        <v>8931</v>
      </c>
    </row>
    <row r="4294" spans="1:17" x14ac:dyDescent="0.3">
      <c r="A4294" t="s">
        <v>4729</v>
      </c>
      <c r="B4294" t="str">
        <f>"300494"</f>
        <v>300494</v>
      </c>
      <c r="C4294" t="s">
        <v>8932</v>
      </c>
      <c r="D4294" t="s">
        <v>517</v>
      </c>
      <c r="F4294">
        <v>1220829809</v>
      </c>
      <c r="G4294">
        <v>895876744</v>
      </c>
      <c r="H4294">
        <v>660724957</v>
      </c>
      <c r="I4294">
        <v>494718723</v>
      </c>
      <c r="J4294">
        <v>388369351</v>
      </c>
      <c r="K4294">
        <v>344109967</v>
      </c>
      <c r="L4294">
        <v>239788184</v>
      </c>
      <c r="M4294">
        <v>231705215</v>
      </c>
      <c r="N4294">
        <v>213126985</v>
      </c>
      <c r="O4294">
        <v>170425065</v>
      </c>
      <c r="P4294">
        <v>134</v>
      </c>
      <c r="Q4294" t="s">
        <v>8933</v>
      </c>
    </row>
    <row r="4295" spans="1:17" x14ac:dyDescent="0.3">
      <c r="A4295" t="s">
        <v>4729</v>
      </c>
      <c r="B4295" t="str">
        <f>"300495"</f>
        <v>300495</v>
      </c>
      <c r="C4295" t="s">
        <v>8934</v>
      </c>
      <c r="D4295" t="s">
        <v>2417</v>
      </c>
      <c r="F4295">
        <v>213773347</v>
      </c>
      <c r="G4295">
        <v>1341317036</v>
      </c>
      <c r="H4295">
        <v>1945444966</v>
      </c>
      <c r="I4295">
        <v>2298868545</v>
      </c>
      <c r="J4295">
        <v>2303651537</v>
      </c>
      <c r="K4295">
        <v>1054893316</v>
      </c>
      <c r="L4295">
        <v>580346645</v>
      </c>
      <c r="M4295">
        <v>572728390</v>
      </c>
      <c r="N4295">
        <v>535264361</v>
      </c>
      <c r="O4295">
        <v>363321729</v>
      </c>
      <c r="P4295">
        <v>103</v>
      </c>
      <c r="Q4295" t="s">
        <v>8935</v>
      </c>
    </row>
    <row r="4296" spans="1:17" x14ac:dyDescent="0.3">
      <c r="A4296" t="s">
        <v>4729</v>
      </c>
      <c r="B4296" t="str">
        <f>"300496"</f>
        <v>300496</v>
      </c>
      <c r="C4296" t="s">
        <v>8936</v>
      </c>
      <c r="D4296" t="s">
        <v>316</v>
      </c>
      <c r="F4296">
        <v>4126742467</v>
      </c>
      <c r="G4296">
        <v>2627883627</v>
      </c>
      <c r="H4296">
        <v>1826858645</v>
      </c>
      <c r="I4296">
        <v>1464583745</v>
      </c>
      <c r="J4296">
        <v>1162327241</v>
      </c>
      <c r="K4296">
        <v>847902182</v>
      </c>
      <c r="L4296">
        <v>615463340</v>
      </c>
      <c r="M4296">
        <v>452209594</v>
      </c>
      <c r="N4296">
        <v>336272514</v>
      </c>
      <c r="O4296">
        <v>252123477</v>
      </c>
      <c r="P4296">
        <v>1141</v>
      </c>
      <c r="Q4296" t="s">
        <v>8937</v>
      </c>
    </row>
    <row r="4297" spans="1:17" x14ac:dyDescent="0.3">
      <c r="A4297" t="s">
        <v>4729</v>
      </c>
      <c r="B4297" t="str">
        <f>"300497"</f>
        <v>300497</v>
      </c>
      <c r="C4297" t="s">
        <v>8938</v>
      </c>
      <c r="D4297" t="s">
        <v>496</v>
      </c>
      <c r="F4297">
        <v>1429542875</v>
      </c>
      <c r="G4297">
        <v>1492952991</v>
      </c>
      <c r="H4297">
        <v>1354046811</v>
      </c>
      <c r="I4297">
        <v>1163433590</v>
      </c>
      <c r="J4297">
        <v>958150476</v>
      </c>
      <c r="K4297">
        <v>763686935</v>
      </c>
      <c r="L4297">
        <v>579743065</v>
      </c>
      <c r="M4297">
        <v>510727122</v>
      </c>
      <c r="N4297">
        <v>442842087</v>
      </c>
      <c r="O4297">
        <v>360320580</v>
      </c>
      <c r="P4297">
        <v>4722</v>
      </c>
      <c r="Q4297" t="s">
        <v>8939</v>
      </c>
    </row>
    <row r="4298" spans="1:17" x14ac:dyDescent="0.3">
      <c r="A4298" t="s">
        <v>4729</v>
      </c>
      <c r="B4298" t="str">
        <f>"300498"</f>
        <v>300498</v>
      </c>
      <c r="C4298" t="s">
        <v>8940</v>
      </c>
      <c r="D4298" t="s">
        <v>1900</v>
      </c>
      <c r="F4298">
        <v>64954064170</v>
      </c>
      <c r="G4298">
        <v>74923760204</v>
      </c>
      <c r="H4298">
        <v>73120412620</v>
      </c>
      <c r="I4298">
        <v>57235997042</v>
      </c>
      <c r="J4298">
        <v>55657160144</v>
      </c>
      <c r="K4298">
        <v>59355237219</v>
      </c>
      <c r="L4298">
        <v>48237369755</v>
      </c>
      <c r="M4298">
        <v>38040226859</v>
      </c>
      <c r="N4298">
        <v>35187057452</v>
      </c>
      <c r="O4298">
        <v>33453171790</v>
      </c>
      <c r="P4298">
        <v>2457</v>
      </c>
      <c r="Q4298" t="s">
        <v>8941</v>
      </c>
    </row>
    <row r="4299" spans="1:17" x14ac:dyDescent="0.3">
      <c r="A4299" t="s">
        <v>4729</v>
      </c>
      <c r="B4299" t="str">
        <f>"300499"</f>
        <v>300499</v>
      </c>
      <c r="C4299" t="s">
        <v>8942</v>
      </c>
      <c r="D4299" t="s">
        <v>741</v>
      </c>
      <c r="F4299">
        <v>1679257597</v>
      </c>
      <c r="G4299">
        <v>1228232282</v>
      </c>
      <c r="H4299">
        <v>816824961</v>
      </c>
      <c r="I4299">
        <v>653313498</v>
      </c>
      <c r="J4299">
        <v>558929483</v>
      </c>
      <c r="K4299">
        <v>468995731</v>
      </c>
      <c r="L4299">
        <v>354098406</v>
      </c>
      <c r="M4299">
        <v>283655388</v>
      </c>
      <c r="N4299">
        <v>280347171</v>
      </c>
      <c r="O4299">
        <v>248268391</v>
      </c>
      <c r="P4299">
        <v>135</v>
      </c>
      <c r="Q4299" t="s">
        <v>8943</v>
      </c>
    </row>
    <row r="4300" spans="1:17" x14ac:dyDescent="0.3">
      <c r="A4300" t="s">
        <v>4729</v>
      </c>
      <c r="B4300" t="str">
        <f>"300500"</f>
        <v>300500</v>
      </c>
      <c r="C4300" t="s">
        <v>8944</v>
      </c>
      <c r="D4300" t="s">
        <v>1272</v>
      </c>
      <c r="F4300">
        <v>2301253090</v>
      </c>
      <c r="G4300">
        <v>1849929850</v>
      </c>
      <c r="H4300">
        <v>1254286084</v>
      </c>
      <c r="I4300">
        <v>1093728068</v>
      </c>
      <c r="J4300">
        <v>508159438</v>
      </c>
      <c r="K4300">
        <v>392312708</v>
      </c>
      <c r="L4300">
        <v>332307346</v>
      </c>
      <c r="M4300">
        <v>338029212</v>
      </c>
      <c r="N4300">
        <v>285016745</v>
      </c>
      <c r="O4300">
        <v>251833095</v>
      </c>
      <c r="P4300">
        <v>100</v>
      </c>
      <c r="Q4300" t="s">
        <v>8945</v>
      </c>
    </row>
    <row r="4301" spans="1:17" x14ac:dyDescent="0.3">
      <c r="A4301" t="s">
        <v>4729</v>
      </c>
      <c r="B4301" t="str">
        <f>"300501"</f>
        <v>300501</v>
      </c>
      <c r="C4301" t="s">
        <v>8946</v>
      </c>
      <c r="D4301" t="s">
        <v>2448</v>
      </c>
      <c r="F4301">
        <v>856857796</v>
      </c>
      <c r="G4301">
        <v>713784962</v>
      </c>
      <c r="H4301">
        <v>621030371</v>
      </c>
      <c r="I4301">
        <v>507195936</v>
      </c>
      <c r="J4301">
        <v>375617178</v>
      </c>
      <c r="K4301">
        <v>301275888</v>
      </c>
      <c r="L4301">
        <v>293978432</v>
      </c>
      <c r="M4301">
        <v>289849722</v>
      </c>
      <c r="N4301">
        <v>277366831</v>
      </c>
      <c r="O4301">
        <v>210237308</v>
      </c>
      <c r="P4301">
        <v>131</v>
      </c>
      <c r="Q4301" t="s">
        <v>8947</v>
      </c>
    </row>
    <row r="4302" spans="1:17" x14ac:dyDescent="0.3">
      <c r="A4302" t="s">
        <v>4729</v>
      </c>
      <c r="B4302" t="str">
        <f>"300502"</f>
        <v>300502</v>
      </c>
      <c r="C4302" t="s">
        <v>8948</v>
      </c>
      <c r="D4302" t="s">
        <v>1019</v>
      </c>
      <c r="F4302">
        <v>2908376064</v>
      </c>
      <c r="G4302">
        <v>1997937746</v>
      </c>
      <c r="H4302">
        <v>1164873682</v>
      </c>
      <c r="I4302">
        <v>759950285</v>
      </c>
      <c r="J4302">
        <v>877365362</v>
      </c>
      <c r="K4302">
        <v>713931651</v>
      </c>
      <c r="L4302">
        <v>615119575</v>
      </c>
      <c r="M4302">
        <v>522634268</v>
      </c>
      <c r="N4302">
        <v>461048996</v>
      </c>
      <c r="P4302">
        <v>636</v>
      </c>
      <c r="Q4302" t="s">
        <v>8949</v>
      </c>
    </row>
    <row r="4303" spans="1:17" x14ac:dyDescent="0.3">
      <c r="A4303" t="s">
        <v>4729</v>
      </c>
      <c r="B4303" t="str">
        <f>"300503"</f>
        <v>300503</v>
      </c>
      <c r="C4303" t="s">
        <v>8950</v>
      </c>
      <c r="D4303" t="s">
        <v>560</v>
      </c>
      <c r="F4303">
        <v>1139981968</v>
      </c>
      <c r="G4303">
        <v>874376904</v>
      </c>
      <c r="H4303">
        <v>351514016</v>
      </c>
      <c r="I4303">
        <v>461566819</v>
      </c>
      <c r="J4303">
        <v>445668317</v>
      </c>
      <c r="K4303">
        <v>330895691</v>
      </c>
      <c r="L4303">
        <v>221256747</v>
      </c>
      <c r="M4303">
        <v>200094464</v>
      </c>
      <c r="N4303">
        <v>252277957</v>
      </c>
      <c r="P4303">
        <v>136</v>
      </c>
      <c r="Q4303" t="s">
        <v>8951</v>
      </c>
    </row>
    <row r="4304" spans="1:17" x14ac:dyDescent="0.3">
      <c r="A4304" t="s">
        <v>4729</v>
      </c>
      <c r="B4304" t="str">
        <f>"300504"</f>
        <v>300504</v>
      </c>
      <c r="C4304" t="s">
        <v>8952</v>
      </c>
      <c r="D4304" t="s">
        <v>786</v>
      </c>
      <c r="F4304">
        <v>2398101571</v>
      </c>
      <c r="G4304">
        <v>1906262709</v>
      </c>
      <c r="H4304">
        <v>2137738779</v>
      </c>
      <c r="I4304">
        <v>2775005851</v>
      </c>
      <c r="J4304">
        <v>2354874134</v>
      </c>
      <c r="K4304">
        <v>1788484562</v>
      </c>
      <c r="L4304">
        <v>1086988314</v>
      </c>
      <c r="M4304">
        <v>556438923</v>
      </c>
      <c r="P4304">
        <v>176</v>
      </c>
      <c r="Q4304" t="s">
        <v>8953</v>
      </c>
    </row>
    <row r="4305" spans="1:17" x14ac:dyDescent="0.3">
      <c r="A4305" t="s">
        <v>4729</v>
      </c>
      <c r="B4305" t="str">
        <f>"300505"</f>
        <v>300505</v>
      </c>
      <c r="C4305" t="s">
        <v>8954</v>
      </c>
      <c r="D4305" t="s">
        <v>183</v>
      </c>
      <c r="F4305">
        <v>1535877611</v>
      </c>
      <c r="G4305">
        <v>1049808536</v>
      </c>
      <c r="H4305">
        <v>1125995639</v>
      </c>
      <c r="I4305">
        <v>965593161</v>
      </c>
      <c r="J4305">
        <v>799813585</v>
      </c>
      <c r="K4305">
        <v>646804505</v>
      </c>
      <c r="L4305">
        <v>545959541</v>
      </c>
      <c r="M4305">
        <v>460013112</v>
      </c>
      <c r="N4305">
        <v>533135702</v>
      </c>
      <c r="P4305">
        <v>97</v>
      </c>
      <c r="Q4305" t="s">
        <v>8955</v>
      </c>
    </row>
    <row r="4306" spans="1:17" x14ac:dyDescent="0.3">
      <c r="A4306" t="s">
        <v>4729</v>
      </c>
      <c r="B4306" t="str">
        <f>"300506"</f>
        <v>300506</v>
      </c>
      <c r="C4306" t="s">
        <v>8956</v>
      </c>
      <c r="D4306" t="s">
        <v>450</v>
      </c>
      <c r="F4306">
        <v>554353670</v>
      </c>
      <c r="G4306">
        <v>512877751</v>
      </c>
      <c r="H4306">
        <v>1252031928</v>
      </c>
      <c r="I4306">
        <v>1306695731</v>
      </c>
      <c r="J4306">
        <v>681959965</v>
      </c>
      <c r="K4306">
        <v>415779275</v>
      </c>
      <c r="L4306">
        <v>247523412</v>
      </c>
      <c r="M4306">
        <v>234815945</v>
      </c>
      <c r="N4306">
        <v>206262720</v>
      </c>
      <c r="O4306">
        <v>169346612</v>
      </c>
      <c r="P4306">
        <v>294</v>
      </c>
      <c r="Q4306" t="s">
        <v>8957</v>
      </c>
    </row>
    <row r="4307" spans="1:17" x14ac:dyDescent="0.3">
      <c r="A4307" t="s">
        <v>4729</v>
      </c>
      <c r="B4307" t="str">
        <f>"300507"</f>
        <v>300507</v>
      </c>
      <c r="C4307" t="s">
        <v>8958</v>
      </c>
      <c r="D4307" t="s">
        <v>348</v>
      </c>
      <c r="F4307">
        <v>857308376</v>
      </c>
      <c r="G4307">
        <v>813511447</v>
      </c>
      <c r="H4307">
        <v>705858214</v>
      </c>
      <c r="I4307">
        <v>667091221</v>
      </c>
      <c r="J4307">
        <v>601964600</v>
      </c>
      <c r="K4307">
        <v>575338160</v>
      </c>
      <c r="L4307">
        <v>469674508</v>
      </c>
      <c r="M4307">
        <v>461547376</v>
      </c>
      <c r="N4307">
        <v>394554259</v>
      </c>
      <c r="P4307">
        <v>137</v>
      </c>
      <c r="Q4307" t="s">
        <v>8959</v>
      </c>
    </row>
    <row r="4308" spans="1:17" x14ac:dyDescent="0.3">
      <c r="A4308" t="s">
        <v>4729</v>
      </c>
      <c r="B4308" t="str">
        <f>"300508"</f>
        <v>300508</v>
      </c>
      <c r="C4308" t="s">
        <v>8960</v>
      </c>
      <c r="D4308" t="s">
        <v>236</v>
      </c>
      <c r="F4308">
        <v>413487478</v>
      </c>
      <c r="G4308">
        <v>209241780</v>
      </c>
      <c r="H4308">
        <v>191349625</v>
      </c>
      <c r="I4308">
        <v>229287311</v>
      </c>
      <c r="J4308">
        <v>198629325</v>
      </c>
      <c r="K4308">
        <v>144072163</v>
      </c>
      <c r="L4308">
        <v>130577152</v>
      </c>
      <c r="M4308">
        <v>140522778</v>
      </c>
      <c r="N4308">
        <v>107937436</v>
      </c>
      <c r="P4308">
        <v>130</v>
      </c>
      <c r="Q4308" t="s">
        <v>8961</v>
      </c>
    </row>
    <row r="4309" spans="1:17" x14ac:dyDescent="0.3">
      <c r="A4309" t="s">
        <v>4729</v>
      </c>
      <c r="B4309" t="str">
        <f>"300509"</f>
        <v>300509</v>
      </c>
      <c r="C4309" t="s">
        <v>8962</v>
      </c>
      <c r="D4309" t="s">
        <v>3415</v>
      </c>
      <c r="F4309">
        <v>710146170</v>
      </c>
      <c r="G4309">
        <v>691498481</v>
      </c>
      <c r="H4309">
        <v>691941193</v>
      </c>
      <c r="I4309">
        <v>556488725</v>
      </c>
      <c r="J4309">
        <v>500484644</v>
      </c>
      <c r="K4309">
        <v>454057839</v>
      </c>
      <c r="L4309">
        <v>448284301</v>
      </c>
      <c r="M4309">
        <v>443349467</v>
      </c>
      <c r="N4309">
        <v>420468117</v>
      </c>
      <c r="P4309">
        <v>64</v>
      </c>
      <c r="Q4309" t="s">
        <v>8963</v>
      </c>
    </row>
    <row r="4310" spans="1:17" x14ac:dyDescent="0.3">
      <c r="A4310" t="s">
        <v>4729</v>
      </c>
      <c r="B4310" t="str">
        <f>"300510"</f>
        <v>300510</v>
      </c>
      <c r="C4310" t="s">
        <v>8964</v>
      </c>
      <c r="D4310" t="s">
        <v>610</v>
      </c>
      <c r="F4310">
        <v>1074261242</v>
      </c>
      <c r="G4310">
        <v>845185627</v>
      </c>
      <c r="H4310">
        <v>926686570</v>
      </c>
      <c r="I4310">
        <v>1241960602</v>
      </c>
      <c r="J4310">
        <v>741314476</v>
      </c>
      <c r="K4310">
        <v>378225978</v>
      </c>
      <c r="L4310">
        <v>261955582</v>
      </c>
      <c r="M4310">
        <v>240028460</v>
      </c>
      <c r="N4310">
        <v>194133550</v>
      </c>
      <c r="P4310">
        <v>115</v>
      </c>
      <c r="Q4310" t="s">
        <v>8965</v>
      </c>
    </row>
    <row r="4311" spans="1:17" x14ac:dyDescent="0.3">
      <c r="A4311" t="s">
        <v>4729</v>
      </c>
      <c r="B4311" t="str">
        <f>"300511"</f>
        <v>300511</v>
      </c>
      <c r="C4311" t="s">
        <v>8966</v>
      </c>
      <c r="D4311" t="s">
        <v>7331</v>
      </c>
      <c r="F4311">
        <v>2062828782</v>
      </c>
      <c r="G4311">
        <v>2202185874</v>
      </c>
      <c r="H4311">
        <v>1964574723</v>
      </c>
      <c r="I4311">
        <v>1846625656</v>
      </c>
      <c r="J4311">
        <v>1330283905</v>
      </c>
      <c r="K4311">
        <v>998677032</v>
      </c>
      <c r="L4311">
        <v>1019000968</v>
      </c>
      <c r="M4311">
        <v>888375399</v>
      </c>
      <c r="N4311">
        <v>773025361</v>
      </c>
      <c r="P4311">
        <v>301</v>
      </c>
      <c r="Q4311" t="s">
        <v>8967</v>
      </c>
    </row>
    <row r="4312" spans="1:17" x14ac:dyDescent="0.3">
      <c r="A4312" t="s">
        <v>4729</v>
      </c>
      <c r="B4312" t="str">
        <f>"300512"</f>
        <v>300512</v>
      </c>
      <c r="C4312" t="s">
        <v>8968</v>
      </c>
      <c r="D4312" t="s">
        <v>3415</v>
      </c>
      <c r="F4312">
        <v>1062992173</v>
      </c>
      <c r="G4312">
        <v>662050554</v>
      </c>
      <c r="H4312">
        <v>858139605</v>
      </c>
      <c r="I4312">
        <v>718186790</v>
      </c>
      <c r="J4312">
        <v>685988369</v>
      </c>
      <c r="K4312">
        <v>636239168</v>
      </c>
      <c r="L4312">
        <v>586595098</v>
      </c>
      <c r="M4312">
        <v>519765668</v>
      </c>
      <c r="N4312">
        <v>376786932</v>
      </c>
      <c r="P4312">
        <v>161</v>
      </c>
      <c r="Q4312" t="s">
        <v>8969</v>
      </c>
    </row>
    <row r="4313" spans="1:17" x14ac:dyDescent="0.3">
      <c r="A4313" t="s">
        <v>4729</v>
      </c>
      <c r="B4313" t="str">
        <f>"300513"</f>
        <v>300513</v>
      </c>
      <c r="C4313" t="s">
        <v>8970</v>
      </c>
      <c r="D4313" t="s">
        <v>654</v>
      </c>
      <c r="F4313">
        <v>1225152618</v>
      </c>
      <c r="G4313">
        <v>1417027881</v>
      </c>
      <c r="H4313">
        <v>1403588658</v>
      </c>
      <c r="I4313">
        <v>1090924385</v>
      </c>
      <c r="J4313">
        <v>545547473</v>
      </c>
      <c r="K4313">
        <v>432164944</v>
      </c>
      <c r="L4313">
        <v>407746039</v>
      </c>
      <c r="M4313">
        <v>349611539</v>
      </c>
      <c r="N4313">
        <v>419676772</v>
      </c>
      <c r="P4313">
        <v>160</v>
      </c>
      <c r="Q4313" t="s">
        <v>8971</v>
      </c>
    </row>
    <row r="4314" spans="1:17" x14ac:dyDescent="0.3">
      <c r="A4314" t="s">
        <v>4729</v>
      </c>
      <c r="B4314" t="str">
        <f>"300514"</f>
        <v>300514</v>
      </c>
      <c r="C4314" t="s">
        <v>8972</v>
      </c>
      <c r="D4314" t="s">
        <v>2180</v>
      </c>
      <c r="F4314">
        <v>865919886</v>
      </c>
      <c r="G4314">
        <v>659720984</v>
      </c>
      <c r="H4314">
        <v>780403666</v>
      </c>
      <c r="I4314">
        <v>697491114</v>
      </c>
      <c r="J4314">
        <v>601002679</v>
      </c>
      <c r="K4314">
        <v>457471100</v>
      </c>
      <c r="L4314">
        <v>350610565</v>
      </c>
      <c r="M4314">
        <v>375965794</v>
      </c>
      <c r="P4314">
        <v>148</v>
      </c>
      <c r="Q4314" t="s">
        <v>8973</v>
      </c>
    </row>
    <row r="4315" spans="1:17" x14ac:dyDescent="0.3">
      <c r="A4315" t="s">
        <v>4729</v>
      </c>
      <c r="B4315" t="str">
        <f>"300515"</f>
        <v>300515</v>
      </c>
      <c r="C4315" t="s">
        <v>8974</v>
      </c>
      <c r="D4315" t="s">
        <v>2566</v>
      </c>
      <c r="F4315">
        <v>384503341</v>
      </c>
      <c r="G4315">
        <v>319449176</v>
      </c>
      <c r="H4315">
        <v>282468174</v>
      </c>
      <c r="I4315">
        <v>254085675</v>
      </c>
      <c r="J4315">
        <v>206160685</v>
      </c>
      <c r="K4315">
        <v>208808146</v>
      </c>
      <c r="L4315">
        <v>224556445</v>
      </c>
      <c r="M4315">
        <v>223507280</v>
      </c>
      <c r="N4315">
        <v>213169454</v>
      </c>
      <c r="P4315">
        <v>80</v>
      </c>
      <c r="Q4315" t="s">
        <v>8975</v>
      </c>
    </row>
    <row r="4316" spans="1:17" x14ac:dyDescent="0.3">
      <c r="A4316" t="s">
        <v>4729</v>
      </c>
      <c r="B4316" t="str">
        <f>"300516"</f>
        <v>300516</v>
      </c>
      <c r="C4316" t="s">
        <v>8976</v>
      </c>
      <c r="D4316" t="s">
        <v>651</v>
      </c>
      <c r="F4316">
        <v>729095960</v>
      </c>
      <c r="G4316">
        <v>722748579</v>
      </c>
      <c r="H4316">
        <v>572701056</v>
      </c>
      <c r="I4316">
        <v>466991188</v>
      </c>
      <c r="J4316">
        <v>311153016</v>
      </c>
      <c r="K4316">
        <v>473196469</v>
      </c>
      <c r="L4316">
        <v>386339528</v>
      </c>
      <c r="M4316">
        <v>304836735</v>
      </c>
      <c r="N4316">
        <v>251643289</v>
      </c>
      <c r="P4316">
        <v>118</v>
      </c>
      <c r="Q4316" t="s">
        <v>8977</v>
      </c>
    </row>
    <row r="4317" spans="1:17" x14ac:dyDescent="0.3">
      <c r="A4317" t="s">
        <v>4729</v>
      </c>
      <c r="B4317" t="str">
        <f>"300517"</f>
        <v>300517</v>
      </c>
      <c r="C4317" t="s">
        <v>8978</v>
      </c>
      <c r="D4317" t="s">
        <v>978</v>
      </c>
      <c r="F4317">
        <v>1117898631</v>
      </c>
      <c r="G4317">
        <v>857230046</v>
      </c>
      <c r="H4317">
        <v>729422672</v>
      </c>
      <c r="I4317">
        <v>504462562</v>
      </c>
      <c r="J4317">
        <v>403868978</v>
      </c>
      <c r="K4317">
        <v>378942410</v>
      </c>
      <c r="L4317">
        <v>375741300</v>
      </c>
      <c r="M4317">
        <v>403181350</v>
      </c>
      <c r="N4317">
        <v>406267607</v>
      </c>
      <c r="P4317">
        <v>76</v>
      </c>
      <c r="Q4317" t="s">
        <v>8979</v>
      </c>
    </row>
    <row r="4318" spans="1:17" x14ac:dyDescent="0.3">
      <c r="A4318" t="s">
        <v>4729</v>
      </c>
      <c r="B4318" t="str">
        <f>"300518"</f>
        <v>300518</v>
      </c>
      <c r="C4318" t="s">
        <v>8980</v>
      </c>
      <c r="D4318" t="s">
        <v>517</v>
      </c>
      <c r="F4318">
        <v>479831659</v>
      </c>
      <c r="G4318">
        <v>203606129</v>
      </c>
      <c r="H4318">
        <v>215563254</v>
      </c>
      <c r="I4318">
        <v>410702318</v>
      </c>
      <c r="J4318">
        <v>243269492</v>
      </c>
      <c r="K4318">
        <v>207248461</v>
      </c>
      <c r="L4318">
        <v>203737081</v>
      </c>
      <c r="M4318">
        <v>205579756</v>
      </c>
      <c r="N4318">
        <v>199041053</v>
      </c>
      <c r="P4318">
        <v>91</v>
      </c>
      <c r="Q4318" t="s">
        <v>8981</v>
      </c>
    </row>
    <row r="4319" spans="1:17" x14ac:dyDescent="0.3">
      <c r="A4319" t="s">
        <v>4729</v>
      </c>
      <c r="B4319" t="str">
        <f>"300519"</f>
        <v>300519</v>
      </c>
      <c r="C4319" t="s">
        <v>8982</v>
      </c>
      <c r="D4319" t="s">
        <v>188</v>
      </c>
      <c r="F4319">
        <v>320876075</v>
      </c>
      <c r="G4319">
        <v>283080271</v>
      </c>
      <c r="H4319">
        <v>291262100</v>
      </c>
      <c r="I4319">
        <v>276257366</v>
      </c>
      <c r="J4319">
        <v>310865113</v>
      </c>
      <c r="K4319">
        <v>315313658</v>
      </c>
      <c r="L4319">
        <v>311478233</v>
      </c>
      <c r="M4319">
        <v>292109438</v>
      </c>
      <c r="N4319">
        <v>267937988</v>
      </c>
      <c r="P4319">
        <v>251</v>
      </c>
      <c r="Q4319" t="s">
        <v>8983</v>
      </c>
    </row>
    <row r="4320" spans="1:17" x14ac:dyDescent="0.3">
      <c r="A4320" t="s">
        <v>4729</v>
      </c>
      <c r="B4320" t="str">
        <f>"300520"</f>
        <v>300520</v>
      </c>
      <c r="C4320" t="s">
        <v>8984</v>
      </c>
      <c r="D4320" t="s">
        <v>945</v>
      </c>
      <c r="F4320">
        <v>1719839340</v>
      </c>
      <c r="G4320">
        <v>1512040748</v>
      </c>
      <c r="H4320">
        <v>1569717789</v>
      </c>
      <c r="I4320">
        <v>982146999</v>
      </c>
      <c r="J4320">
        <v>607857522</v>
      </c>
      <c r="K4320">
        <v>594231453</v>
      </c>
      <c r="L4320">
        <v>405759134</v>
      </c>
      <c r="M4320">
        <v>370144047</v>
      </c>
      <c r="N4320">
        <v>272194243</v>
      </c>
      <c r="P4320">
        <v>255</v>
      </c>
      <c r="Q4320" t="s">
        <v>8985</v>
      </c>
    </row>
    <row r="4321" spans="1:17" x14ac:dyDescent="0.3">
      <c r="A4321" t="s">
        <v>4729</v>
      </c>
      <c r="B4321" t="str">
        <f>"300521"</f>
        <v>300521</v>
      </c>
      <c r="C4321" t="s">
        <v>8986</v>
      </c>
      <c r="D4321" t="s">
        <v>3415</v>
      </c>
      <c r="F4321">
        <v>153399734</v>
      </c>
      <c r="G4321">
        <v>136439925</v>
      </c>
      <c r="H4321">
        <v>164893658</v>
      </c>
      <c r="I4321">
        <v>173900336</v>
      </c>
      <c r="J4321">
        <v>180187840</v>
      </c>
      <c r="K4321">
        <v>185345203</v>
      </c>
      <c r="L4321">
        <v>179417275</v>
      </c>
      <c r="M4321">
        <v>185146363</v>
      </c>
      <c r="N4321">
        <v>223758386</v>
      </c>
      <c r="P4321">
        <v>57</v>
      </c>
      <c r="Q4321" t="s">
        <v>8987</v>
      </c>
    </row>
    <row r="4322" spans="1:17" x14ac:dyDescent="0.3">
      <c r="A4322" t="s">
        <v>4729</v>
      </c>
      <c r="B4322" t="str">
        <f>"300522"</f>
        <v>300522</v>
      </c>
      <c r="C4322" t="s">
        <v>8988</v>
      </c>
      <c r="D4322" t="s">
        <v>2585</v>
      </c>
      <c r="F4322">
        <v>670124481</v>
      </c>
      <c r="G4322">
        <v>454523891</v>
      </c>
      <c r="H4322">
        <v>371495244</v>
      </c>
      <c r="I4322">
        <v>333073370</v>
      </c>
      <c r="J4322">
        <v>282648949</v>
      </c>
      <c r="K4322">
        <v>274532684</v>
      </c>
      <c r="L4322">
        <v>224873637</v>
      </c>
      <c r="M4322">
        <v>204940880</v>
      </c>
      <c r="N4322">
        <v>165688245</v>
      </c>
      <c r="P4322">
        <v>99</v>
      </c>
      <c r="Q4322" t="s">
        <v>8989</v>
      </c>
    </row>
    <row r="4323" spans="1:17" x14ac:dyDescent="0.3">
      <c r="A4323" t="s">
        <v>4729</v>
      </c>
      <c r="B4323" t="str">
        <f>"300523"</f>
        <v>300523</v>
      </c>
      <c r="C4323" t="s">
        <v>8990</v>
      </c>
      <c r="D4323" t="s">
        <v>316</v>
      </c>
      <c r="F4323">
        <v>1539329119</v>
      </c>
      <c r="G4323">
        <v>1649980378</v>
      </c>
      <c r="H4323">
        <v>1564941701</v>
      </c>
      <c r="I4323">
        <v>1032129341</v>
      </c>
      <c r="J4323">
        <v>638547988</v>
      </c>
      <c r="K4323">
        <v>547580090</v>
      </c>
      <c r="L4323">
        <v>413024023</v>
      </c>
      <c r="M4323">
        <v>268746873</v>
      </c>
      <c r="N4323">
        <v>218544999</v>
      </c>
      <c r="P4323">
        <v>135</v>
      </c>
      <c r="Q4323" t="s">
        <v>8991</v>
      </c>
    </row>
    <row r="4324" spans="1:17" x14ac:dyDescent="0.3">
      <c r="A4324" t="s">
        <v>4729</v>
      </c>
      <c r="B4324" t="str">
        <f>"300525"</f>
        <v>300525</v>
      </c>
      <c r="C4324" t="s">
        <v>8992</v>
      </c>
      <c r="D4324" t="s">
        <v>945</v>
      </c>
      <c r="F4324">
        <v>1564103745</v>
      </c>
      <c r="G4324">
        <v>1136315468</v>
      </c>
      <c r="H4324">
        <v>898768212</v>
      </c>
      <c r="I4324">
        <v>558594681</v>
      </c>
      <c r="J4324">
        <v>309882372</v>
      </c>
      <c r="K4324">
        <v>171251296</v>
      </c>
      <c r="L4324">
        <v>153197534</v>
      </c>
      <c r="M4324">
        <v>120011935</v>
      </c>
      <c r="N4324">
        <v>93743645</v>
      </c>
      <c r="P4324">
        <v>241</v>
      </c>
      <c r="Q4324" t="s">
        <v>8993</v>
      </c>
    </row>
    <row r="4325" spans="1:17" x14ac:dyDescent="0.3">
      <c r="A4325" t="s">
        <v>4729</v>
      </c>
      <c r="B4325" t="str">
        <f>"300526"</f>
        <v>300526</v>
      </c>
      <c r="C4325" t="s">
        <v>8994</v>
      </c>
      <c r="D4325" t="s">
        <v>330</v>
      </c>
      <c r="F4325">
        <v>25874147</v>
      </c>
      <c r="G4325">
        <v>170795707</v>
      </c>
      <c r="H4325">
        <v>527581350</v>
      </c>
      <c r="I4325">
        <v>400848006</v>
      </c>
      <c r="J4325">
        <v>384530296</v>
      </c>
      <c r="K4325">
        <v>370732451</v>
      </c>
      <c r="L4325">
        <v>370678166</v>
      </c>
      <c r="M4325">
        <v>288784548</v>
      </c>
      <c r="N4325">
        <v>279765425</v>
      </c>
      <c r="P4325">
        <v>104</v>
      </c>
      <c r="Q4325" t="s">
        <v>8995</v>
      </c>
    </row>
    <row r="4326" spans="1:17" x14ac:dyDescent="0.3">
      <c r="A4326" t="s">
        <v>4729</v>
      </c>
      <c r="B4326" t="str">
        <f>"300527"</f>
        <v>300527</v>
      </c>
      <c r="C4326" t="s">
        <v>8996</v>
      </c>
      <c r="D4326" t="s">
        <v>428</v>
      </c>
      <c r="F4326">
        <v>1698399719</v>
      </c>
      <c r="G4326">
        <v>1821338940</v>
      </c>
      <c r="H4326">
        <v>2464443109</v>
      </c>
      <c r="I4326">
        <v>2653280225</v>
      </c>
      <c r="J4326">
        <v>2203813336</v>
      </c>
      <c r="K4326">
        <v>1959562680</v>
      </c>
      <c r="L4326">
        <v>1720561237</v>
      </c>
      <c r="M4326">
        <v>1388339992</v>
      </c>
      <c r="N4326">
        <v>1143429289</v>
      </c>
      <c r="P4326">
        <v>144</v>
      </c>
      <c r="Q4326" t="s">
        <v>8997</v>
      </c>
    </row>
    <row r="4327" spans="1:17" x14ac:dyDescent="0.3">
      <c r="A4327" t="s">
        <v>4729</v>
      </c>
      <c r="B4327" t="str">
        <f>"300528"</f>
        <v>300528</v>
      </c>
      <c r="C4327" t="s">
        <v>8998</v>
      </c>
      <c r="D4327" t="s">
        <v>2573</v>
      </c>
      <c r="F4327">
        <v>947419515</v>
      </c>
      <c r="G4327">
        <v>571209354</v>
      </c>
      <c r="H4327">
        <v>2138087936</v>
      </c>
      <c r="I4327">
        <v>1654823836</v>
      </c>
      <c r="J4327">
        <v>1517230071</v>
      </c>
      <c r="K4327">
        <v>1538052460</v>
      </c>
      <c r="L4327">
        <v>1437268100</v>
      </c>
      <c r="M4327">
        <v>863974500</v>
      </c>
      <c r="N4327">
        <v>752196600</v>
      </c>
      <c r="P4327">
        <v>81</v>
      </c>
      <c r="Q4327" t="s">
        <v>8999</v>
      </c>
    </row>
    <row r="4328" spans="1:17" x14ac:dyDescent="0.3">
      <c r="A4328" t="s">
        <v>4729</v>
      </c>
      <c r="B4328" t="str">
        <f>"300529"</f>
        <v>300529</v>
      </c>
      <c r="C4328" t="s">
        <v>9000</v>
      </c>
      <c r="D4328" t="s">
        <v>1077</v>
      </c>
      <c r="F4328">
        <v>2675454460</v>
      </c>
      <c r="G4328">
        <v>1950780490</v>
      </c>
      <c r="H4328">
        <v>1431819390</v>
      </c>
      <c r="I4328">
        <v>1016508792</v>
      </c>
      <c r="J4328">
        <v>718491131</v>
      </c>
      <c r="K4328">
        <v>543640521</v>
      </c>
      <c r="L4328">
        <v>508905177</v>
      </c>
      <c r="M4328">
        <v>370937549</v>
      </c>
      <c r="N4328">
        <v>303587593</v>
      </c>
      <c r="P4328">
        <v>5939</v>
      </c>
      <c r="Q4328" t="s">
        <v>9001</v>
      </c>
    </row>
    <row r="4329" spans="1:17" x14ac:dyDescent="0.3">
      <c r="A4329" t="s">
        <v>4729</v>
      </c>
      <c r="B4329" t="str">
        <f>"300530"</f>
        <v>300530</v>
      </c>
      <c r="C4329" t="s">
        <v>9002</v>
      </c>
      <c r="D4329" t="s">
        <v>386</v>
      </c>
      <c r="F4329">
        <v>146016713</v>
      </c>
      <c r="G4329">
        <v>112357539</v>
      </c>
      <c r="H4329">
        <v>173499780</v>
      </c>
      <c r="I4329">
        <v>183346371</v>
      </c>
      <c r="J4329">
        <v>140144084</v>
      </c>
      <c r="K4329">
        <v>134967839</v>
      </c>
      <c r="L4329">
        <v>121649669</v>
      </c>
      <c r="M4329">
        <v>133975835</v>
      </c>
      <c r="N4329">
        <v>129541290</v>
      </c>
      <c r="P4329">
        <v>64</v>
      </c>
      <c r="Q4329" t="s">
        <v>9003</v>
      </c>
    </row>
    <row r="4330" spans="1:17" x14ac:dyDescent="0.3">
      <c r="A4330" t="s">
        <v>4729</v>
      </c>
      <c r="B4330" t="str">
        <f>"300531"</f>
        <v>300531</v>
      </c>
      <c r="C4330" t="s">
        <v>9004</v>
      </c>
      <c r="D4330" t="s">
        <v>236</v>
      </c>
      <c r="F4330">
        <v>1416568776</v>
      </c>
      <c r="G4330">
        <v>1159288509</v>
      </c>
      <c r="H4330">
        <v>951309604</v>
      </c>
      <c r="I4330">
        <v>951939426</v>
      </c>
      <c r="J4330">
        <v>443219977</v>
      </c>
      <c r="K4330">
        <v>332963233</v>
      </c>
      <c r="L4330">
        <v>272597411</v>
      </c>
      <c r="M4330">
        <v>216381827</v>
      </c>
      <c r="N4330">
        <v>201391509</v>
      </c>
      <c r="P4330">
        <v>173</v>
      </c>
      <c r="Q4330" t="s">
        <v>9005</v>
      </c>
    </row>
    <row r="4331" spans="1:17" x14ac:dyDescent="0.3">
      <c r="A4331" t="s">
        <v>4729</v>
      </c>
      <c r="B4331" t="str">
        <f>"300532"</f>
        <v>300532</v>
      </c>
      <c r="C4331" t="s">
        <v>9006</v>
      </c>
      <c r="D4331" t="s">
        <v>316</v>
      </c>
      <c r="F4331">
        <v>1598000089</v>
      </c>
      <c r="G4331">
        <v>929765588</v>
      </c>
      <c r="H4331">
        <v>712409042</v>
      </c>
      <c r="I4331">
        <v>416147309</v>
      </c>
      <c r="J4331">
        <v>569617745</v>
      </c>
      <c r="K4331">
        <v>398637532</v>
      </c>
      <c r="L4331">
        <v>507242470</v>
      </c>
      <c r="M4331">
        <v>491914480</v>
      </c>
      <c r="N4331">
        <v>328351270</v>
      </c>
      <c r="P4331">
        <v>220</v>
      </c>
      <c r="Q4331" t="s">
        <v>9007</v>
      </c>
    </row>
    <row r="4332" spans="1:17" x14ac:dyDescent="0.3">
      <c r="A4332" t="s">
        <v>4729</v>
      </c>
      <c r="B4332" t="str">
        <f>"300533"</f>
        <v>300533</v>
      </c>
      <c r="C4332" t="s">
        <v>9008</v>
      </c>
      <c r="D4332" t="s">
        <v>517</v>
      </c>
      <c r="F4332">
        <v>506692552</v>
      </c>
      <c r="G4332">
        <v>386190950</v>
      </c>
      <c r="H4332">
        <v>411931052</v>
      </c>
      <c r="I4332">
        <v>290968449</v>
      </c>
      <c r="J4332">
        <v>296257927</v>
      </c>
      <c r="K4332">
        <v>380679133</v>
      </c>
      <c r="L4332">
        <v>369882203</v>
      </c>
      <c r="M4332">
        <v>360008455</v>
      </c>
      <c r="N4332">
        <v>272257231</v>
      </c>
      <c r="P4332">
        <v>131</v>
      </c>
      <c r="Q4332" t="s">
        <v>9009</v>
      </c>
    </row>
    <row r="4333" spans="1:17" x14ac:dyDescent="0.3">
      <c r="A4333" t="s">
        <v>4729</v>
      </c>
      <c r="B4333" t="str">
        <f>"300534"</f>
        <v>300534</v>
      </c>
      <c r="C4333" t="s">
        <v>9010</v>
      </c>
      <c r="D4333" t="s">
        <v>188</v>
      </c>
      <c r="F4333">
        <v>287813046</v>
      </c>
      <c r="G4333">
        <v>254899758</v>
      </c>
      <c r="H4333">
        <v>239003313</v>
      </c>
      <c r="I4333">
        <v>203165803</v>
      </c>
      <c r="J4333">
        <v>269587023</v>
      </c>
      <c r="K4333">
        <v>269681016</v>
      </c>
      <c r="L4333">
        <v>277360876</v>
      </c>
      <c r="M4333">
        <v>301575287</v>
      </c>
      <c r="N4333">
        <v>274889691</v>
      </c>
      <c r="P4333">
        <v>109</v>
      </c>
      <c r="Q4333" t="s">
        <v>9011</v>
      </c>
    </row>
    <row r="4334" spans="1:17" x14ac:dyDescent="0.3">
      <c r="A4334" t="s">
        <v>4729</v>
      </c>
      <c r="B4334" t="str">
        <f>"300535"</f>
        <v>300535</v>
      </c>
      <c r="C4334" t="s">
        <v>9012</v>
      </c>
      <c r="D4334" t="s">
        <v>386</v>
      </c>
      <c r="F4334">
        <v>629818183</v>
      </c>
      <c r="G4334">
        <v>469644449</v>
      </c>
      <c r="H4334">
        <v>396342341</v>
      </c>
      <c r="I4334">
        <v>356135842</v>
      </c>
      <c r="J4334">
        <v>332678360</v>
      </c>
      <c r="K4334">
        <v>299156985</v>
      </c>
      <c r="L4334">
        <v>275063217</v>
      </c>
      <c r="M4334">
        <v>270415969</v>
      </c>
      <c r="N4334">
        <v>267058014</v>
      </c>
      <c r="P4334">
        <v>73</v>
      </c>
      <c r="Q4334" t="s">
        <v>9013</v>
      </c>
    </row>
    <row r="4335" spans="1:17" x14ac:dyDescent="0.3">
      <c r="A4335" t="s">
        <v>4729</v>
      </c>
      <c r="B4335" t="str">
        <f>"300536"</f>
        <v>300536</v>
      </c>
      <c r="C4335" t="s">
        <v>9014</v>
      </c>
      <c r="D4335" t="s">
        <v>2417</v>
      </c>
      <c r="F4335">
        <v>307604209</v>
      </c>
      <c r="G4335">
        <v>288266383</v>
      </c>
      <c r="H4335">
        <v>462814179</v>
      </c>
      <c r="I4335">
        <v>460269487</v>
      </c>
      <c r="J4335">
        <v>424654984</v>
      </c>
      <c r="K4335">
        <v>380852522</v>
      </c>
      <c r="L4335">
        <v>353685579</v>
      </c>
      <c r="M4335">
        <v>312573540</v>
      </c>
      <c r="N4335">
        <v>284755713</v>
      </c>
      <c r="P4335">
        <v>63</v>
      </c>
      <c r="Q4335" t="s">
        <v>9015</v>
      </c>
    </row>
    <row r="4336" spans="1:17" x14ac:dyDescent="0.3">
      <c r="A4336" t="s">
        <v>4729</v>
      </c>
      <c r="B4336" t="str">
        <f>"300537"</f>
        <v>300537</v>
      </c>
      <c r="C4336" t="s">
        <v>9016</v>
      </c>
      <c r="D4336" t="s">
        <v>2408</v>
      </c>
      <c r="F4336">
        <v>618902409</v>
      </c>
      <c r="G4336">
        <v>753140651</v>
      </c>
      <c r="H4336">
        <v>808959388</v>
      </c>
      <c r="I4336">
        <v>639386048</v>
      </c>
      <c r="J4336">
        <v>449006749</v>
      </c>
      <c r="K4336">
        <v>270960726</v>
      </c>
      <c r="L4336">
        <v>250371309</v>
      </c>
      <c r="M4336">
        <v>268470264</v>
      </c>
      <c r="N4336">
        <v>269687054</v>
      </c>
      <c r="P4336">
        <v>225</v>
      </c>
      <c r="Q4336" t="s">
        <v>9017</v>
      </c>
    </row>
    <row r="4337" spans="1:17" x14ac:dyDescent="0.3">
      <c r="A4337" t="s">
        <v>4729</v>
      </c>
      <c r="B4337" t="str">
        <f>"300538"</f>
        <v>300538</v>
      </c>
      <c r="C4337" t="s">
        <v>9018</v>
      </c>
      <c r="D4337" t="s">
        <v>341</v>
      </c>
      <c r="F4337">
        <v>2918366268</v>
      </c>
      <c r="G4337">
        <v>2216513161</v>
      </c>
      <c r="H4337">
        <v>1787353342</v>
      </c>
      <c r="I4337">
        <v>1295612053</v>
      </c>
      <c r="J4337">
        <v>1010108369</v>
      </c>
      <c r="K4337">
        <v>840623226</v>
      </c>
      <c r="L4337">
        <v>857016565</v>
      </c>
      <c r="M4337">
        <v>824370945</v>
      </c>
      <c r="N4337">
        <v>802022266</v>
      </c>
      <c r="P4337">
        <v>186</v>
      </c>
      <c r="Q4337" t="s">
        <v>9019</v>
      </c>
    </row>
    <row r="4338" spans="1:17" x14ac:dyDescent="0.3">
      <c r="A4338" t="s">
        <v>4729</v>
      </c>
      <c r="B4338" t="str">
        <f>"300539"</f>
        <v>300539</v>
      </c>
      <c r="C4338" t="s">
        <v>9020</v>
      </c>
      <c r="D4338" t="s">
        <v>1192</v>
      </c>
      <c r="F4338">
        <v>696017063</v>
      </c>
      <c r="G4338">
        <v>578167832</v>
      </c>
      <c r="H4338">
        <v>556667686</v>
      </c>
      <c r="I4338">
        <v>554199007</v>
      </c>
      <c r="J4338">
        <v>492000878</v>
      </c>
      <c r="K4338">
        <v>398638273</v>
      </c>
      <c r="L4338">
        <v>373479968</v>
      </c>
      <c r="M4338">
        <v>375194175</v>
      </c>
      <c r="N4338">
        <v>403055989</v>
      </c>
      <c r="P4338">
        <v>84</v>
      </c>
      <c r="Q4338" t="s">
        <v>9021</v>
      </c>
    </row>
    <row r="4339" spans="1:17" x14ac:dyDescent="0.3">
      <c r="A4339" t="s">
        <v>4729</v>
      </c>
      <c r="B4339" t="str">
        <f>"300540"</f>
        <v>300540</v>
      </c>
      <c r="C4339" t="s">
        <v>9022</v>
      </c>
      <c r="D4339" t="s">
        <v>741</v>
      </c>
      <c r="F4339">
        <v>533244496</v>
      </c>
      <c r="G4339">
        <v>518723551</v>
      </c>
      <c r="H4339">
        <v>435349251</v>
      </c>
      <c r="I4339">
        <v>342829367</v>
      </c>
      <c r="J4339">
        <v>239550931</v>
      </c>
      <c r="K4339">
        <v>308072671</v>
      </c>
      <c r="L4339">
        <v>454298914</v>
      </c>
      <c r="M4339">
        <v>511301436</v>
      </c>
      <c r="N4339">
        <v>367145864</v>
      </c>
      <c r="P4339">
        <v>65</v>
      </c>
      <c r="Q4339" t="s">
        <v>9023</v>
      </c>
    </row>
    <row r="4340" spans="1:17" x14ac:dyDescent="0.3">
      <c r="A4340" t="s">
        <v>4729</v>
      </c>
      <c r="B4340" t="str">
        <f>"300541"</f>
        <v>300541</v>
      </c>
      <c r="C4340" t="s">
        <v>9024</v>
      </c>
      <c r="D4340" t="s">
        <v>316</v>
      </c>
      <c r="F4340">
        <v>3913614637</v>
      </c>
      <c r="G4340">
        <v>4493000566</v>
      </c>
      <c r="H4340">
        <v>1792508600</v>
      </c>
      <c r="I4340">
        <v>1390348475</v>
      </c>
      <c r="J4340">
        <v>1011762811</v>
      </c>
      <c r="K4340">
        <v>980588378</v>
      </c>
      <c r="L4340">
        <v>1121444994</v>
      </c>
      <c r="M4340">
        <v>1139086859</v>
      </c>
      <c r="N4340">
        <v>979092915</v>
      </c>
      <c r="P4340">
        <v>177</v>
      </c>
      <c r="Q4340" t="s">
        <v>9025</v>
      </c>
    </row>
    <row r="4341" spans="1:17" x14ac:dyDescent="0.3">
      <c r="A4341" t="s">
        <v>4729</v>
      </c>
      <c r="B4341" t="str">
        <f>"300542"</f>
        <v>300542</v>
      </c>
      <c r="C4341" t="s">
        <v>9026</v>
      </c>
      <c r="D4341" t="s">
        <v>945</v>
      </c>
      <c r="F4341">
        <v>1061100863</v>
      </c>
      <c r="G4341">
        <v>1149153968</v>
      </c>
      <c r="H4341">
        <v>1084248624</v>
      </c>
      <c r="I4341">
        <v>819189757</v>
      </c>
      <c r="J4341">
        <v>606451813</v>
      </c>
      <c r="K4341">
        <v>431422441</v>
      </c>
      <c r="L4341">
        <v>413527154</v>
      </c>
      <c r="M4341">
        <v>384435668</v>
      </c>
      <c r="N4341">
        <v>420273252</v>
      </c>
      <c r="P4341">
        <v>143</v>
      </c>
      <c r="Q4341" t="s">
        <v>9027</v>
      </c>
    </row>
    <row r="4342" spans="1:17" x14ac:dyDescent="0.3">
      <c r="A4342" t="s">
        <v>4729</v>
      </c>
      <c r="B4342" t="str">
        <f>"300543"</f>
        <v>300543</v>
      </c>
      <c r="C4342" t="s">
        <v>9028</v>
      </c>
      <c r="D4342" t="s">
        <v>313</v>
      </c>
      <c r="F4342">
        <v>2330699926</v>
      </c>
      <c r="G4342">
        <v>1663240767</v>
      </c>
      <c r="H4342">
        <v>1400678304</v>
      </c>
      <c r="I4342">
        <v>1201848500</v>
      </c>
      <c r="J4342">
        <v>1184800859</v>
      </c>
      <c r="K4342">
        <v>935966323</v>
      </c>
      <c r="L4342">
        <v>713760862</v>
      </c>
      <c r="M4342">
        <v>587928829</v>
      </c>
      <c r="N4342">
        <v>530978639</v>
      </c>
      <c r="P4342">
        <v>152</v>
      </c>
      <c r="Q4342" t="s">
        <v>9029</v>
      </c>
    </row>
    <row r="4343" spans="1:17" x14ac:dyDescent="0.3">
      <c r="A4343" t="s">
        <v>4729</v>
      </c>
      <c r="B4343" t="str">
        <f>"300545"</f>
        <v>300545</v>
      </c>
      <c r="C4343" t="s">
        <v>9030</v>
      </c>
      <c r="D4343" t="s">
        <v>1117</v>
      </c>
      <c r="F4343">
        <v>886810999</v>
      </c>
      <c r="G4343">
        <v>782191786</v>
      </c>
      <c r="H4343">
        <v>688637361</v>
      </c>
      <c r="I4343">
        <v>663591727</v>
      </c>
      <c r="J4343">
        <v>466279151</v>
      </c>
      <c r="K4343">
        <v>256175730</v>
      </c>
      <c r="L4343">
        <v>250469016</v>
      </c>
      <c r="M4343">
        <v>209165446</v>
      </c>
      <c r="N4343">
        <v>165523828</v>
      </c>
      <c r="P4343">
        <v>182</v>
      </c>
      <c r="Q4343" t="s">
        <v>9031</v>
      </c>
    </row>
    <row r="4344" spans="1:17" x14ac:dyDescent="0.3">
      <c r="A4344" t="s">
        <v>4729</v>
      </c>
      <c r="B4344" t="str">
        <f>"300546"</f>
        <v>300546</v>
      </c>
      <c r="C4344" t="s">
        <v>9032</v>
      </c>
      <c r="D4344" t="s">
        <v>236</v>
      </c>
      <c r="F4344">
        <v>472998868</v>
      </c>
      <c r="G4344">
        <v>403991534</v>
      </c>
      <c r="H4344">
        <v>706190813</v>
      </c>
      <c r="I4344">
        <v>600457660</v>
      </c>
      <c r="J4344">
        <v>380106492</v>
      </c>
      <c r="K4344">
        <v>292903469</v>
      </c>
      <c r="L4344">
        <v>249443095</v>
      </c>
      <c r="M4344">
        <v>228278641</v>
      </c>
      <c r="N4344">
        <v>173620649</v>
      </c>
      <c r="P4344">
        <v>196</v>
      </c>
      <c r="Q4344" t="s">
        <v>9033</v>
      </c>
    </row>
    <row r="4345" spans="1:17" x14ac:dyDescent="0.3">
      <c r="A4345" t="s">
        <v>4729</v>
      </c>
      <c r="B4345" t="str">
        <f>"300547"</f>
        <v>300547</v>
      </c>
      <c r="C4345" t="s">
        <v>9034</v>
      </c>
      <c r="D4345" t="s">
        <v>348</v>
      </c>
      <c r="F4345">
        <v>776493978</v>
      </c>
      <c r="G4345">
        <v>677467555</v>
      </c>
      <c r="H4345">
        <v>576570900</v>
      </c>
      <c r="I4345">
        <v>610366220</v>
      </c>
      <c r="J4345">
        <v>647774368</v>
      </c>
      <c r="K4345">
        <v>510738987</v>
      </c>
      <c r="L4345">
        <v>441569508</v>
      </c>
      <c r="M4345">
        <v>420989874</v>
      </c>
      <c r="N4345">
        <v>399614135</v>
      </c>
      <c r="P4345">
        <v>181</v>
      </c>
      <c r="Q4345" t="s">
        <v>9035</v>
      </c>
    </row>
    <row r="4346" spans="1:17" x14ac:dyDescent="0.3">
      <c r="A4346" t="s">
        <v>4729</v>
      </c>
      <c r="B4346" t="str">
        <f>"300548"</f>
        <v>300548</v>
      </c>
      <c r="C4346" t="s">
        <v>9036</v>
      </c>
      <c r="D4346" t="s">
        <v>1019</v>
      </c>
      <c r="F4346">
        <v>1154136553</v>
      </c>
      <c r="G4346">
        <v>776703537</v>
      </c>
      <c r="H4346">
        <v>407171643</v>
      </c>
      <c r="I4346">
        <v>275110935</v>
      </c>
      <c r="J4346">
        <v>349236708</v>
      </c>
      <c r="K4346">
        <v>317630166</v>
      </c>
      <c r="L4346">
        <v>237262370</v>
      </c>
      <c r="M4346">
        <v>154325745</v>
      </c>
      <c r="N4346">
        <v>201153470</v>
      </c>
      <c r="P4346">
        <v>289</v>
      </c>
      <c r="Q4346" t="s">
        <v>9037</v>
      </c>
    </row>
    <row r="4347" spans="1:17" x14ac:dyDescent="0.3">
      <c r="A4347" t="s">
        <v>4729</v>
      </c>
      <c r="B4347" t="str">
        <f>"300549"</f>
        <v>300549</v>
      </c>
      <c r="C4347" t="s">
        <v>9038</v>
      </c>
      <c r="D4347" t="s">
        <v>741</v>
      </c>
      <c r="F4347">
        <v>390087796</v>
      </c>
      <c r="G4347">
        <v>311474840</v>
      </c>
      <c r="H4347">
        <v>353521070</v>
      </c>
      <c r="I4347">
        <v>380943147</v>
      </c>
      <c r="J4347">
        <v>460802342</v>
      </c>
      <c r="K4347">
        <v>364054892</v>
      </c>
      <c r="L4347">
        <v>309089980</v>
      </c>
      <c r="M4347">
        <v>308694055</v>
      </c>
      <c r="N4347">
        <v>262753994</v>
      </c>
      <c r="P4347">
        <v>92</v>
      </c>
      <c r="Q4347" t="s">
        <v>9039</v>
      </c>
    </row>
    <row r="4348" spans="1:17" x14ac:dyDescent="0.3">
      <c r="A4348" t="s">
        <v>4729</v>
      </c>
      <c r="B4348" t="str">
        <f>"300550"</f>
        <v>300550</v>
      </c>
      <c r="C4348" t="s">
        <v>9040</v>
      </c>
      <c r="D4348" t="s">
        <v>945</v>
      </c>
      <c r="F4348">
        <v>464199738</v>
      </c>
      <c r="G4348">
        <v>454738265</v>
      </c>
      <c r="H4348">
        <v>440959835</v>
      </c>
      <c r="I4348">
        <v>391421019</v>
      </c>
      <c r="J4348">
        <v>276257927</v>
      </c>
      <c r="K4348">
        <v>235640231</v>
      </c>
      <c r="L4348">
        <v>225125765</v>
      </c>
      <c r="M4348">
        <v>227175356</v>
      </c>
      <c r="N4348">
        <v>139831968</v>
      </c>
      <c r="P4348">
        <v>123</v>
      </c>
      <c r="Q4348" t="s">
        <v>9041</v>
      </c>
    </row>
    <row r="4349" spans="1:17" x14ac:dyDescent="0.3">
      <c r="A4349" t="s">
        <v>4729</v>
      </c>
      <c r="B4349" t="str">
        <f>"300551"</f>
        <v>300551</v>
      </c>
      <c r="C4349" t="s">
        <v>9042</v>
      </c>
      <c r="D4349" t="s">
        <v>236</v>
      </c>
      <c r="F4349">
        <v>173498484</v>
      </c>
      <c r="G4349">
        <v>292072801</v>
      </c>
      <c r="H4349">
        <v>466253496</v>
      </c>
      <c r="I4349">
        <v>262752760</v>
      </c>
      <c r="J4349">
        <v>238645182</v>
      </c>
      <c r="K4349">
        <v>262787894</v>
      </c>
      <c r="L4349">
        <v>257775612</v>
      </c>
      <c r="M4349">
        <v>327402270</v>
      </c>
      <c r="N4349">
        <v>244101892</v>
      </c>
      <c r="P4349">
        <v>89</v>
      </c>
      <c r="Q4349" t="s">
        <v>9043</v>
      </c>
    </row>
    <row r="4350" spans="1:17" x14ac:dyDescent="0.3">
      <c r="A4350" t="s">
        <v>4729</v>
      </c>
      <c r="B4350" t="str">
        <f>"300552"</f>
        <v>300552</v>
      </c>
      <c r="C4350" t="s">
        <v>9044</v>
      </c>
      <c r="D4350" t="s">
        <v>236</v>
      </c>
      <c r="F4350">
        <v>944853364</v>
      </c>
      <c r="G4350">
        <v>1662587427</v>
      </c>
      <c r="H4350">
        <v>3351207660</v>
      </c>
      <c r="I4350">
        <v>692261468</v>
      </c>
      <c r="J4350">
        <v>628566894</v>
      </c>
      <c r="K4350">
        <v>635728857</v>
      </c>
      <c r="L4350">
        <v>511917236</v>
      </c>
      <c r="M4350">
        <v>317039346</v>
      </c>
      <c r="N4350">
        <v>305919541</v>
      </c>
      <c r="P4350">
        <v>327</v>
      </c>
      <c r="Q4350" t="s">
        <v>9045</v>
      </c>
    </row>
    <row r="4351" spans="1:17" x14ac:dyDescent="0.3">
      <c r="A4351" t="s">
        <v>4729</v>
      </c>
      <c r="B4351" t="str">
        <f>"300553"</f>
        <v>300553</v>
      </c>
      <c r="C4351" t="s">
        <v>9046</v>
      </c>
      <c r="D4351" t="s">
        <v>2566</v>
      </c>
      <c r="F4351">
        <v>225605324</v>
      </c>
      <c r="G4351">
        <v>164647698</v>
      </c>
      <c r="H4351">
        <v>166325650</v>
      </c>
      <c r="I4351">
        <v>140222155</v>
      </c>
      <c r="J4351">
        <v>115172933</v>
      </c>
      <c r="K4351">
        <v>100150430</v>
      </c>
      <c r="L4351">
        <v>97896432</v>
      </c>
      <c r="M4351">
        <v>98204410</v>
      </c>
      <c r="N4351">
        <v>90755572</v>
      </c>
      <c r="P4351">
        <v>72</v>
      </c>
      <c r="Q4351" t="s">
        <v>9047</v>
      </c>
    </row>
    <row r="4352" spans="1:17" x14ac:dyDescent="0.3">
      <c r="A4352" t="s">
        <v>4729</v>
      </c>
      <c r="B4352" t="str">
        <f>"300554"</f>
        <v>300554</v>
      </c>
      <c r="C4352" t="s">
        <v>9048</v>
      </c>
      <c r="D4352" t="s">
        <v>404</v>
      </c>
      <c r="F4352">
        <v>248452404</v>
      </c>
      <c r="G4352">
        <v>258379491</v>
      </c>
      <c r="H4352">
        <v>224634480</v>
      </c>
      <c r="I4352">
        <v>333447289</v>
      </c>
      <c r="J4352">
        <v>283913948</v>
      </c>
      <c r="K4352">
        <v>155859264</v>
      </c>
      <c r="L4352">
        <v>114742080</v>
      </c>
      <c r="M4352">
        <v>94034808</v>
      </c>
      <c r="P4352">
        <v>123</v>
      </c>
      <c r="Q4352" t="s">
        <v>9049</v>
      </c>
    </row>
    <row r="4353" spans="1:17" x14ac:dyDescent="0.3">
      <c r="A4353" t="s">
        <v>4729</v>
      </c>
      <c r="B4353" t="str">
        <f>"300555"</f>
        <v>300555</v>
      </c>
      <c r="C4353" t="s">
        <v>9050</v>
      </c>
      <c r="D4353" t="s">
        <v>786</v>
      </c>
      <c r="F4353">
        <v>192260289</v>
      </c>
      <c r="G4353">
        <v>187956396</v>
      </c>
      <c r="H4353">
        <v>263782163</v>
      </c>
      <c r="I4353">
        <v>338794993</v>
      </c>
      <c r="J4353">
        <v>377233780</v>
      </c>
      <c r="K4353">
        <v>393969738</v>
      </c>
      <c r="L4353">
        <v>321634562</v>
      </c>
      <c r="M4353">
        <v>313724778</v>
      </c>
      <c r="N4353">
        <v>272530951</v>
      </c>
      <c r="P4353">
        <v>72</v>
      </c>
      <c r="Q4353" t="s">
        <v>9051</v>
      </c>
    </row>
    <row r="4354" spans="1:17" x14ac:dyDescent="0.3">
      <c r="A4354" t="s">
        <v>4729</v>
      </c>
      <c r="B4354" t="str">
        <f>"300556"</f>
        <v>300556</v>
      </c>
      <c r="C4354" t="s">
        <v>9052</v>
      </c>
      <c r="D4354" t="s">
        <v>945</v>
      </c>
      <c r="F4354">
        <v>1388932288</v>
      </c>
      <c r="G4354">
        <v>1004190181</v>
      </c>
      <c r="H4354">
        <v>916410711</v>
      </c>
      <c r="I4354">
        <v>722956862</v>
      </c>
      <c r="J4354">
        <v>513128825</v>
      </c>
      <c r="K4354">
        <v>416455318</v>
      </c>
      <c r="L4354">
        <v>346429700</v>
      </c>
      <c r="M4354">
        <v>335979700</v>
      </c>
      <c r="N4354">
        <v>275200000</v>
      </c>
      <c r="P4354">
        <v>112</v>
      </c>
      <c r="Q4354" t="s">
        <v>9053</v>
      </c>
    </row>
    <row r="4355" spans="1:17" x14ac:dyDescent="0.3">
      <c r="A4355" t="s">
        <v>4729</v>
      </c>
      <c r="B4355" t="str">
        <f>"300557"</f>
        <v>300557</v>
      </c>
      <c r="C4355" t="s">
        <v>9054</v>
      </c>
      <c r="D4355" t="s">
        <v>2566</v>
      </c>
      <c r="F4355">
        <v>443777502</v>
      </c>
      <c r="G4355">
        <v>425776480</v>
      </c>
      <c r="H4355">
        <v>269250322</v>
      </c>
      <c r="I4355">
        <v>205113792</v>
      </c>
      <c r="J4355">
        <v>224291012</v>
      </c>
      <c r="K4355">
        <v>207699538</v>
      </c>
      <c r="L4355">
        <v>183691283</v>
      </c>
      <c r="M4355">
        <v>179861576</v>
      </c>
      <c r="N4355">
        <v>172989379</v>
      </c>
      <c r="P4355">
        <v>60</v>
      </c>
      <c r="Q4355" t="s">
        <v>9055</v>
      </c>
    </row>
    <row r="4356" spans="1:17" x14ac:dyDescent="0.3">
      <c r="A4356" t="s">
        <v>4729</v>
      </c>
      <c r="B4356" t="str">
        <f>"300558"</f>
        <v>300558</v>
      </c>
      <c r="C4356" t="s">
        <v>9056</v>
      </c>
      <c r="D4356" t="s">
        <v>143</v>
      </c>
      <c r="F4356">
        <v>2245855591</v>
      </c>
      <c r="G4356">
        <v>1870266315</v>
      </c>
      <c r="H4356">
        <v>1553924255</v>
      </c>
      <c r="I4356">
        <v>1224171769</v>
      </c>
      <c r="J4356">
        <v>1026358657</v>
      </c>
      <c r="K4356">
        <v>1035060900</v>
      </c>
      <c r="L4356">
        <v>914663873</v>
      </c>
      <c r="M4356">
        <v>704435261</v>
      </c>
      <c r="N4356">
        <v>480697986</v>
      </c>
      <c r="P4356">
        <v>756</v>
      </c>
      <c r="Q4356" t="s">
        <v>9057</v>
      </c>
    </row>
    <row r="4357" spans="1:17" x14ac:dyDescent="0.3">
      <c r="A4357" t="s">
        <v>4729</v>
      </c>
      <c r="B4357" t="str">
        <f>"300559"</f>
        <v>300559</v>
      </c>
      <c r="C4357" t="s">
        <v>9058</v>
      </c>
      <c r="D4357" t="s">
        <v>945</v>
      </c>
      <c r="F4357">
        <v>369697923</v>
      </c>
      <c r="G4357">
        <v>590333094</v>
      </c>
      <c r="H4357">
        <v>582972429</v>
      </c>
      <c r="I4357">
        <v>390480834</v>
      </c>
      <c r="J4357">
        <v>192228852</v>
      </c>
      <c r="K4357">
        <v>165733895</v>
      </c>
      <c r="L4357">
        <v>148520212</v>
      </c>
      <c r="M4357">
        <v>179299034</v>
      </c>
      <c r="N4357">
        <v>208788265</v>
      </c>
      <c r="P4357">
        <v>369</v>
      </c>
      <c r="Q4357" t="s">
        <v>9059</v>
      </c>
    </row>
    <row r="4358" spans="1:17" x14ac:dyDescent="0.3">
      <c r="A4358" t="s">
        <v>4729</v>
      </c>
      <c r="B4358" t="str">
        <f>"300560"</f>
        <v>300560</v>
      </c>
      <c r="C4358" t="s">
        <v>9060</v>
      </c>
      <c r="D4358" t="s">
        <v>654</v>
      </c>
      <c r="F4358">
        <v>976926686</v>
      </c>
      <c r="G4358">
        <v>793944032</v>
      </c>
      <c r="H4358">
        <v>713660064</v>
      </c>
      <c r="I4358">
        <v>548361430</v>
      </c>
      <c r="J4358">
        <v>390125791</v>
      </c>
      <c r="K4358">
        <v>330292531</v>
      </c>
      <c r="L4358">
        <v>285806227</v>
      </c>
      <c r="M4358">
        <v>258652590</v>
      </c>
      <c r="N4358">
        <v>244740821</v>
      </c>
      <c r="P4358">
        <v>192</v>
      </c>
      <c r="Q4358" t="s">
        <v>9061</v>
      </c>
    </row>
    <row r="4359" spans="1:17" x14ac:dyDescent="0.3">
      <c r="A4359" t="s">
        <v>4729</v>
      </c>
      <c r="B4359" t="str">
        <f>"300561"</f>
        <v>300561</v>
      </c>
      <c r="C4359" t="s">
        <v>9062</v>
      </c>
      <c r="D4359" t="s">
        <v>945</v>
      </c>
      <c r="F4359">
        <v>167231209</v>
      </c>
      <c r="G4359">
        <v>203926203</v>
      </c>
      <c r="H4359">
        <v>196542876</v>
      </c>
      <c r="I4359">
        <v>244580350</v>
      </c>
      <c r="J4359">
        <v>242018669</v>
      </c>
      <c r="K4359">
        <v>218054407</v>
      </c>
      <c r="L4359">
        <v>170234700</v>
      </c>
      <c r="M4359">
        <v>141377903</v>
      </c>
      <c r="N4359">
        <v>115226384</v>
      </c>
      <c r="P4359">
        <v>114</v>
      </c>
      <c r="Q4359" t="s">
        <v>9063</v>
      </c>
    </row>
    <row r="4360" spans="1:17" x14ac:dyDescent="0.3">
      <c r="A4360" t="s">
        <v>4729</v>
      </c>
      <c r="B4360" t="str">
        <f>"300562"</f>
        <v>300562</v>
      </c>
      <c r="C4360" t="s">
        <v>9064</v>
      </c>
      <c r="D4360" t="s">
        <v>122</v>
      </c>
      <c r="F4360">
        <v>1821072459</v>
      </c>
      <c r="G4360">
        <v>1336748072</v>
      </c>
      <c r="H4360">
        <v>883668228</v>
      </c>
      <c r="I4360">
        <v>775103192</v>
      </c>
      <c r="J4360">
        <v>866590294</v>
      </c>
      <c r="K4360">
        <v>770644439</v>
      </c>
      <c r="L4360">
        <v>629005529</v>
      </c>
      <c r="M4360">
        <v>455710161</v>
      </c>
      <c r="N4360">
        <v>380847703</v>
      </c>
      <c r="P4360">
        <v>155</v>
      </c>
      <c r="Q4360" t="s">
        <v>9065</v>
      </c>
    </row>
    <row r="4361" spans="1:17" x14ac:dyDescent="0.3">
      <c r="A4361" t="s">
        <v>4729</v>
      </c>
      <c r="B4361" t="str">
        <f>"300563"</f>
        <v>300563</v>
      </c>
      <c r="C4361" t="s">
        <v>9066</v>
      </c>
      <c r="D4361" t="s">
        <v>250</v>
      </c>
      <c r="F4361">
        <v>839656623</v>
      </c>
      <c r="G4361">
        <v>621487603</v>
      </c>
      <c r="H4361">
        <v>471333552</v>
      </c>
      <c r="I4361">
        <v>370194279</v>
      </c>
      <c r="J4361">
        <v>324402439</v>
      </c>
      <c r="K4361">
        <v>312435343</v>
      </c>
      <c r="L4361">
        <v>263658951</v>
      </c>
      <c r="M4361">
        <v>242999388</v>
      </c>
      <c r="N4361">
        <v>251375911</v>
      </c>
      <c r="P4361">
        <v>144</v>
      </c>
      <c r="Q4361" t="s">
        <v>9067</v>
      </c>
    </row>
    <row r="4362" spans="1:17" x14ac:dyDescent="0.3">
      <c r="A4362" t="s">
        <v>4729</v>
      </c>
      <c r="B4362" t="str">
        <f>"300564"</f>
        <v>300564</v>
      </c>
      <c r="C4362" t="s">
        <v>9068</v>
      </c>
      <c r="D4362" t="s">
        <v>1272</v>
      </c>
      <c r="F4362">
        <v>1026214849</v>
      </c>
      <c r="G4362">
        <v>960231481</v>
      </c>
      <c r="H4362">
        <v>924150324</v>
      </c>
      <c r="I4362">
        <v>841589319</v>
      </c>
      <c r="J4362">
        <v>696872092</v>
      </c>
      <c r="K4362">
        <v>637276941</v>
      </c>
      <c r="P4362">
        <v>211</v>
      </c>
      <c r="Q4362" t="s">
        <v>9069</v>
      </c>
    </row>
    <row r="4363" spans="1:17" x14ac:dyDescent="0.3">
      <c r="A4363" t="s">
        <v>4729</v>
      </c>
      <c r="B4363" t="str">
        <f>"300565"</f>
        <v>300565</v>
      </c>
      <c r="C4363" t="s">
        <v>9070</v>
      </c>
      <c r="D4363" t="s">
        <v>1019</v>
      </c>
      <c r="F4363">
        <v>704947251</v>
      </c>
      <c r="G4363">
        <v>789786592</v>
      </c>
      <c r="H4363">
        <v>339068493</v>
      </c>
      <c r="I4363">
        <v>542620180</v>
      </c>
      <c r="J4363">
        <v>671492455</v>
      </c>
      <c r="K4363">
        <v>708336940</v>
      </c>
      <c r="L4363">
        <v>766785294</v>
      </c>
      <c r="M4363">
        <v>490523653</v>
      </c>
      <c r="N4363">
        <v>434084854</v>
      </c>
      <c r="P4363">
        <v>113</v>
      </c>
      <c r="Q4363" t="s">
        <v>9071</v>
      </c>
    </row>
    <row r="4364" spans="1:17" x14ac:dyDescent="0.3">
      <c r="A4364" t="s">
        <v>4729</v>
      </c>
      <c r="B4364" t="str">
        <f>"300566"</f>
        <v>300566</v>
      </c>
      <c r="C4364" t="s">
        <v>9072</v>
      </c>
      <c r="D4364" t="s">
        <v>164</v>
      </c>
      <c r="F4364">
        <v>1924520417</v>
      </c>
      <c r="G4364">
        <v>1420171894</v>
      </c>
      <c r="H4364">
        <v>1096211086</v>
      </c>
      <c r="I4364">
        <v>908443998</v>
      </c>
      <c r="J4364">
        <v>738284537</v>
      </c>
      <c r="K4364">
        <v>611382287</v>
      </c>
      <c r="L4364">
        <v>472439908</v>
      </c>
      <c r="M4364">
        <v>390615407</v>
      </c>
      <c r="N4364">
        <v>283981006</v>
      </c>
      <c r="P4364">
        <v>197</v>
      </c>
      <c r="Q4364" t="s">
        <v>9073</v>
      </c>
    </row>
    <row r="4365" spans="1:17" x14ac:dyDescent="0.3">
      <c r="A4365" t="s">
        <v>4729</v>
      </c>
      <c r="B4365" t="str">
        <f>"300567"</f>
        <v>300567</v>
      </c>
      <c r="C4365" t="s">
        <v>9074</v>
      </c>
      <c r="D4365" t="s">
        <v>2566</v>
      </c>
      <c r="F4365">
        <v>2408953145</v>
      </c>
      <c r="G4365">
        <v>2076523577</v>
      </c>
      <c r="H4365">
        <v>1950732047</v>
      </c>
      <c r="I4365">
        <v>1389509277</v>
      </c>
      <c r="J4365">
        <v>895080971</v>
      </c>
      <c r="K4365">
        <v>524012059</v>
      </c>
      <c r="L4365">
        <v>417542879</v>
      </c>
      <c r="M4365">
        <v>254464628</v>
      </c>
      <c r="N4365">
        <v>144334466</v>
      </c>
      <c r="P4365">
        <v>1242</v>
      </c>
      <c r="Q4365" t="s">
        <v>9075</v>
      </c>
    </row>
    <row r="4366" spans="1:17" x14ac:dyDescent="0.3">
      <c r="A4366" t="s">
        <v>4729</v>
      </c>
      <c r="B4366" t="str">
        <f>"300568"</f>
        <v>300568</v>
      </c>
      <c r="C4366" t="s">
        <v>9076</v>
      </c>
      <c r="D4366" t="s">
        <v>1790</v>
      </c>
      <c r="F4366">
        <v>1860537491</v>
      </c>
      <c r="G4366">
        <v>966632204</v>
      </c>
      <c r="H4366">
        <v>599741666</v>
      </c>
      <c r="I4366">
        <v>583488813</v>
      </c>
      <c r="J4366">
        <v>521348368</v>
      </c>
      <c r="K4366">
        <v>505698305</v>
      </c>
      <c r="L4366">
        <v>425060529</v>
      </c>
      <c r="M4366">
        <v>299747014</v>
      </c>
      <c r="N4366">
        <v>229140791</v>
      </c>
      <c r="P4366">
        <v>474</v>
      </c>
      <c r="Q4366" t="s">
        <v>9077</v>
      </c>
    </row>
    <row r="4367" spans="1:17" x14ac:dyDescent="0.3">
      <c r="A4367" t="s">
        <v>4729</v>
      </c>
      <c r="B4367" t="str">
        <f>"300569"</f>
        <v>300569</v>
      </c>
      <c r="C4367" t="s">
        <v>9078</v>
      </c>
      <c r="D4367" t="s">
        <v>950</v>
      </c>
      <c r="F4367">
        <v>4080952378</v>
      </c>
      <c r="G4367">
        <v>3424874351</v>
      </c>
      <c r="H4367">
        <v>2464179940</v>
      </c>
      <c r="I4367">
        <v>1393566890</v>
      </c>
      <c r="J4367">
        <v>738005875</v>
      </c>
      <c r="K4367">
        <v>960779560</v>
      </c>
      <c r="L4367">
        <v>1012584410</v>
      </c>
      <c r="M4367">
        <v>955677459</v>
      </c>
      <c r="N4367">
        <v>578257773</v>
      </c>
      <c r="P4367">
        <v>201</v>
      </c>
      <c r="Q4367" t="s">
        <v>9079</v>
      </c>
    </row>
    <row r="4368" spans="1:17" x14ac:dyDescent="0.3">
      <c r="A4368" t="s">
        <v>4729</v>
      </c>
      <c r="B4368" t="str">
        <f>"300570"</f>
        <v>300570</v>
      </c>
      <c r="C4368" t="s">
        <v>9080</v>
      </c>
      <c r="D4368" t="s">
        <v>1019</v>
      </c>
      <c r="F4368">
        <v>646326821</v>
      </c>
      <c r="G4368">
        <v>573637499</v>
      </c>
      <c r="H4368">
        <v>753231137</v>
      </c>
      <c r="I4368">
        <v>794078717</v>
      </c>
      <c r="J4368">
        <v>489790279</v>
      </c>
      <c r="K4368">
        <v>421037826</v>
      </c>
      <c r="L4368">
        <v>502157660</v>
      </c>
      <c r="M4368">
        <v>411119192</v>
      </c>
      <c r="N4368">
        <v>347702134</v>
      </c>
      <c r="P4368">
        <v>229</v>
      </c>
      <c r="Q4368" t="s">
        <v>9081</v>
      </c>
    </row>
    <row r="4369" spans="1:17" x14ac:dyDescent="0.3">
      <c r="A4369" t="s">
        <v>4729</v>
      </c>
      <c r="B4369" t="str">
        <f>"300571"</f>
        <v>300571</v>
      </c>
      <c r="C4369" t="s">
        <v>9082</v>
      </c>
      <c r="D4369" t="s">
        <v>5670</v>
      </c>
      <c r="F4369">
        <v>3601394079</v>
      </c>
      <c r="G4369">
        <v>2407895927</v>
      </c>
      <c r="H4369">
        <v>1717633401</v>
      </c>
      <c r="I4369">
        <v>861949898</v>
      </c>
      <c r="J4369">
        <v>909950451</v>
      </c>
      <c r="K4369">
        <v>469017724</v>
      </c>
      <c r="L4369">
        <v>168201886</v>
      </c>
      <c r="M4369">
        <v>124204636</v>
      </c>
      <c r="N4369">
        <v>100293528</v>
      </c>
      <c r="P4369">
        <v>2110</v>
      </c>
      <c r="Q4369" t="s">
        <v>9083</v>
      </c>
    </row>
    <row r="4370" spans="1:17" x14ac:dyDescent="0.3">
      <c r="A4370" t="s">
        <v>4729</v>
      </c>
      <c r="B4370" t="str">
        <f>"300572"</f>
        <v>300572</v>
      </c>
      <c r="C4370" t="s">
        <v>9084</v>
      </c>
      <c r="D4370" t="s">
        <v>2510</v>
      </c>
      <c r="F4370">
        <v>473311882</v>
      </c>
      <c r="G4370">
        <v>914690791</v>
      </c>
      <c r="H4370">
        <v>972674678</v>
      </c>
      <c r="I4370">
        <v>527767398</v>
      </c>
      <c r="J4370">
        <v>411769601</v>
      </c>
      <c r="K4370">
        <v>318181181</v>
      </c>
      <c r="L4370">
        <v>281672288</v>
      </c>
      <c r="M4370">
        <v>240819293</v>
      </c>
      <c r="N4370">
        <v>219049517</v>
      </c>
      <c r="P4370">
        <v>466</v>
      </c>
      <c r="Q4370" t="s">
        <v>9085</v>
      </c>
    </row>
    <row r="4371" spans="1:17" x14ac:dyDescent="0.3">
      <c r="A4371" t="s">
        <v>4729</v>
      </c>
      <c r="B4371" t="str">
        <f>"300573"</f>
        <v>300573</v>
      </c>
      <c r="C4371" t="s">
        <v>9086</v>
      </c>
      <c r="D4371" t="s">
        <v>143</v>
      </c>
      <c r="F4371">
        <v>1027914867</v>
      </c>
      <c r="G4371">
        <v>688682126</v>
      </c>
      <c r="H4371">
        <v>542434238</v>
      </c>
      <c r="I4371">
        <v>431204722</v>
      </c>
      <c r="J4371">
        <v>360006690</v>
      </c>
      <c r="K4371">
        <v>339100076</v>
      </c>
      <c r="L4371">
        <v>287439466</v>
      </c>
      <c r="M4371">
        <v>254652801</v>
      </c>
      <c r="N4371">
        <v>218631430</v>
      </c>
      <c r="P4371">
        <v>314</v>
      </c>
      <c r="Q4371" t="s">
        <v>9087</v>
      </c>
    </row>
    <row r="4372" spans="1:17" x14ac:dyDescent="0.3">
      <c r="A4372" t="s">
        <v>4729</v>
      </c>
      <c r="B4372" t="str">
        <f>"300575"</f>
        <v>300575</v>
      </c>
      <c r="C4372" t="s">
        <v>9088</v>
      </c>
      <c r="D4372" t="s">
        <v>853</v>
      </c>
      <c r="F4372">
        <v>2192805169</v>
      </c>
      <c r="G4372">
        <v>1861749309</v>
      </c>
      <c r="H4372">
        <v>1569075036</v>
      </c>
      <c r="I4372">
        <v>1649849488</v>
      </c>
      <c r="J4372">
        <v>1295059731</v>
      </c>
      <c r="K4372">
        <v>898466528</v>
      </c>
      <c r="L4372">
        <v>807154524</v>
      </c>
      <c r="M4372">
        <v>758468089</v>
      </c>
      <c r="N4372">
        <v>639912916</v>
      </c>
      <c r="P4372">
        <v>187</v>
      </c>
      <c r="Q4372" t="s">
        <v>9089</v>
      </c>
    </row>
    <row r="4373" spans="1:17" x14ac:dyDescent="0.3">
      <c r="A4373" t="s">
        <v>4729</v>
      </c>
      <c r="B4373" t="str">
        <f>"300576"</f>
        <v>300576</v>
      </c>
      <c r="C4373" t="s">
        <v>9090</v>
      </c>
      <c r="D4373" t="s">
        <v>2408</v>
      </c>
      <c r="F4373">
        <v>785773696</v>
      </c>
      <c r="G4373">
        <v>543961733</v>
      </c>
      <c r="H4373">
        <v>455112180</v>
      </c>
      <c r="I4373">
        <v>423039858</v>
      </c>
      <c r="J4373">
        <v>363361457</v>
      </c>
      <c r="K4373">
        <v>313532834</v>
      </c>
      <c r="L4373">
        <v>276978371</v>
      </c>
      <c r="M4373">
        <v>274972346</v>
      </c>
      <c r="N4373">
        <v>243415339</v>
      </c>
      <c r="P4373">
        <v>189</v>
      </c>
      <c r="Q4373" t="s">
        <v>9091</v>
      </c>
    </row>
    <row r="4374" spans="1:17" x14ac:dyDescent="0.3">
      <c r="A4374" t="s">
        <v>4729</v>
      </c>
      <c r="B4374" t="str">
        <f>"300577"</f>
        <v>300577</v>
      </c>
      <c r="C4374" t="s">
        <v>9092</v>
      </c>
      <c r="D4374" t="s">
        <v>330</v>
      </c>
      <c r="F4374">
        <v>2288965220</v>
      </c>
      <c r="G4374">
        <v>1943814261</v>
      </c>
      <c r="H4374">
        <v>2694818585</v>
      </c>
      <c r="I4374">
        <v>2048070223</v>
      </c>
      <c r="J4374">
        <v>1162436611</v>
      </c>
      <c r="K4374">
        <v>775774462</v>
      </c>
      <c r="L4374">
        <v>494129517</v>
      </c>
      <c r="M4374">
        <v>416961698</v>
      </c>
      <c r="N4374">
        <v>295109337</v>
      </c>
      <c r="P4374">
        <v>486</v>
      </c>
      <c r="Q4374" t="s">
        <v>9093</v>
      </c>
    </row>
    <row r="4375" spans="1:17" x14ac:dyDescent="0.3">
      <c r="A4375" t="s">
        <v>4729</v>
      </c>
      <c r="B4375" t="str">
        <f>"300578"</f>
        <v>300578</v>
      </c>
      <c r="C4375" t="s">
        <v>9094</v>
      </c>
      <c r="D4375" t="s">
        <v>5670</v>
      </c>
      <c r="F4375">
        <v>678294902</v>
      </c>
      <c r="G4375">
        <v>788008495</v>
      </c>
      <c r="H4375">
        <v>534645526</v>
      </c>
      <c r="I4375">
        <v>223505955</v>
      </c>
      <c r="J4375">
        <v>267146619</v>
      </c>
      <c r="K4375">
        <v>252180523</v>
      </c>
      <c r="L4375">
        <v>250204319</v>
      </c>
      <c r="M4375">
        <v>236320712</v>
      </c>
      <c r="N4375">
        <v>231185570</v>
      </c>
      <c r="P4375">
        <v>305</v>
      </c>
      <c r="Q4375" t="s">
        <v>9095</v>
      </c>
    </row>
    <row r="4376" spans="1:17" x14ac:dyDescent="0.3">
      <c r="A4376" t="s">
        <v>4729</v>
      </c>
      <c r="B4376" t="str">
        <f>"300579"</f>
        <v>300579</v>
      </c>
      <c r="C4376" t="s">
        <v>9096</v>
      </c>
      <c r="D4376" t="s">
        <v>945</v>
      </c>
      <c r="F4376">
        <v>1026272770</v>
      </c>
      <c r="G4376">
        <v>857963126</v>
      </c>
      <c r="H4376">
        <v>793892436</v>
      </c>
      <c r="I4376">
        <v>667720173</v>
      </c>
      <c r="J4376">
        <v>519848359</v>
      </c>
      <c r="K4376">
        <v>445515081</v>
      </c>
      <c r="L4376">
        <v>373171987</v>
      </c>
      <c r="M4376">
        <v>309825902</v>
      </c>
      <c r="N4376">
        <v>269142566</v>
      </c>
      <c r="P4376">
        <v>335</v>
      </c>
      <c r="Q4376" t="s">
        <v>9097</v>
      </c>
    </row>
    <row r="4377" spans="1:17" x14ac:dyDescent="0.3">
      <c r="A4377" t="s">
        <v>4729</v>
      </c>
      <c r="B4377" t="str">
        <f>"300580"</f>
        <v>300580</v>
      </c>
      <c r="C4377" t="s">
        <v>9098</v>
      </c>
      <c r="D4377" t="s">
        <v>348</v>
      </c>
      <c r="F4377">
        <v>1057097736</v>
      </c>
      <c r="G4377">
        <v>931141420</v>
      </c>
      <c r="H4377">
        <v>801857188</v>
      </c>
      <c r="I4377">
        <v>744757146</v>
      </c>
      <c r="J4377">
        <v>670700348</v>
      </c>
      <c r="K4377">
        <v>547411020</v>
      </c>
      <c r="L4377">
        <v>476623090</v>
      </c>
      <c r="M4377">
        <v>442943831</v>
      </c>
      <c r="N4377">
        <v>375751047</v>
      </c>
      <c r="P4377">
        <v>148</v>
      </c>
      <c r="Q4377" t="s">
        <v>9099</v>
      </c>
    </row>
    <row r="4378" spans="1:17" x14ac:dyDescent="0.3">
      <c r="A4378" t="s">
        <v>4729</v>
      </c>
      <c r="B4378" t="str">
        <f>"300581"</f>
        <v>300581</v>
      </c>
      <c r="C4378" t="s">
        <v>9100</v>
      </c>
      <c r="D4378" t="s">
        <v>98</v>
      </c>
      <c r="F4378">
        <v>224176731</v>
      </c>
      <c r="G4378">
        <v>270757745</v>
      </c>
      <c r="H4378">
        <v>238683183</v>
      </c>
      <c r="I4378">
        <v>174004552</v>
      </c>
      <c r="J4378">
        <v>177940748</v>
      </c>
      <c r="K4378">
        <v>203673831</v>
      </c>
      <c r="L4378">
        <v>200281496</v>
      </c>
      <c r="M4378">
        <v>185970322</v>
      </c>
      <c r="N4378">
        <v>146672981</v>
      </c>
      <c r="P4378">
        <v>151</v>
      </c>
      <c r="Q4378" t="s">
        <v>9101</v>
      </c>
    </row>
    <row r="4379" spans="1:17" x14ac:dyDescent="0.3">
      <c r="A4379" t="s">
        <v>4729</v>
      </c>
      <c r="B4379" t="str">
        <f>"300582"</f>
        <v>300582</v>
      </c>
      <c r="C4379" t="s">
        <v>9102</v>
      </c>
      <c r="D4379" t="s">
        <v>803</v>
      </c>
      <c r="F4379">
        <v>1416211287</v>
      </c>
      <c r="G4379">
        <v>1053074403</v>
      </c>
      <c r="H4379">
        <v>1008783025</v>
      </c>
      <c r="I4379">
        <v>965306167</v>
      </c>
      <c r="J4379">
        <v>763290592</v>
      </c>
      <c r="K4379">
        <v>653573321</v>
      </c>
      <c r="L4379">
        <v>526747855</v>
      </c>
      <c r="M4379">
        <v>450577988</v>
      </c>
      <c r="N4379">
        <v>386141679</v>
      </c>
      <c r="P4379">
        <v>152</v>
      </c>
      <c r="Q4379" t="s">
        <v>9103</v>
      </c>
    </row>
    <row r="4380" spans="1:17" x14ac:dyDescent="0.3">
      <c r="A4380" t="s">
        <v>4729</v>
      </c>
      <c r="B4380" t="str">
        <f>"300583"</f>
        <v>300583</v>
      </c>
      <c r="C4380" t="s">
        <v>9104</v>
      </c>
      <c r="D4380" t="s">
        <v>496</v>
      </c>
      <c r="F4380">
        <v>1202622704</v>
      </c>
      <c r="G4380">
        <v>913187604</v>
      </c>
      <c r="H4380">
        <v>965800381</v>
      </c>
      <c r="I4380">
        <v>1052277112</v>
      </c>
      <c r="J4380">
        <v>785566459</v>
      </c>
      <c r="K4380">
        <v>568245934</v>
      </c>
      <c r="L4380">
        <v>668166781</v>
      </c>
      <c r="M4380">
        <v>521011426</v>
      </c>
      <c r="N4380">
        <v>283587948</v>
      </c>
      <c r="P4380">
        <v>76</v>
      </c>
      <c r="Q4380" t="s">
        <v>9105</v>
      </c>
    </row>
    <row r="4381" spans="1:17" x14ac:dyDescent="0.3">
      <c r="A4381" t="s">
        <v>4729</v>
      </c>
      <c r="B4381" t="str">
        <f>"300584"</f>
        <v>300584</v>
      </c>
      <c r="C4381" t="s">
        <v>9106</v>
      </c>
      <c r="D4381" t="s">
        <v>143</v>
      </c>
      <c r="F4381">
        <v>578315038</v>
      </c>
      <c r="G4381">
        <v>706295710</v>
      </c>
      <c r="H4381">
        <v>924537940</v>
      </c>
      <c r="I4381">
        <v>711907833</v>
      </c>
      <c r="J4381">
        <v>455034586</v>
      </c>
      <c r="K4381">
        <v>280827571</v>
      </c>
      <c r="L4381">
        <v>220993473</v>
      </c>
      <c r="M4381">
        <v>197655207</v>
      </c>
      <c r="N4381">
        <v>169502080</v>
      </c>
      <c r="P4381">
        <v>195</v>
      </c>
      <c r="Q4381" t="s">
        <v>9107</v>
      </c>
    </row>
    <row r="4382" spans="1:17" x14ac:dyDescent="0.3">
      <c r="A4382" t="s">
        <v>4729</v>
      </c>
      <c r="B4382" t="str">
        <f>"300585"</f>
        <v>300585</v>
      </c>
      <c r="C4382" t="s">
        <v>9108</v>
      </c>
      <c r="D4382" t="s">
        <v>348</v>
      </c>
      <c r="F4382">
        <v>450861723</v>
      </c>
      <c r="G4382">
        <v>416401505</v>
      </c>
      <c r="H4382">
        <v>369956143</v>
      </c>
      <c r="I4382">
        <v>348918832</v>
      </c>
      <c r="J4382">
        <v>394920979</v>
      </c>
      <c r="K4382">
        <v>325823380</v>
      </c>
      <c r="L4382">
        <v>267356335</v>
      </c>
      <c r="M4382">
        <v>233536531</v>
      </c>
      <c r="N4382">
        <v>203615825</v>
      </c>
      <c r="P4382">
        <v>92</v>
      </c>
      <c r="Q4382" t="s">
        <v>9109</v>
      </c>
    </row>
    <row r="4383" spans="1:17" x14ac:dyDescent="0.3">
      <c r="A4383" t="s">
        <v>4729</v>
      </c>
      <c r="B4383" t="str">
        <f>"300586"</f>
        <v>300586</v>
      </c>
      <c r="C4383" t="s">
        <v>9110</v>
      </c>
      <c r="D4383" t="s">
        <v>341</v>
      </c>
      <c r="F4383">
        <v>1880766814</v>
      </c>
      <c r="G4383">
        <v>1517134662</v>
      </c>
      <c r="H4383">
        <v>1260236641</v>
      </c>
      <c r="I4383">
        <v>583718008</v>
      </c>
      <c r="J4383">
        <v>464144811</v>
      </c>
      <c r="K4383">
        <v>417553509</v>
      </c>
      <c r="L4383">
        <v>346529708</v>
      </c>
      <c r="M4383">
        <v>324707133</v>
      </c>
      <c r="N4383">
        <v>308744720</v>
      </c>
      <c r="P4383">
        <v>132</v>
      </c>
      <c r="Q4383" t="s">
        <v>9111</v>
      </c>
    </row>
    <row r="4384" spans="1:17" x14ac:dyDescent="0.3">
      <c r="A4384" t="s">
        <v>4729</v>
      </c>
      <c r="B4384" t="str">
        <f>"300587"</f>
        <v>300587</v>
      </c>
      <c r="C4384" t="s">
        <v>9112</v>
      </c>
      <c r="D4384" t="s">
        <v>2469</v>
      </c>
      <c r="F4384">
        <v>1713270591</v>
      </c>
      <c r="G4384">
        <v>1235312835</v>
      </c>
      <c r="H4384">
        <v>990228393</v>
      </c>
      <c r="I4384">
        <v>490506025</v>
      </c>
      <c r="J4384">
        <v>317549326</v>
      </c>
      <c r="K4384">
        <v>290277019</v>
      </c>
      <c r="L4384">
        <v>288513939</v>
      </c>
      <c r="M4384">
        <v>282405156</v>
      </c>
      <c r="N4384">
        <v>247162096</v>
      </c>
      <c r="P4384">
        <v>155</v>
      </c>
      <c r="Q4384" t="s">
        <v>9113</v>
      </c>
    </row>
    <row r="4385" spans="1:17" x14ac:dyDescent="0.3">
      <c r="A4385" t="s">
        <v>4729</v>
      </c>
      <c r="B4385" t="str">
        <f>"300588"</f>
        <v>300588</v>
      </c>
      <c r="C4385" t="s">
        <v>9114</v>
      </c>
      <c r="D4385" t="s">
        <v>2980</v>
      </c>
      <c r="F4385">
        <v>145338510</v>
      </c>
      <c r="G4385">
        <v>270490732</v>
      </c>
      <c r="H4385">
        <v>281056626</v>
      </c>
      <c r="I4385">
        <v>650936553</v>
      </c>
      <c r="J4385">
        <v>798261753</v>
      </c>
      <c r="K4385">
        <v>539685205</v>
      </c>
      <c r="L4385">
        <v>403562945</v>
      </c>
      <c r="M4385">
        <v>288452727</v>
      </c>
      <c r="N4385">
        <v>224587433</v>
      </c>
      <c r="P4385">
        <v>144</v>
      </c>
      <c r="Q4385" t="s">
        <v>9115</v>
      </c>
    </row>
    <row r="4386" spans="1:17" x14ac:dyDescent="0.3">
      <c r="A4386" t="s">
        <v>4729</v>
      </c>
      <c r="B4386" t="str">
        <f>"300589"</f>
        <v>300589</v>
      </c>
      <c r="C4386" t="s">
        <v>9116</v>
      </c>
      <c r="D4386" t="s">
        <v>167</v>
      </c>
      <c r="F4386">
        <v>690676395</v>
      </c>
      <c r="G4386">
        <v>612990210</v>
      </c>
      <c r="H4386">
        <v>550702759</v>
      </c>
      <c r="I4386">
        <v>469352293</v>
      </c>
      <c r="J4386">
        <v>422970534</v>
      </c>
      <c r="K4386">
        <v>415503474</v>
      </c>
      <c r="L4386">
        <v>361461757</v>
      </c>
      <c r="M4386">
        <v>324088058</v>
      </c>
      <c r="N4386">
        <v>259286568</v>
      </c>
      <c r="P4386">
        <v>87</v>
      </c>
      <c r="Q4386" t="s">
        <v>9117</v>
      </c>
    </row>
    <row r="4387" spans="1:17" x14ac:dyDescent="0.3">
      <c r="A4387" t="s">
        <v>4729</v>
      </c>
      <c r="B4387" t="str">
        <f>"300590"</f>
        <v>300590</v>
      </c>
      <c r="C4387" t="s">
        <v>9118</v>
      </c>
      <c r="D4387" t="s">
        <v>786</v>
      </c>
      <c r="F4387">
        <v>920739608</v>
      </c>
      <c r="G4387">
        <v>472677181</v>
      </c>
      <c r="H4387">
        <v>629466317</v>
      </c>
      <c r="I4387">
        <v>476221677</v>
      </c>
      <c r="J4387">
        <v>362445851</v>
      </c>
      <c r="K4387">
        <v>270154213</v>
      </c>
      <c r="L4387">
        <v>291448942</v>
      </c>
      <c r="M4387">
        <v>198831869</v>
      </c>
      <c r="N4387">
        <v>147352106</v>
      </c>
      <c r="P4387">
        <v>410</v>
      </c>
      <c r="Q4387" t="s">
        <v>9119</v>
      </c>
    </row>
    <row r="4388" spans="1:17" x14ac:dyDescent="0.3">
      <c r="A4388" t="s">
        <v>4729</v>
      </c>
      <c r="B4388" t="str">
        <f>"300591"</f>
        <v>300591</v>
      </c>
      <c r="C4388" t="s">
        <v>9120</v>
      </c>
      <c r="D4388" t="s">
        <v>330</v>
      </c>
      <c r="F4388">
        <v>339287549</v>
      </c>
      <c r="G4388">
        <v>343593790</v>
      </c>
      <c r="H4388">
        <v>675535587</v>
      </c>
      <c r="I4388">
        <v>693399607</v>
      </c>
      <c r="J4388">
        <v>604143897</v>
      </c>
      <c r="K4388">
        <v>601885819</v>
      </c>
      <c r="L4388">
        <v>578158116</v>
      </c>
      <c r="M4388">
        <v>466290799</v>
      </c>
      <c r="N4388">
        <v>428291558</v>
      </c>
      <c r="P4388">
        <v>88</v>
      </c>
      <c r="Q4388" t="s">
        <v>9121</v>
      </c>
    </row>
    <row r="4389" spans="1:17" x14ac:dyDescent="0.3">
      <c r="A4389" t="s">
        <v>4729</v>
      </c>
      <c r="B4389" t="str">
        <f>"300592"</f>
        <v>300592</v>
      </c>
      <c r="C4389" t="s">
        <v>9122</v>
      </c>
      <c r="D4389" t="s">
        <v>450</v>
      </c>
      <c r="F4389">
        <v>2074861491</v>
      </c>
      <c r="G4389">
        <v>135162927</v>
      </c>
      <c r="H4389">
        <v>411779891</v>
      </c>
      <c r="I4389">
        <v>448493090</v>
      </c>
      <c r="J4389">
        <v>561813617</v>
      </c>
      <c r="K4389">
        <v>529584201</v>
      </c>
      <c r="L4389">
        <v>481501008</v>
      </c>
      <c r="M4389">
        <v>435745635</v>
      </c>
      <c r="N4389">
        <v>418694415</v>
      </c>
      <c r="P4389">
        <v>65</v>
      </c>
      <c r="Q4389" t="s">
        <v>9123</v>
      </c>
    </row>
    <row r="4390" spans="1:17" x14ac:dyDescent="0.3">
      <c r="A4390" t="s">
        <v>4729</v>
      </c>
      <c r="B4390" t="str">
        <f>"300593"</f>
        <v>300593</v>
      </c>
      <c r="C4390" t="s">
        <v>9124</v>
      </c>
      <c r="D4390" t="s">
        <v>880</v>
      </c>
      <c r="F4390">
        <v>1477721418</v>
      </c>
      <c r="G4390">
        <v>842624313</v>
      </c>
      <c r="H4390">
        <v>772346083</v>
      </c>
      <c r="I4390">
        <v>476568904</v>
      </c>
      <c r="J4390">
        <v>346228402</v>
      </c>
      <c r="K4390">
        <v>348647283</v>
      </c>
      <c r="L4390">
        <v>302028333</v>
      </c>
      <c r="M4390">
        <v>291471924</v>
      </c>
      <c r="N4390">
        <v>232002219</v>
      </c>
      <c r="P4390">
        <v>254</v>
      </c>
      <c r="Q4390" t="s">
        <v>9125</v>
      </c>
    </row>
    <row r="4391" spans="1:17" x14ac:dyDescent="0.3">
      <c r="A4391" t="s">
        <v>4729</v>
      </c>
      <c r="B4391" t="str">
        <f>"300594"</f>
        <v>300594</v>
      </c>
      <c r="C4391" t="s">
        <v>9126</v>
      </c>
      <c r="D4391" t="s">
        <v>1012</v>
      </c>
      <c r="F4391">
        <v>675804350</v>
      </c>
      <c r="G4391">
        <v>583806440</v>
      </c>
      <c r="H4391">
        <v>525703862</v>
      </c>
      <c r="I4391">
        <v>473640661</v>
      </c>
      <c r="J4391">
        <v>411970357</v>
      </c>
      <c r="K4391">
        <v>302315065</v>
      </c>
      <c r="P4391">
        <v>72</v>
      </c>
      <c r="Q4391" t="s">
        <v>9127</v>
      </c>
    </row>
    <row r="4392" spans="1:17" x14ac:dyDescent="0.3">
      <c r="A4392" t="s">
        <v>4729</v>
      </c>
      <c r="B4392" t="str">
        <f>"300595"</f>
        <v>300595</v>
      </c>
      <c r="C4392" t="s">
        <v>9128</v>
      </c>
      <c r="D4392" t="s">
        <v>1077</v>
      </c>
      <c r="F4392">
        <v>1295045845</v>
      </c>
      <c r="G4392">
        <v>870663602</v>
      </c>
      <c r="H4392">
        <v>646903716</v>
      </c>
      <c r="I4392">
        <v>458419767</v>
      </c>
      <c r="J4392">
        <v>311629075</v>
      </c>
      <c r="K4392">
        <v>235018664</v>
      </c>
      <c r="L4392">
        <v>176236652</v>
      </c>
      <c r="M4392">
        <v>129880557</v>
      </c>
      <c r="N4392">
        <v>91010663</v>
      </c>
      <c r="P4392">
        <v>4326</v>
      </c>
      <c r="Q4392" t="s">
        <v>9129</v>
      </c>
    </row>
    <row r="4393" spans="1:17" x14ac:dyDescent="0.3">
      <c r="A4393" t="s">
        <v>4729</v>
      </c>
      <c r="B4393" t="str">
        <f>"300596"</f>
        <v>300596</v>
      </c>
      <c r="C4393" t="s">
        <v>9130</v>
      </c>
      <c r="D4393" t="s">
        <v>1192</v>
      </c>
      <c r="F4393">
        <v>3444636128</v>
      </c>
      <c r="G4393">
        <v>2482787134</v>
      </c>
      <c r="H4393">
        <v>1978311486</v>
      </c>
      <c r="I4393">
        <v>1487749327</v>
      </c>
      <c r="J4393">
        <v>1142409913</v>
      </c>
      <c r="K4393">
        <v>808312727</v>
      </c>
      <c r="L4393">
        <v>604731954</v>
      </c>
      <c r="M4393">
        <v>488129700</v>
      </c>
      <c r="N4393">
        <v>403912801</v>
      </c>
      <c r="P4393">
        <v>391</v>
      </c>
      <c r="Q4393" t="s">
        <v>9131</v>
      </c>
    </row>
    <row r="4394" spans="1:17" x14ac:dyDescent="0.3">
      <c r="A4394" t="s">
        <v>4729</v>
      </c>
      <c r="B4394" t="str">
        <f>"300597"</f>
        <v>300597</v>
      </c>
      <c r="C4394" t="s">
        <v>9132</v>
      </c>
      <c r="D4394" t="s">
        <v>654</v>
      </c>
      <c r="F4394">
        <v>514172702</v>
      </c>
      <c r="G4394">
        <v>492784446</v>
      </c>
      <c r="H4394">
        <v>503366353</v>
      </c>
      <c r="I4394">
        <v>429796113</v>
      </c>
      <c r="J4394">
        <v>438801795</v>
      </c>
      <c r="K4394">
        <v>423306355</v>
      </c>
      <c r="L4394">
        <v>451268588</v>
      </c>
      <c r="M4394">
        <v>395154813</v>
      </c>
      <c r="N4394">
        <v>317018212</v>
      </c>
      <c r="P4394">
        <v>110</v>
      </c>
      <c r="Q4394" t="s">
        <v>9133</v>
      </c>
    </row>
    <row r="4395" spans="1:17" x14ac:dyDescent="0.3">
      <c r="A4395" t="s">
        <v>4729</v>
      </c>
      <c r="B4395" t="str">
        <f>"300598"</f>
        <v>300598</v>
      </c>
      <c r="C4395" t="s">
        <v>9134</v>
      </c>
      <c r="D4395" t="s">
        <v>945</v>
      </c>
      <c r="F4395">
        <v>1424435479</v>
      </c>
      <c r="G4395">
        <v>937897823</v>
      </c>
      <c r="H4395">
        <v>660136683</v>
      </c>
      <c r="I4395">
        <v>534013807</v>
      </c>
      <c r="J4395">
        <v>486076158</v>
      </c>
      <c r="K4395">
        <v>505502410</v>
      </c>
      <c r="L4395">
        <v>440741973</v>
      </c>
      <c r="M4395">
        <v>353042654</v>
      </c>
      <c r="N4395">
        <v>241301419</v>
      </c>
      <c r="P4395">
        <v>319</v>
      </c>
      <c r="Q4395" t="s">
        <v>9135</v>
      </c>
    </row>
    <row r="4396" spans="1:17" x14ac:dyDescent="0.3">
      <c r="A4396" t="s">
        <v>4729</v>
      </c>
      <c r="B4396" t="str">
        <f>"300599"</f>
        <v>300599</v>
      </c>
      <c r="C4396" t="s">
        <v>9136</v>
      </c>
      <c r="D4396" t="s">
        <v>3347</v>
      </c>
      <c r="F4396">
        <v>2357742683</v>
      </c>
      <c r="G4396">
        <v>2068834642</v>
      </c>
      <c r="H4396">
        <v>2020912003</v>
      </c>
      <c r="I4396">
        <v>1872844855</v>
      </c>
      <c r="J4396">
        <v>1536561612</v>
      </c>
      <c r="K4396">
        <v>1264524626</v>
      </c>
      <c r="L4396">
        <v>1157118048</v>
      </c>
      <c r="M4396">
        <v>1321932468</v>
      </c>
      <c r="N4396">
        <v>1270796610</v>
      </c>
      <c r="P4396">
        <v>102</v>
      </c>
      <c r="Q4396" t="s">
        <v>9137</v>
      </c>
    </row>
    <row r="4397" spans="1:17" x14ac:dyDescent="0.3">
      <c r="A4397" t="s">
        <v>4729</v>
      </c>
      <c r="B4397" t="str">
        <f>"300600"</f>
        <v>300600</v>
      </c>
      <c r="C4397" t="s">
        <v>9138</v>
      </c>
      <c r="D4397" t="s">
        <v>167</v>
      </c>
      <c r="F4397">
        <v>220089748</v>
      </c>
      <c r="G4397">
        <v>570252523</v>
      </c>
      <c r="H4397">
        <v>486133136</v>
      </c>
      <c r="I4397">
        <v>488806525</v>
      </c>
      <c r="J4397">
        <v>415373908</v>
      </c>
      <c r="K4397">
        <v>367775284</v>
      </c>
      <c r="L4397">
        <v>301768899</v>
      </c>
      <c r="M4397">
        <v>267915086</v>
      </c>
      <c r="N4397">
        <v>204766178</v>
      </c>
      <c r="P4397">
        <v>101</v>
      </c>
      <c r="Q4397" t="s">
        <v>9139</v>
      </c>
    </row>
    <row r="4398" spans="1:17" x14ac:dyDescent="0.3">
      <c r="A4398" t="s">
        <v>4729</v>
      </c>
      <c r="B4398" t="str">
        <f>"300601"</f>
        <v>300601</v>
      </c>
      <c r="C4398" t="s">
        <v>9140</v>
      </c>
      <c r="D4398" t="s">
        <v>1499</v>
      </c>
      <c r="F4398">
        <v>3652094896</v>
      </c>
      <c r="G4398">
        <v>2261177380</v>
      </c>
      <c r="H4398">
        <v>1943331754</v>
      </c>
      <c r="I4398">
        <v>2016902802</v>
      </c>
      <c r="J4398">
        <v>1161175812</v>
      </c>
      <c r="K4398">
        <v>551940979</v>
      </c>
      <c r="L4398">
        <v>452742198</v>
      </c>
      <c r="M4398">
        <v>303363797</v>
      </c>
      <c r="N4398">
        <v>250513321</v>
      </c>
      <c r="P4398">
        <v>1383</v>
      </c>
      <c r="Q4398" t="s">
        <v>9141</v>
      </c>
    </row>
    <row r="4399" spans="1:17" x14ac:dyDescent="0.3">
      <c r="A4399" t="s">
        <v>4729</v>
      </c>
      <c r="B4399" t="str">
        <f>"300602"</f>
        <v>300602</v>
      </c>
      <c r="C4399" t="s">
        <v>9142</v>
      </c>
      <c r="D4399" t="s">
        <v>313</v>
      </c>
      <c r="F4399">
        <v>3058008674</v>
      </c>
      <c r="G4399">
        <v>2929338604</v>
      </c>
      <c r="H4399">
        <v>2615270806</v>
      </c>
      <c r="I4399">
        <v>1325762767</v>
      </c>
      <c r="J4399">
        <v>1036410326</v>
      </c>
      <c r="K4399">
        <v>842977689</v>
      </c>
      <c r="L4399">
        <v>647175519</v>
      </c>
      <c r="M4399">
        <v>605886517</v>
      </c>
      <c r="N4399">
        <v>458974659</v>
      </c>
      <c r="P4399">
        <v>597</v>
      </c>
      <c r="Q4399" t="s">
        <v>9143</v>
      </c>
    </row>
    <row r="4400" spans="1:17" x14ac:dyDescent="0.3">
      <c r="A4400" t="s">
        <v>4729</v>
      </c>
      <c r="B4400" t="str">
        <f>"300603"</f>
        <v>300603</v>
      </c>
      <c r="C4400" t="s">
        <v>9144</v>
      </c>
      <c r="D4400" t="s">
        <v>5670</v>
      </c>
      <c r="F4400">
        <v>967765327</v>
      </c>
      <c r="G4400">
        <v>1006429532</v>
      </c>
      <c r="H4400">
        <v>1381970364</v>
      </c>
      <c r="I4400">
        <v>668721532</v>
      </c>
      <c r="J4400">
        <v>973201875</v>
      </c>
      <c r="K4400">
        <v>362784889</v>
      </c>
      <c r="L4400">
        <v>277609493</v>
      </c>
      <c r="M4400">
        <v>249019288</v>
      </c>
      <c r="N4400">
        <v>305622822</v>
      </c>
      <c r="P4400">
        <v>196</v>
      </c>
      <c r="Q4400" t="s">
        <v>9145</v>
      </c>
    </row>
    <row r="4401" spans="1:17" x14ac:dyDescent="0.3">
      <c r="A4401" t="s">
        <v>4729</v>
      </c>
      <c r="B4401" t="str">
        <f>"300604"</f>
        <v>300604</v>
      </c>
      <c r="C4401" t="s">
        <v>9146</v>
      </c>
      <c r="D4401" t="s">
        <v>3187</v>
      </c>
      <c r="F4401">
        <v>1511230398</v>
      </c>
      <c r="G4401">
        <v>803829320</v>
      </c>
      <c r="H4401">
        <v>398834099</v>
      </c>
      <c r="I4401">
        <v>216121511</v>
      </c>
      <c r="J4401">
        <v>179794484</v>
      </c>
      <c r="K4401">
        <v>124134530</v>
      </c>
      <c r="L4401">
        <v>101566188</v>
      </c>
      <c r="M4401">
        <v>78277646</v>
      </c>
      <c r="P4401">
        <v>370</v>
      </c>
      <c r="Q4401" t="s">
        <v>9147</v>
      </c>
    </row>
    <row r="4402" spans="1:17" x14ac:dyDescent="0.3">
      <c r="A4402" t="s">
        <v>4729</v>
      </c>
      <c r="B4402" t="str">
        <f>"300605"</f>
        <v>300605</v>
      </c>
      <c r="C4402" t="s">
        <v>9148</v>
      </c>
      <c r="D4402" t="s">
        <v>945</v>
      </c>
      <c r="F4402">
        <v>612343709</v>
      </c>
      <c r="G4402">
        <v>502123147</v>
      </c>
      <c r="H4402">
        <v>566611552</v>
      </c>
      <c r="I4402">
        <v>524857084</v>
      </c>
      <c r="J4402">
        <v>403950008</v>
      </c>
      <c r="K4402">
        <v>330244868</v>
      </c>
      <c r="L4402">
        <v>310970661</v>
      </c>
      <c r="M4402">
        <v>288543516</v>
      </c>
      <c r="N4402">
        <v>260948778</v>
      </c>
      <c r="P4402">
        <v>93</v>
      </c>
      <c r="Q4402" t="s">
        <v>9149</v>
      </c>
    </row>
    <row r="4403" spans="1:17" x14ac:dyDescent="0.3">
      <c r="A4403" t="s">
        <v>4729</v>
      </c>
      <c r="B4403" t="str">
        <f>"300606"</f>
        <v>300606</v>
      </c>
      <c r="C4403" t="s">
        <v>9150</v>
      </c>
      <c r="D4403" t="s">
        <v>404</v>
      </c>
      <c r="F4403">
        <v>447021874</v>
      </c>
      <c r="G4403">
        <v>414905859</v>
      </c>
      <c r="H4403">
        <v>430124888</v>
      </c>
      <c r="I4403">
        <v>378202788</v>
      </c>
      <c r="J4403">
        <v>257913455</v>
      </c>
      <c r="K4403">
        <v>220272169</v>
      </c>
      <c r="L4403">
        <v>205908862</v>
      </c>
      <c r="M4403">
        <v>229739880</v>
      </c>
      <c r="N4403">
        <v>197761785</v>
      </c>
      <c r="P4403">
        <v>92</v>
      </c>
      <c r="Q4403" t="s">
        <v>9151</v>
      </c>
    </row>
    <row r="4404" spans="1:17" x14ac:dyDescent="0.3">
      <c r="A4404" t="s">
        <v>4729</v>
      </c>
      <c r="B4404" t="str">
        <f>"300607"</f>
        <v>300607</v>
      </c>
      <c r="C4404" t="s">
        <v>9152</v>
      </c>
      <c r="D4404" t="s">
        <v>2938</v>
      </c>
      <c r="F4404">
        <v>3292734230</v>
      </c>
      <c r="G4404">
        <v>2755439647</v>
      </c>
      <c r="H4404">
        <v>1660363366</v>
      </c>
      <c r="I4404">
        <v>1198098145</v>
      </c>
      <c r="J4404">
        <v>764422960</v>
      </c>
      <c r="K4404">
        <v>433085306</v>
      </c>
      <c r="L4404">
        <v>302220256</v>
      </c>
      <c r="M4404">
        <v>213611663</v>
      </c>
      <c r="N4404">
        <v>152086517</v>
      </c>
      <c r="P4404">
        <v>1388</v>
      </c>
      <c r="Q4404" t="s">
        <v>9153</v>
      </c>
    </row>
    <row r="4405" spans="1:17" x14ac:dyDescent="0.3">
      <c r="A4405" t="s">
        <v>4729</v>
      </c>
      <c r="B4405" t="str">
        <f>"300608"</f>
        <v>300608</v>
      </c>
      <c r="C4405" t="s">
        <v>9154</v>
      </c>
      <c r="D4405" t="s">
        <v>945</v>
      </c>
      <c r="F4405">
        <v>904348516</v>
      </c>
      <c r="G4405">
        <v>737235963</v>
      </c>
      <c r="H4405">
        <v>859779942</v>
      </c>
      <c r="I4405">
        <v>787696203</v>
      </c>
      <c r="J4405">
        <v>740004269</v>
      </c>
      <c r="K4405">
        <v>685434259</v>
      </c>
      <c r="L4405">
        <v>614317864</v>
      </c>
      <c r="M4405">
        <v>595892841</v>
      </c>
      <c r="N4405">
        <v>550833897</v>
      </c>
      <c r="P4405">
        <v>217</v>
      </c>
      <c r="Q4405" t="s">
        <v>9155</v>
      </c>
    </row>
    <row r="4406" spans="1:17" x14ac:dyDescent="0.3">
      <c r="A4406" t="s">
        <v>4729</v>
      </c>
      <c r="B4406" t="str">
        <f>"300609"</f>
        <v>300609</v>
      </c>
      <c r="C4406" t="s">
        <v>9156</v>
      </c>
      <c r="D4406" t="s">
        <v>316</v>
      </c>
      <c r="F4406">
        <v>388488487</v>
      </c>
      <c r="G4406">
        <v>218751149</v>
      </c>
      <c r="H4406">
        <v>324798324</v>
      </c>
      <c r="I4406">
        <v>249166053</v>
      </c>
      <c r="J4406">
        <v>203126009</v>
      </c>
      <c r="K4406">
        <v>172961784</v>
      </c>
      <c r="L4406">
        <v>135005672</v>
      </c>
      <c r="M4406">
        <v>113037882</v>
      </c>
      <c r="N4406">
        <v>85645657</v>
      </c>
      <c r="P4406">
        <v>155</v>
      </c>
      <c r="Q4406" t="s">
        <v>9157</v>
      </c>
    </row>
    <row r="4407" spans="1:17" x14ac:dyDescent="0.3">
      <c r="A4407" t="s">
        <v>4729</v>
      </c>
      <c r="B4407" t="str">
        <f>"300610"</f>
        <v>300610</v>
      </c>
      <c r="C4407" t="s">
        <v>9158</v>
      </c>
      <c r="D4407" t="s">
        <v>1192</v>
      </c>
      <c r="F4407">
        <v>1192606444</v>
      </c>
      <c r="G4407">
        <v>900255186</v>
      </c>
      <c r="H4407">
        <v>804898109</v>
      </c>
      <c r="I4407">
        <v>786803315</v>
      </c>
      <c r="J4407">
        <v>703400870</v>
      </c>
      <c r="K4407">
        <v>585816267</v>
      </c>
      <c r="L4407">
        <v>553553127</v>
      </c>
      <c r="M4407">
        <v>585957987</v>
      </c>
      <c r="N4407">
        <v>521790334</v>
      </c>
      <c r="P4407">
        <v>129</v>
      </c>
      <c r="Q4407" t="s">
        <v>9159</v>
      </c>
    </row>
    <row r="4408" spans="1:17" x14ac:dyDescent="0.3">
      <c r="A4408" t="s">
        <v>4729</v>
      </c>
      <c r="B4408" t="str">
        <f>"300611"</f>
        <v>300611</v>
      </c>
      <c r="C4408" t="s">
        <v>9160</v>
      </c>
      <c r="D4408" t="s">
        <v>348</v>
      </c>
      <c r="F4408">
        <v>816819641</v>
      </c>
      <c r="G4408">
        <v>673611550</v>
      </c>
      <c r="H4408">
        <v>601486574</v>
      </c>
      <c r="I4408">
        <v>545088788</v>
      </c>
      <c r="J4408">
        <v>401499126</v>
      </c>
      <c r="K4408">
        <v>359232453</v>
      </c>
      <c r="L4408">
        <v>297706057</v>
      </c>
      <c r="M4408">
        <v>236705131</v>
      </c>
      <c r="N4408">
        <v>189479552</v>
      </c>
      <c r="P4408">
        <v>97</v>
      </c>
      <c r="Q4408" t="s">
        <v>9161</v>
      </c>
    </row>
    <row r="4409" spans="1:17" x14ac:dyDescent="0.3">
      <c r="A4409" t="s">
        <v>4729</v>
      </c>
      <c r="B4409" t="str">
        <f>"300612"</f>
        <v>300612</v>
      </c>
      <c r="C4409" t="s">
        <v>9162</v>
      </c>
      <c r="D4409" t="s">
        <v>207</v>
      </c>
      <c r="F4409">
        <v>917442121</v>
      </c>
      <c r="G4409">
        <v>619388737</v>
      </c>
      <c r="H4409">
        <v>354228723</v>
      </c>
      <c r="I4409">
        <v>369281216</v>
      </c>
      <c r="J4409">
        <v>504510270</v>
      </c>
      <c r="K4409">
        <v>467441970</v>
      </c>
      <c r="L4409">
        <v>390596171</v>
      </c>
      <c r="M4409">
        <v>267045411</v>
      </c>
      <c r="N4409">
        <v>267001921</v>
      </c>
      <c r="P4409">
        <v>84</v>
      </c>
      <c r="Q4409" t="s">
        <v>9163</v>
      </c>
    </row>
    <row r="4410" spans="1:17" x14ac:dyDescent="0.3">
      <c r="A4410" t="s">
        <v>4729</v>
      </c>
      <c r="B4410" t="str">
        <f>"300613"</f>
        <v>300613</v>
      </c>
      <c r="C4410" t="s">
        <v>9164</v>
      </c>
      <c r="D4410" t="s">
        <v>461</v>
      </c>
      <c r="F4410">
        <v>1717003045</v>
      </c>
      <c r="G4410">
        <v>610247904</v>
      </c>
      <c r="H4410">
        <v>522080228</v>
      </c>
      <c r="I4410">
        <v>412004133</v>
      </c>
      <c r="J4410">
        <v>449213028</v>
      </c>
      <c r="K4410">
        <v>321696017</v>
      </c>
      <c r="L4410">
        <v>181608372</v>
      </c>
      <c r="M4410">
        <v>174979324</v>
      </c>
      <c r="P4410">
        <v>357</v>
      </c>
      <c r="Q4410" t="s">
        <v>9165</v>
      </c>
    </row>
    <row r="4411" spans="1:17" x14ac:dyDescent="0.3">
      <c r="A4411" t="s">
        <v>4729</v>
      </c>
      <c r="B4411" t="str">
        <f>"300614"</f>
        <v>300614</v>
      </c>
      <c r="C4411" t="s">
        <v>9166</v>
      </c>
      <c r="D4411" t="s">
        <v>499</v>
      </c>
      <c r="F4411">
        <v>499322942</v>
      </c>
      <c r="G4411">
        <v>518726941</v>
      </c>
      <c r="H4411">
        <v>464160733</v>
      </c>
      <c r="I4411">
        <v>313934304</v>
      </c>
      <c r="J4411">
        <v>227547203</v>
      </c>
      <c r="K4411">
        <v>175710225</v>
      </c>
      <c r="P4411">
        <v>41</v>
      </c>
      <c r="Q4411" t="s">
        <v>9167</v>
      </c>
    </row>
    <row r="4412" spans="1:17" x14ac:dyDescent="0.3">
      <c r="A4412" t="s">
        <v>4729</v>
      </c>
      <c r="B4412" t="str">
        <f>"300615"</f>
        <v>300615</v>
      </c>
      <c r="C4412" t="s">
        <v>9168</v>
      </c>
      <c r="D4412" t="s">
        <v>786</v>
      </c>
      <c r="F4412">
        <v>276749401</v>
      </c>
      <c r="G4412">
        <v>224827601</v>
      </c>
      <c r="H4412">
        <v>229443756</v>
      </c>
      <c r="I4412">
        <v>236909138</v>
      </c>
      <c r="J4412">
        <v>232684753</v>
      </c>
      <c r="K4412">
        <v>240779603</v>
      </c>
      <c r="L4412">
        <v>206936126</v>
      </c>
      <c r="M4412">
        <v>266349262</v>
      </c>
      <c r="N4412">
        <v>169336857</v>
      </c>
      <c r="P4412">
        <v>156</v>
      </c>
      <c r="Q4412" t="s">
        <v>9169</v>
      </c>
    </row>
    <row r="4413" spans="1:17" x14ac:dyDescent="0.3">
      <c r="A4413" t="s">
        <v>4729</v>
      </c>
      <c r="B4413" t="str">
        <f>"300616"</f>
        <v>300616</v>
      </c>
      <c r="C4413" t="s">
        <v>9170</v>
      </c>
      <c r="D4413" t="s">
        <v>2664</v>
      </c>
      <c r="F4413">
        <v>7309609541</v>
      </c>
      <c r="G4413">
        <v>6513432198</v>
      </c>
      <c r="H4413">
        <v>7260786805</v>
      </c>
      <c r="I4413">
        <v>6645385450</v>
      </c>
      <c r="J4413">
        <v>5323447093</v>
      </c>
      <c r="K4413">
        <v>4026001828</v>
      </c>
      <c r="L4413">
        <v>3087730798</v>
      </c>
      <c r="M4413">
        <v>1912238242</v>
      </c>
      <c r="P4413">
        <v>694</v>
      </c>
      <c r="Q4413" t="s">
        <v>9171</v>
      </c>
    </row>
    <row r="4414" spans="1:17" x14ac:dyDescent="0.3">
      <c r="A4414" t="s">
        <v>4729</v>
      </c>
      <c r="B4414" t="str">
        <f>"300617"</f>
        <v>300617</v>
      </c>
      <c r="C4414" t="s">
        <v>9172</v>
      </c>
      <c r="D4414" t="s">
        <v>1164</v>
      </c>
      <c r="F4414">
        <v>805585163</v>
      </c>
      <c r="G4414">
        <v>528763697</v>
      </c>
      <c r="H4414">
        <v>318024319</v>
      </c>
      <c r="I4414">
        <v>320070653</v>
      </c>
      <c r="J4414">
        <v>359659866</v>
      </c>
      <c r="K4414">
        <v>323844189</v>
      </c>
      <c r="L4414">
        <v>271182081</v>
      </c>
      <c r="M4414">
        <v>298164156</v>
      </c>
      <c r="P4414">
        <v>148</v>
      </c>
      <c r="Q4414" t="s">
        <v>9173</v>
      </c>
    </row>
    <row r="4415" spans="1:17" x14ac:dyDescent="0.3">
      <c r="A4415" t="s">
        <v>4729</v>
      </c>
      <c r="B4415" t="str">
        <f>"300618"</f>
        <v>300618</v>
      </c>
      <c r="C4415" t="s">
        <v>9174</v>
      </c>
      <c r="D4415" t="s">
        <v>1440</v>
      </c>
      <c r="F4415">
        <v>4349711263</v>
      </c>
      <c r="G4415">
        <v>2253776475</v>
      </c>
      <c r="H4415">
        <v>1779038654</v>
      </c>
      <c r="I4415">
        <v>2782467462</v>
      </c>
      <c r="J4415">
        <v>1464896612</v>
      </c>
      <c r="K4415">
        <v>743013523</v>
      </c>
      <c r="L4415">
        <v>931600970</v>
      </c>
      <c r="M4415">
        <v>764508618</v>
      </c>
      <c r="P4415">
        <v>574</v>
      </c>
      <c r="Q4415" t="s">
        <v>9175</v>
      </c>
    </row>
    <row r="4416" spans="1:17" x14ac:dyDescent="0.3">
      <c r="A4416" t="s">
        <v>4729</v>
      </c>
      <c r="B4416" t="str">
        <f>"300619"</f>
        <v>300619</v>
      </c>
      <c r="C4416" t="s">
        <v>9176</v>
      </c>
      <c r="D4416" t="s">
        <v>3776</v>
      </c>
      <c r="F4416">
        <v>1149794171</v>
      </c>
      <c r="G4416">
        <v>594180827</v>
      </c>
      <c r="H4416">
        <v>599589180</v>
      </c>
      <c r="I4416">
        <v>641832656</v>
      </c>
      <c r="J4416">
        <v>489830102</v>
      </c>
      <c r="K4416">
        <v>292680573</v>
      </c>
      <c r="L4416">
        <v>180763250</v>
      </c>
      <c r="M4416">
        <v>164006355</v>
      </c>
      <c r="P4416">
        <v>94</v>
      </c>
      <c r="Q4416" t="s">
        <v>9177</v>
      </c>
    </row>
    <row r="4417" spans="1:17" x14ac:dyDescent="0.3">
      <c r="A4417" t="s">
        <v>4729</v>
      </c>
      <c r="B4417" t="str">
        <f>"300620"</f>
        <v>300620</v>
      </c>
      <c r="C4417" t="s">
        <v>9178</v>
      </c>
      <c r="D4417" t="s">
        <v>1019</v>
      </c>
      <c r="F4417">
        <v>667799589</v>
      </c>
      <c r="G4417">
        <v>491604128</v>
      </c>
      <c r="H4417">
        <v>390780046</v>
      </c>
      <c r="I4417">
        <v>289278323</v>
      </c>
      <c r="J4417">
        <v>230314837</v>
      </c>
      <c r="K4417">
        <v>176354364</v>
      </c>
      <c r="L4417">
        <v>137459655</v>
      </c>
      <c r="M4417">
        <v>109805755</v>
      </c>
      <c r="P4417">
        <v>245</v>
      </c>
      <c r="Q4417" t="s">
        <v>9179</v>
      </c>
    </row>
    <row r="4418" spans="1:17" x14ac:dyDescent="0.3">
      <c r="A4418" t="s">
        <v>4729</v>
      </c>
      <c r="B4418" t="str">
        <f>"300621"</f>
        <v>300621</v>
      </c>
      <c r="C4418" t="s">
        <v>9180</v>
      </c>
      <c r="D4418" t="s">
        <v>450</v>
      </c>
      <c r="F4418">
        <v>10021385088</v>
      </c>
      <c r="G4418">
        <v>2110525985</v>
      </c>
      <c r="H4418">
        <v>2486454238</v>
      </c>
      <c r="I4418">
        <v>2394944876</v>
      </c>
      <c r="J4418">
        <v>1958119555</v>
      </c>
      <c r="K4418">
        <v>1596906481</v>
      </c>
      <c r="L4418">
        <v>1338083120</v>
      </c>
      <c r="M4418">
        <v>1801651754</v>
      </c>
      <c r="P4418">
        <v>56</v>
      </c>
      <c r="Q4418" t="s">
        <v>9181</v>
      </c>
    </row>
    <row r="4419" spans="1:17" x14ac:dyDescent="0.3">
      <c r="A4419" t="s">
        <v>4729</v>
      </c>
      <c r="B4419" t="str">
        <f>"300622"</f>
        <v>300622</v>
      </c>
      <c r="C4419" t="s">
        <v>9182</v>
      </c>
      <c r="D4419" t="s">
        <v>295</v>
      </c>
      <c r="F4419">
        <v>887469047</v>
      </c>
      <c r="G4419">
        <v>656311849</v>
      </c>
      <c r="H4419">
        <v>655031758</v>
      </c>
      <c r="I4419">
        <v>566055654</v>
      </c>
      <c r="J4419">
        <v>471321888</v>
      </c>
      <c r="K4419">
        <v>415956855</v>
      </c>
      <c r="L4419">
        <v>375683541</v>
      </c>
      <c r="M4419">
        <v>361133304</v>
      </c>
      <c r="P4419">
        <v>123</v>
      </c>
      <c r="Q4419" t="s">
        <v>9183</v>
      </c>
    </row>
    <row r="4420" spans="1:17" x14ac:dyDescent="0.3">
      <c r="A4420" t="s">
        <v>4729</v>
      </c>
      <c r="B4420" t="str">
        <f>"300623"</f>
        <v>300623</v>
      </c>
      <c r="C4420" t="s">
        <v>9184</v>
      </c>
      <c r="D4420" t="s">
        <v>795</v>
      </c>
      <c r="F4420">
        <v>1772800862</v>
      </c>
      <c r="G4420">
        <v>1010900921</v>
      </c>
      <c r="H4420">
        <v>673997139</v>
      </c>
      <c r="I4420">
        <v>537470873</v>
      </c>
      <c r="J4420">
        <v>430806894</v>
      </c>
      <c r="K4420">
        <v>331608555</v>
      </c>
      <c r="L4420">
        <v>241462691</v>
      </c>
      <c r="M4420">
        <v>227789978</v>
      </c>
      <c r="N4420">
        <v>194537815</v>
      </c>
      <c r="P4420">
        <v>666</v>
      </c>
      <c r="Q4420" t="s">
        <v>9185</v>
      </c>
    </row>
    <row r="4421" spans="1:17" x14ac:dyDescent="0.3">
      <c r="A4421" t="s">
        <v>4729</v>
      </c>
      <c r="B4421" t="str">
        <f>"300624"</f>
        <v>300624</v>
      </c>
      <c r="C4421" t="s">
        <v>9186</v>
      </c>
      <c r="D4421" t="s">
        <v>1189</v>
      </c>
      <c r="F4421">
        <v>1029158103</v>
      </c>
      <c r="G4421">
        <v>976477440</v>
      </c>
      <c r="H4421">
        <v>703474143</v>
      </c>
      <c r="I4421">
        <v>546253191</v>
      </c>
      <c r="J4421">
        <v>467251624</v>
      </c>
      <c r="K4421">
        <v>368177104</v>
      </c>
      <c r="L4421">
        <v>262823768</v>
      </c>
      <c r="M4421">
        <v>226034831</v>
      </c>
      <c r="P4421">
        <v>332</v>
      </c>
      <c r="Q4421" t="s">
        <v>9187</v>
      </c>
    </row>
    <row r="4422" spans="1:17" x14ac:dyDescent="0.3">
      <c r="A4422" t="s">
        <v>4729</v>
      </c>
      <c r="B4422" t="str">
        <f>"300625"</f>
        <v>300625</v>
      </c>
      <c r="C4422" t="s">
        <v>9188</v>
      </c>
      <c r="D4422" t="s">
        <v>598</v>
      </c>
      <c r="F4422">
        <v>2708642044</v>
      </c>
      <c r="G4422">
        <v>2341821449</v>
      </c>
      <c r="H4422">
        <v>2503921586</v>
      </c>
      <c r="I4422">
        <v>2432504754</v>
      </c>
      <c r="J4422">
        <v>2265617598</v>
      </c>
      <c r="K4422">
        <v>1896944592</v>
      </c>
      <c r="L4422">
        <v>1846985901</v>
      </c>
      <c r="M4422">
        <v>1899313158</v>
      </c>
      <c r="P4422">
        <v>137</v>
      </c>
      <c r="Q4422" t="s">
        <v>9189</v>
      </c>
    </row>
    <row r="4423" spans="1:17" x14ac:dyDescent="0.3">
      <c r="A4423" t="s">
        <v>4729</v>
      </c>
      <c r="B4423" t="str">
        <f>"300626"</f>
        <v>300626</v>
      </c>
      <c r="C4423" t="s">
        <v>9190</v>
      </c>
      <c r="D4423" t="s">
        <v>1171</v>
      </c>
      <c r="F4423">
        <v>983012300</v>
      </c>
      <c r="G4423">
        <v>729359323</v>
      </c>
      <c r="H4423">
        <v>753352461</v>
      </c>
      <c r="I4423">
        <v>849583668</v>
      </c>
      <c r="J4423">
        <v>834293078</v>
      </c>
      <c r="K4423">
        <v>687569558</v>
      </c>
      <c r="L4423">
        <v>676225182</v>
      </c>
      <c r="M4423">
        <v>798561865</v>
      </c>
      <c r="P4423">
        <v>55</v>
      </c>
      <c r="Q4423" t="s">
        <v>9191</v>
      </c>
    </row>
    <row r="4424" spans="1:17" x14ac:dyDescent="0.3">
      <c r="A4424" t="s">
        <v>4729</v>
      </c>
      <c r="B4424" t="str">
        <f>"300627"</f>
        <v>300627</v>
      </c>
      <c r="C4424" t="s">
        <v>9192</v>
      </c>
      <c r="D4424" t="s">
        <v>786</v>
      </c>
      <c r="F4424">
        <v>1903178167</v>
      </c>
      <c r="G4424">
        <v>1409525873</v>
      </c>
      <c r="H4424">
        <v>1145522663</v>
      </c>
      <c r="I4424">
        <v>952045275</v>
      </c>
      <c r="J4424">
        <v>678153189</v>
      </c>
      <c r="K4424">
        <v>482067753</v>
      </c>
      <c r="L4424">
        <v>362070086</v>
      </c>
      <c r="M4424">
        <v>295245319</v>
      </c>
      <c r="P4424">
        <v>295</v>
      </c>
      <c r="Q4424" t="s">
        <v>9193</v>
      </c>
    </row>
    <row r="4425" spans="1:17" x14ac:dyDescent="0.3">
      <c r="A4425" t="s">
        <v>4729</v>
      </c>
      <c r="B4425" t="str">
        <f>"300628"</f>
        <v>300628</v>
      </c>
      <c r="C4425" t="s">
        <v>9194</v>
      </c>
      <c r="D4425" t="s">
        <v>786</v>
      </c>
      <c r="F4425">
        <v>3684241170</v>
      </c>
      <c r="G4425">
        <v>2754286084</v>
      </c>
      <c r="H4425">
        <v>2489346726</v>
      </c>
      <c r="I4425">
        <v>1815359403</v>
      </c>
      <c r="J4425">
        <v>1387763173</v>
      </c>
      <c r="K4425">
        <v>923740731</v>
      </c>
      <c r="L4425">
        <v>661912625</v>
      </c>
      <c r="M4425">
        <v>488361118</v>
      </c>
      <c r="P4425">
        <v>2262</v>
      </c>
      <c r="Q4425" t="s">
        <v>9195</v>
      </c>
    </row>
    <row r="4426" spans="1:17" x14ac:dyDescent="0.3">
      <c r="A4426" t="s">
        <v>4729</v>
      </c>
      <c r="B4426" t="str">
        <f>"300629"</f>
        <v>300629</v>
      </c>
      <c r="C4426" t="s">
        <v>9196</v>
      </c>
      <c r="D4426" t="s">
        <v>404</v>
      </c>
      <c r="F4426">
        <v>360297602</v>
      </c>
      <c r="G4426">
        <v>319369134</v>
      </c>
      <c r="H4426">
        <v>193608924</v>
      </c>
      <c r="I4426">
        <v>211284380</v>
      </c>
      <c r="J4426">
        <v>250401284</v>
      </c>
      <c r="K4426">
        <v>244877318</v>
      </c>
      <c r="L4426">
        <v>243429616</v>
      </c>
      <c r="M4426">
        <v>250535452</v>
      </c>
      <c r="N4426">
        <v>258885224</v>
      </c>
      <c r="P4426">
        <v>65</v>
      </c>
      <c r="Q4426" t="s">
        <v>9197</v>
      </c>
    </row>
    <row r="4427" spans="1:17" x14ac:dyDescent="0.3">
      <c r="A4427" t="s">
        <v>4729</v>
      </c>
      <c r="B4427" t="str">
        <f>"300630"</f>
        <v>300630</v>
      </c>
      <c r="C4427" t="s">
        <v>9198</v>
      </c>
      <c r="D4427" t="s">
        <v>143</v>
      </c>
      <c r="F4427">
        <v>1508829422</v>
      </c>
      <c r="G4427">
        <v>1188603425</v>
      </c>
      <c r="H4427">
        <v>950095208</v>
      </c>
      <c r="I4427">
        <v>623904152</v>
      </c>
      <c r="J4427">
        <v>324826690</v>
      </c>
      <c r="K4427">
        <v>248009196</v>
      </c>
      <c r="L4427">
        <v>202822751</v>
      </c>
      <c r="M4427">
        <v>164562185</v>
      </c>
      <c r="P4427">
        <v>1261</v>
      </c>
      <c r="Q4427" t="s">
        <v>9199</v>
      </c>
    </row>
    <row r="4428" spans="1:17" x14ac:dyDescent="0.3">
      <c r="A4428" t="s">
        <v>4729</v>
      </c>
      <c r="B4428" t="str">
        <f>"300631"</f>
        <v>300631</v>
      </c>
      <c r="C4428" t="s">
        <v>9200</v>
      </c>
      <c r="D4428" t="s">
        <v>1070</v>
      </c>
      <c r="F4428">
        <v>539773421</v>
      </c>
      <c r="G4428">
        <v>531269507</v>
      </c>
      <c r="H4428">
        <v>493948396</v>
      </c>
      <c r="I4428">
        <v>472405818</v>
      </c>
      <c r="J4428">
        <v>293538747</v>
      </c>
      <c r="K4428">
        <v>245949178</v>
      </c>
      <c r="L4428">
        <v>234033970</v>
      </c>
      <c r="M4428">
        <v>287180437</v>
      </c>
      <c r="N4428">
        <v>272809464</v>
      </c>
      <c r="P4428">
        <v>135</v>
      </c>
      <c r="Q4428" t="s">
        <v>9201</v>
      </c>
    </row>
    <row r="4429" spans="1:17" x14ac:dyDescent="0.3">
      <c r="A4429" t="s">
        <v>4729</v>
      </c>
      <c r="B4429" t="str">
        <f>"300632"</f>
        <v>300632</v>
      </c>
      <c r="C4429" t="s">
        <v>9202</v>
      </c>
      <c r="D4429" t="s">
        <v>803</v>
      </c>
      <c r="F4429">
        <v>1014211392</v>
      </c>
      <c r="G4429">
        <v>964224705</v>
      </c>
      <c r="H4429">
        <v>982801717</v>
      </c>
      <c r="I4429">
        <v>774505977</v>
      </c>
      <c r="J4429">
        <v>495399155</v>
      </c>
      <c r="K4429">
        <v>320553475</v>
      </c>
      <c r="L4429">
        <v>260756995</v>
      </c>
      <c r="M4429">
        <v>210190929</v>
      </c>
      <c r="P4429">
        <v>201</v>
      </c>
      <c r="Q4429" t="s">
        <v>9203</v>
      </c>
    </row>
    <row r="4430" spans="1:17" x14ac:dyDescent="0.3">
      <c r="A4430" t="s">
        <v>4729</v>
      </c>
      <c r="B4430" t="str">
        <f>"300633"</f>
        <v>300633</v>
      </c>
      <c r="C4430" t="s">
        <v>9204</v>
      </c>
      <c r="D4430" t="s">
        <v>122</v>
      </c>
      <c r="F4430">
        <v>1444597628</v>
      </c>
      <c r="G4430">
        <v>1163081870</v>
      </c>
      <c r="H4430">
        <v>1253853575</v>
      </c>
      <c r="I4430">
        <v>1226848966</v>
      </c>
      <c r="J4430">
        <v>989069663</v>
      </c>
      <c r="K4430">
        <v>719356863</v>
      </c>
      <c r="L4430">
        <v>685826921</v>
      </c>
      <c r="M4430">
        <v>639724282</v>
      </c>
      <c r="N4430">
        <v>592242347</v>
      </c>
      <c r="P4430">
        <v>514</v>
      </c>
      <c r="Q4430" t="s">
        <v>9205</v>
      </c>
    </row>
    <row r="4431" spans="1:17" x14ac:dyDescent="0.3">
      <c r="A4431" t="s">
        <v>4729</v>
      </c>
      <c r="B4431" t="str">
        <f>"300634"</f>
        <v>300634</v>
      </c>
      <c r="C4431" t="s">
        <v>9206</v>
      </c>
      <c r="D4431" t="s">
        <v>316</v>
      </c>
      <c r="F4431">
        <v>887366738</v>
      </c>
      <c r="G4431">
        <v>739120239</v>
      </c>
      <c r="H4431">
        <v>732082881</v>
      </c>
      <c r="I4431">
        <v>765324509</v>
      </c>
      <c r="J4431">
        <v>616320004</v>
      </c>
      <c r="K4431">
        <v>461786066</v>
      </c>
      <c r="L4431">
        <v>350996790</v>
      </c>
      <c r="P4431">
        <v>159</v>
      </c>
      <c r="Q4431" t="s">
        <v>9207</v>
      </c>
    </row>
    <row r="4432" spans="1:17" x14ac:dyDescent="0.3">
      <c r="A4432" t="s">
        <v>4729</v>
      </c>
      <c r="B4432" t="str">
        <f>"300635"</f>
        <v>300635</v>
      </c>
      <c r="C4432" t="s">
        <v>9208</v>
      </c>
      <c r="D4432" t="s">
        <v>1272</v>
      </c>
      <c r="F4432">
        <v>604783075</v>
      </c>
      <c r="G4432">
        <v>546841686</v>
      </c>
      <c r="H4432">
        <v>564376526</v>
      </c>
      <c r="I4432">
        <v>495632726</v>
      </c>
      <c r="J4432">
        <v>405921592</v>
      </c>
      <c r="K4432">
        <v>407121152</v>
      </c>
      <c r="L4432">
        <v>395878047</v>
      </c>
      <c r="M4432">
        <v>401176415</v>
      </c>
      <c r="P4432">
        <v>113</v>
      </c>
      <c r="Q4432" t="s">
        <v>9209</v>
      </c>
    </row>
    <row r="4433" spans="1:17" x14ac:dyDescent="0.3">
      <c r="A4433" t="s">
        <v>4729</v>
      </c>
      <c r="B4433" t="str">
        <f>"300636"</f>
        <v>300636</v>
      </c>
      <c r="C4433" t="s">
        <v>9210</v>
      </c>
      <c r="D4433" t="s">
        <v>496</v>
      </c>
      <c r="F4433">
        <v>592126649</v>
      </c>
      <c r="G4433">
        <v>435420103</v>
      </c>
      <c r="H4433">
        <v>413058080</v>
      </c>
      <c r="I4433">
        <v>267124046</v>
      </c>
      <c r="J4433">
        <v>296716028</v>
      </c>
      <c r="K4433">
        <v>250078505</v>
      </c>
      <c r="L4433">
        <v>274814062</v>
      </c>
      <c r="M4433">
        <v>212574224</v>
      </c>
      <c r="P4433">
        <v>136</v>
      </c>
      <c r="Q4433" t="s">
        <v>9211</v>
      </c>
    </row>
    <row r="4434" spans="1:17" x14ac:dyDescent="0.3">
      <c r="A4434" t="s">
        <v>4729</v>
      </c>
      <c r="B4434" t="str">
        <f>"300637"</f>
        <v>300637</v>
      </c>
      <c r="C4434" t="s">
        <v>9212</v>
      </c>
      <c r="D4434" t="s">
        <v>2408</v>
      </c>
      <c r="F4434">
        <v>720861862</v>
      </c>
      <c r="G4434">
        <v>494410009</v>
      </c>
      <c r="H4434">
        <v>511692670</v>
      </c>
      <c r="I4434">
        <v>525975256</v>
      </c>
      <c r="J4434">
        <v>436471908</v>
      </c>
      <c r="K4434">
        <v>385213298</v>
      </c>
      <c r="L4434">
        <v>384114976</v>
      </c>
      <c r="M4434">
        <v>364582789</v>
      </c>
      <c r="P4434">
        <v>117</v>
      </c>
      <c r="Q4434" t="s">
        <v>9213</v>
      </c>
    </row>
    <row r="4435" spans="1:17" x14ac:dyDescent="0.3">
      <c r="A4435" t="s">
        <v>4729</v>
      </c>
      <c r="B4435" t="str">
        <f>"300638"</f>
        <v>300638</v>
      </c>
      <c r="C4435" t="s">
        <v>9214</v>
      </c>
      <c r="D4435" t="s">
        <v>786</v>
      </c>
      <c r="F4435">
        <v>4109313122</v>
      </c>
      <c r="G4435">
        <v>2743578210</v>
      </c>
      <c r="H4435">
        <v>1915070926</v>
      </c>
      <c r="I4435">
        <v>1249101089</v>
      </c>
      <c r="J4435">
        <v>563304478</v>
      </c>
      <c r="K4435">
        <v>344353622</v>
      </c>
      <c r="L4435">
        <v>326140656</v>
      </c>
      <c r="M4435">
        <v>292196314</v>
      </c>
      <c r="P4435">
        <v>759</v>
      </c>
      <c r="Q4435" t="s">
        <v>9215</v>
      </c>
    </row>
    <row r="4436" spans="1:17" x14ac:dyDescent="0.3">
      <c r="A4436" t="s">
        <v>4729</v>
      </c>
      <c r="B4436" t="str">
        <f>"300639"</f>
        <v>300639</v>
      </c>
      <c r="C4436" t="s">
        <v>9216</v>
      </c>
      <c r="D4436" t="s">
        <v>1305</v>
      </c>
      <c r="F4436">
        <v>2673022954</v>
      </c>
      <c r="G4436">
        <v>1354496759</v>
      </c>
      <c r="H4436">
        <v>729392802</v>
      </c>
      <c r="I4436">
        <v>580352057</v>
      </c>
      <c r="J4436">
        <v>479085120</v>
      </c>
      <c r="K4436">
        <v>398303899</v>
      </c>
      <c r="L4436">
        <v>344833860</v>
      </c>
      <c r="M4436">
        <v>264082643</v>
      </c>
      <c r="P4436">
        <v>535</v>
      </c>
      <c r="Q4436" t="s">
        <v>9217</v>
      </c>
    </row>
    <row r="4437" spans="1:17" x14ac:dyDescent="0.3">
      <c r="A4437" t="s">
        <v>4729</v>
      </c>
      <c r="B4437" t="str">
        <f>"300640"</f>
        <v>300640</v>
      </c>
      <c r="C4437" t="s">
        <v>9218</v>
      </c>
      <c r="D4437" t="s">
        <v>2445</v>
      </c>
      <c r="F4437">
        <v>806701211</v>
      </c>
      <c r="G4437">
        <v>560296861</v>
      </c>
      <c r="H4437">
        <v>616132092</v>
      </c>
      <c r="I4437">
        <v>557540915</v>
      </c>
      <c r="J4437">
        <v>470706151</v>
      </c>
      <c r="K4437">
        <v>353078270</v>
      </c>
      <c r="L4437">
        <v>336889778</v>
      </c>
      <c r="M4437">
        <v>336485830</v>
      </c>
      <c r="P4437">
        <v>79</v>
      </c>
      <c r="Q4437" t="s">
        <v>9219</v>
      </c>
    </row>
    <row r="4438" spans="1:17" x14ac:dyDescent="0.3">
      <c r="A4438" t="s">
        <v>4729</v>
      </c>
      <c r="B4438" t="str">
        <f>"300641"</f>
        <v>300641</v>
      </c>
      <c r="C4438" t="s">
        <v>9220</v>
      </c>
      <c r="D4438" t="s">
        <v>386</v>
      </c>
      <c r="F4438">
        <v>1759400378</v>
      </c>
      <c r="G4438">
        <v>1317714533</v>
      </c>
      <c r="H4438">
        <v>1307682194</v>
      </c>
      <c r="I4438">
        <v>1209509956</v>
      </c>
      <c r="J4438">
        <v>1169920193</v>
      </c>
      <c r="K4438">
        <v>988602100</v>
      </c>
      <c r="L4438">
        <v>1101214479</v>
      </c>
      <c r="M4438">
        <v>846070664</v>
      </c>
      <c r="P4438">
        <v>79</v>
      </c>
      <c r="Q4438" t="s">
        <v>9221</v>
      </c>
    </row>
    <row r="4439" spans="1:17" x14ac:dyDescent="0.3">
      <c r="A4439" t="s">
        <v>4729</v>
      </c>
      <c r="B4439" t="str">
        <f>"300642"</f>
        <v>300642</v>
      </c>
      <c r="C4439" t="s">
        <v>9222</v>
      </c>
      <c r="D4439" t="s">
        <v>1305</v>
      </c>
      <c r="F4439">
        <v>654588607</v>
      </c>
      <c r="G4439">
        <v>489580920</v>
      </c>
      <c r="H4439">
        <v>441452526</v>
      </c>
      <c r="I4439">
        <v>364846388</v>
      </c>
      <c r="J4439">
        <v>302888219</v>
      </c>
      <c r="K4439">
        <v>231217644</v>
      </c>
      <c r="L4439">
        <v>169382003</v>
      </c>
      <c r="M4439">
        <v>118200965</v>
      </c>
      <c r="P4439">
        <v>417</v>
      </c>
      <c r="Q4439" t="s">
        <v>9223</v>
      </c>
    </row>
    <row r="4440" spans="1:17" x14ac:dyDescent="0.3">
      <c r="A4440" t="s">
        <v>4729</v>
      </c>
      <c r="B4440" t="str">
        <f>"300643"</f>
        <v>300643</v>
      </c>
      <c r="C4440" t="s">
        <v>9224</v>
      </c>
      <c r="D4440" t="s">
        <v>985</v>
      </c>
      <c r="F4440">
        <v>1022865600</v>
      </c>
      <c r="G4440">
        <v>788647584</v>
      </c>
      <c r="H4440">
        <v>458793595</v>
      </c>
      <c r="I4440">
        <v>313590773</v>
      </c>
      <c r="J4440">
        <v>320196214</v>
      </c>
      <c r="K4440">
        <v>310387449</v>
      </c>
      <c r="L4440">
        <v>289302647</v>
      </c>
      <c r="M4440">
        <v>302465578</v>
      </c>
      <c r="P4440">
        <v>96</v>
      </c>
      <c r="Q4440" t="s">
        <v>9225</v>
      </c>
    </row>
    <row r="4441" spans="1:17" x14ac:dyDescent="0.3">
      <c r="A4441" t="s">
        <v>4729</v>
      </c>
      <c r="B4441" t="str">
        <f>"300644"</f>
        <v>300644</v>
      </c>
      <c r="C4441" t="s">
        <v>9226</v>
      </c>
      <c r="D4441" t="s">
        <v>341</v>
      </c>
      <c r="F4441">
        <v>1659360853</v>
      </c>
      <c r="G4441">
        <v>1138670870</v>
      </c>
      <c r="H4441">
        <v>953248936</v>
      </c>
      <c r="I4441">
        <v>1018193258</v>
      </c>
      <c r="J4441">
        <v>1023749573</v>
      </c>
      <c r="K4441">
        <v>903331910</v>
      </c>
      <c r="L4441">
        <v>820404044</v>
      </c>
      <c r="P4441">
        <v>133</v>
      </c>
      <c r="Q4441" t="s">
        <v>9227</v>
      </c>
    </row>
    <row r="4442" spans="1:17" x14ac:dyDescent="0.3">
      <c r="A4442" t="s">
        <v>4729</v>
      </c>
      <c r="B4442" t="str">
        <f>"300645"</f>
        <v>300645</v>
      </c>
      <c r="C4442" t="s">
        <v>9228</v>
      </c>
      <c r="D4442" t="s">
        <v>236</v>
      </c>
      <c r="F4442">
        <v>947551853</v>
      </c>
      <c r="G4442">
        <v>825594780</v>
      </c>
      <c r="H4442">
        <v>751054483</v>
      </c>
      <c r="I4442">
        <v>566836544</v>
      </c>
      <c r="J4442">
        <v>448922269</v>
      </c>
      <c r="K4442">
        <v>363371772</v>
      </c>
      <c r="L4442">
        <v>319825449</v>
      </c>
      <c r="M4442">
        <v>302282434</v>
      </c>
      <c r="P4442">
        <v>111</v>
      </c>
      <c r="Q4442" t="s">
        <v>9229</v>
      </c>
    </row>
    <row r="4443" spans="1:17" x14ac:dyDescent="0.3">
      <c r="A4443" t="s">
        <v>4729</v>
      </c>
      <c r="B4443" t="str">
        <f>"300646"</f>
        <v>300646</v>
      </c>
      <c r="C4443" t="s">
        <v>9230</v>
      </c>
      <c r="D4443" t="s">
        <v>386</v>
      </c>
      <c r="P4443">
        <v>14</v>
      </c>
      <c r="Q4443" t="s">
        <v>9231</v>
      </c>
    </row>
    <row r="4444" spans="1:17" x14ac:dyDescent="0.3">
      <c r="A4444" t="s">
        <v>4729</v>
      </c>
      <c r="B4444" t="str">
        <f>"300647"</f>
        <v>300647</v>
      </c>
      <c r="C4444" t="s">
        <v>9232</v>
      </c>
      <c r="D4444" t="s">
        <v>313</v>
      </c>
      <c r="F4444">
        <v>579585637</v>
      </c>
      <c r="G4444">
        <v>609339026</v>
      </c>
      <c r="H4444">
        <v>535534119</v>
      </c>
      <c r="I4444">
        <v>513451585</v>
      </c>
      <c r="J4444">
        <v>411135302</v>
      </c>
      <c r="K4444">
        <v>343924917</v>
      </c>
      <c r="L4444">
        <v>335759641</v>
      </c>
      <c r="M4444">
        <v>352402505</v>
      </c>
      <c r="P4444">
        <v>116</v>
      </c>
      <c r="Q4444" t="s">
        <v>9233</v>
      </c>
    </row>
    <row r="4445" spans="1:17" x14ac:dyDescent="0.3">
      <c r="A4445" t="s">
        <v>4729</v>
      </c>
      <c r="B4445" t="str">
        <f>"300648"</f>
        <v>300648</v>
      </c>
      <c r="C4445" t="s">
        <v>9234</v>
      </c>
      <c r="D4445" t="s">
        <v>3776</v>
      </c>
      <c r="F4445">
        <v>810691623</v>
      </c>
      <c r="G4445">
        <v>574856966</v>
      </c>
      <c r="H4445">
        <v>365583909</v>
      </c>
      <c r="I4445">
        <v>302757272</v>
      </c>
      <c r="J4445">
        <v>308583165</v>
      </c>
      <c r="K4445">
        <v>226612911</v>
      </c>
      <c r="L4445">
        <v>141211928</v>
      </c>
      <c r="M4445">
        <v>79688373</v>
      </c>
      <c r="P4445">
        <v>266</v>
      </c>
      <c r="Q4445" t="s">
        <v>9235</v>
      </c>
    </row>
    <row r="4446" spans="1:17" x14ac:dyDescent="0.3">
      <c r="A4446" t="s">
        <v>4729</v>
      </c>
      <c r="B4446" t="str">
        <f>"300649"</f>
        <v>300649</v>
      </c>
      <c r="C4446" t="s">
        <v>9236</v>
      </c>
      <c r="D4446" t="s">
        <v>2417</v>
      </c>
      <c r="F4446">
        <v>748523310</v>
      </c>
      <c r="G4446">
        <v>806344386</v>
      </c>
      <c r="H4446">
        <v>828007428</v>
      </c>
      <c r="I4446">
        <v>523192544</v>
      </c>
      <c r="J4446">
        <v>183570359</v>
      </c>
      <c r="K4446">
        <v>116201787</v>
      </c>
      <c r="L4446">
        <v>108159580</v>
      </c>
      <c r="M4446">
        <v>113313229</v>
      </c>
      <c r="P4446">
        <v>91</v>
      </c>
      <c r="Q4446" t="s">
        <v>9237</v>
      </c>
    </row>
    <row r="4447" spans="1:17" x14ac:dyDescent="0.3">
      <c r="A4447" t="s">
        <v>4729</v>
      </c>
      <c r="B4447" t="str">
        <f>"300650"</f>
        <v>300650</v>
      </c>
      <c r="C4447" t="s">
        <v>9238</v>
      </c>
      <c r="D4447" t="s">
        <v>803</v>
      </c>
      <c r="F4447">
        <v>4947560323</v>
      </c>
      <c r="G4447">
        <v>1132693467</v>
      </c>
      <c r="H4447">
        <v>560373496</v>
      </c>
      <c r="I4447">
        <v>486898546</v>
      </c>
      <c r="J4447">
        <v>337756575</v>
      </c>
      <c r="K4447">
        <v>273117534</v>
      </c>
      <c r="L4447">
        <v>247762827</v>
      </c>
      <c r="M4447">
        <v>211491621</v>
      </c>
      <c r="P4447">
        <v>125</v>
      </c>
      <c r="Q4447" t="s">
        <v>9239</v>
      </c>
    </row>
    <row r="4448" spans="1:17" x14ac:dyDescent="0.3">
      <c r="A4448" t="s">
        <v>4729</v>
      </c>
      <c r="B4448" t="str">
        <f>"300651"</f>
        <v>300651</v>
      </c>
      <c r="C4448" t="s">
        <v>9240</v>
      </c>
      <c r="D4448" t="s">
        <v>327</v>
      </c>
      <c r="F4448">
        <v>547287624</v>
      </c>
      <c r="G4448">
        <v>449075233</v>
      </c>
      <c r="H4448">
        <v>499635072</v>
      </c>
      <c r="I4448">
        <v>453781230</v>
      </c>
      <c r="J4448">
        <v>335727663</v>
      </c>
      <c r="K4448">
        <v>329793570</v>
      </c>
      <c r="L4448">
        <v>323588583</v>
      </c>
      <c r="M4448">
        <v>343542719</v>
      </c>
      <c r="P4448">
        <v>99</v>
      </c>
      <c r="Q4448" t="s">
        <v>9241</v>
      </c>
    </row>
    <row r="4449" spans="1:17" x14ac:dyDescent="0.3">
      <c r="A4449" t="s">
        <v>4729</v>
      </c>
      <c r="B4449" t="str">
        <f>"300652"</f>
        <v>300652</v>
      </c>
      <c r="C4449" t="s">
        <v>9242</v>
      </c>
      <c r="D4449" t="s">
        <v>422</v>
      </c>
      <c r="F4449">
        <v>591158715</v>
      </c>
      <c r="G4449">
        <v>437384936</v>
      </c>
      <c r="H4449">
        <v>462341641</v>
      </c>
      <c r="I4449">
        <v>458440509</v>
      </c>
      <c r="J4449">
        <v>495454310</v>
      </c>
      <c r="K4449">
        <v>393427409</v>
      </c>
      <c r="L4449">
        <v>358628431</v>
      </c>
      <c r="M4449">
        <v>365032492</v>
      </c>
      <c r="P4449">
        <v>92</v>
      </c>
      <c r="Q4449" t="s">
        <v>9243</v>
      </c>
    </row>
    <row r="4450" spans="1:17" x14ac:dyDescent="0.3">
      <c r="A4450" t="s">
        <v>4729</v>
      </c>
      <c r="B4450" t="str">
        <f>"300653"</f>
        <v>300653</v>
      </c>
      <c r="C4450" t="s">
        <v>9244</v>
      </c>
      <c r="D4450" t="s">
        <v>1077</v>
      </c>
      <c r="F4450">
        <v>400175252</v>
      </c>
      <c r="G4450">
        <v>293281583</v>
      </c>
      <c r="H4450">
        <v>279807036</v>
      </c>
      <c r="I4450">
        <v>215543620</v>
      </c>
      <c r="J4450">
        <v>182782114</v>
      </c>
      <c r="K4450">
        <v>150622518</v>
      </c>
      <c r="L4450">
        <v>128132521</v>
      </c>
      <c r="M4450">
        <v>105304735</v>
      </c>
      <c r="P4450">
        <v>898</v>
      </c>
      <c r="Q4450" t="s">
        <v>9245</v>
      </c>
    </row>
    <row r="4451" spans="1:17" x14ac:dyDescent="0.3">
      <c r="A4451" t="s">
        <v>4729</v>
      </c>
      <c r="B4451" t="str">
        <f>"300654"</f>
        <v>300654</v>
      </c>
      <c r="C4451" t="s">
        <v>9246</v>
      </c>
      <c r="D4451" t="s">
        <v>1536</v>
      </c>
      <c r="F4451">
        <v>411354179</v>
      </c>
      <c r="G4451">
        <v>357177555</v>
      </c>
      <c r="H4451">
        <v>385710341</v>
      </c>
      <c r="I4451">
        <v>381436743</v>
      </c>
      <c r="J4451">
        <v>380982265</v>
      </c>
      <c r="K4451">
        <v>379638654</v>
      </c>
      <c r="L4451">
        <v>384877594</v>
      </c>
      <c r="M4451">
        <v>331245372</v>
      </c>
      <c r="P4451">
        <v>73</v>
      </c>
      <c r="Q4451" t="s">
        <v>9247</v>
      </c>
    </row>
    <row r="4452" spans="1:17" x14ac:dyDescent="0.3">
      <c r="A4452" t="s">
        <v>4729</v>
      </c>
      <c r="B4452" t="str">
        <f>"300655"</f>
        <v>300655</v>
      </c>
      <c r="C4452" t="s">
        <v>9248</v>
      </c>
      <c r="D4452" t="s">
        <v>2408</v>
      </c>
      <c r="F4452">
        <v>1832087603</v>
      </c>
      <c r="G4452">
        <v>1022332456</v>
      </c>
      <c r="H4452">
        <v>755724045</v>
      </c>
      <c r="I4452">
        <v>810860615</v>
      </c>
      <c r="J4452">
        <v>534539259</v>
      </c>
      <c r="K4452">
        <v>439877860</v>
      </c>
      <c r="L4452">
        <v>318807805</v>
      </c>
      <c r="M4452">
        <v>336087868</v>
      </c>
      <c r="P4452">
        <v>3076</v>
      </c>
      <c r="Q4452" t="s">
        <v>9249</v>
      </c>
    </row>
    <row r="4453" spans="1:17" x14ac:dyDescent="0.3">
      <c r="A4453" t="s">
        <v>4729</v>
      </c>
      <c r="B4453" t="str">
        <f>"300656"</f>
        <v>300656</v>
      </c>
      <c r="C4453" t="s">
        <v>9250</v>
      </c>
      <c r="D4453" t="s">
        <v>651</v>
      </c>
      <c r="F4453">
        <v>546284194</v>
      </c>
      <c r="G4453">
        <v>403210033</v>
      </c>
      <c r="H4453">
        <v>305372201</v>
      </c>
      <c r="I4453">
        <v>274572765</v>
      </c>
      <c r="J4453">
        <v>122526501</v>
      </c>
      <c r="K4453">
        <v>121824623</v>
      </c>
      <c r="L4453">
        <v>125577013</v>
      </c>
      <c r="M4453">
        <v>87911582</v>
      </c>
      <c r="P4453">
        <v>80</v>
      </c>
      <c r="Q4453" t="s">
        <v>9251</v>
      </c>
    </row>
    <row r="4454" spans="1:17" x14ac:dyDescent="0.3">
      <c r="A4454" t="s">
        <v>4729</v>
      </c>
      <c r="B4454" t="str">
        <f>"300657"</f>
        <v>300657</v>
      </c>
      <c r="C4454" t="s">
        <v>9252</v>
      </c>
      <c r="D4454" t="s">
        <v>425</v>
      </c>
      <c r="F4454">
        <v>3195215201</v>
      </c>
      <c r="G4454">
        <v>2637368921</v>
      </c>
      <c r="H4454">
        <v>2460180588</v>
      </c>
      <c r="I4454">
        <v>2248872487</v>
      </c>
      <c r="J4454">
        <v>1477512182</v>
      </c>
      <c r="K4454">
        <v>1048154859</v>
      </c>
      <c r="L4454">
        <v>937439924</v>
      </c>
      <c r="M4454">
        <v>743623439</v>
      </c>
      <c r="P4454">
        <v>257</v>
      </c>
      <c r="Q4454" t="s">
        <v>9253</v>
      </c>
    </row>
    <row r="4455" spans="1:17" x14ac:dyDescent="0.3">
      <c r="A4455" t="s">
        <v>4729</v>
      </c>
      <c r="B4455" t="str">
        <f>"300658"</f>
        <v>300658</v>
      </c>
      <c r="C4455" t="s">
        <v>9254</v>
      </c>
      <c r="D4455" t="s">
        <v>2751</v>
      </c>
      <c r="F4455">
        <v>1249100593</v>
      </c>
      <c r="G4455">
        <v>1585910183</v>
      </c>
      <c r="H4455">
        <v>1038112515</v>
      </c>
      <c r="I4455">
        <v>766272162</v>
      </c>
      <c r="J4455">
        <v>738147186</v>
      </c>
      <c r="K4455">
        <v>599259586</v>
      </c>
      <c r="L4455">
        <v>464693776</v>
      </c>
      <c r="M4455">
        <v>369549999</v>
      </c>
      <c r="P4455">
        <v>232</v>
      </c>
      <c r="Q4455" t="s">
        <v>9255</v>
      </c>
    </row>
    <row r="4456" spans="1:17" x14ac:dyDescent="0.3">
      <c r="A4456" t="s">
        <v>4729</v>
      </c>
      <c r="B4456" t="str">
        <f>"300659"</f>
        <v>300659</v>
      </c>
      <c r="C4456" t="s">
        <v>9256</v>
      </c>
      <c r="D4456" t="s">
        <v>236</v>
      </c>
      <c r="F4456">
        <v>1270043342</v>
      </c>
      <c r="G4456">
        <v>992734319</v>
      </c>
      <c r="H4456">
        <v>602819864</v>
      </c>
      <c r="I4456">
        <v>356026444</v>
      </c>
      <c r="J4456">
        <v>281123192</v>
      </c>
      <c r="K4456">
        <v>215903752</v>
      </c>
      <c r="L4456">
        <v>207581082</v>
      </c>
      <c r="M4456">
        <v>125996026</v>
      </c>
      <c r="P4456">
        <v>272</v>
      </c>
      <c r="Q4456" t="s">
        <v>9257</v>
      </c>
    </row>
    <row r="4457" spans="1:17" x14ac:dyDescent="0.3">
      <c r="A4457" t="s">
        <v>4729</v>
      </c>
      <c r="B4457" t="str">
        <f>"300660"</f>
        <v>300660</v>
      </c>
      <c r="C4457" t="s">
        <v>9258</v>
      </c>
      <c r="D4457" t="s">
        <v>1171</v>
      </c>
      <c r="F4457">
        <v>2918923364</v>
      </c>
      <c r="G4457">
        <v>2422288184</v>
      </c>
      <c r="H4457">
        <v>2249840099</v>
      </c>
      <c r="I4457">
        <v>2248933163</v>
      </c>
      <c r="J4457">
        <v>2022828951</v>
      </c>
      <c r="K4457">
        <v>1617064049</v>
      </c>
      <c r="L4457">
        <v>1456248652</v>
      </c>
      <c r="M4457">
        <v>1460134376</v>
      </c>
      <c r="P4457">
        <v>108</v>
      </c>
      <c r="Q4457" t="s">
        <v>9259</v>
      </c>
    </row>
    <row r="4458" spans="1:17" x14ac:dyDescent="0.3">
      <c r="A4458" t="s">
        <v>4729</v>
      </c>
      <c r="B4458" t="str">
        <f>"300661"</f>
        <v>300661</v>
      </c>
      <c r="C4458" t="s">
        <v>9260</v>
      </c>
      <c r="D4458" t="s">
        <v>401</v>
      </c>
      <c r="F4458">
        <v>2238401974</v>
      </c>
      <c r="G4458">
        <v>1196546817</v>
      </c>
      <c r="H4458">
        <v>792494891</v>
      </c>
      <c r="I4458">
        <v>572392694</v>
      </c>
      <c r="J4458">
        <v>531505272</v>
      </c>
      <c r="K4458">
        <v>451961878</v>
      </c>
      <c r="L4458">
        <v>394452991</v>
      </c>
      <c r="M4458">
        <v>325914689</v>
      </c>
      <c r="P4458">
        <v>1054</v>
      </c>
      <c r="Q4458" t="s">
        <v>9261</v>
      </c>
    </row>
    <row r="4459" spans="1:17" x14ac:dyDescent="0.3">
      <c r="A4459" t="s">
        <v>4729</v>
      </c>
      <c r="B4459" t="str">
        <f>"300662"</f>
        <v>300662</v>
      </c>
      <c r="C4459" t="s">
        <v>9262</v>
      </c>
      <c r="D4459" t="s">
        <v>9263</v>
      </c>
      <c r="F4459">
        <v>7010450883</v>
      </c>
      <c r="G4459">
        <v>3932001042</v>
      </c>
      <c r="H4459">
        <v>3585959772</v>
      </c>
      <c r="I4459">
        <v>2196782228</v>
      </c>
      <c r="J4459">
        <v>1135070487</v>
      </c>
      <c r="K4459">
        <v>868136672</v>
      </c>
      <c r="L4459">
        <v>732369368</v>
      </c>
      <c r="M4459">
        <v>626355865</v>
      </c>
      <c r="P4459">
        <v>688</v>
      </c>
      <c r="Q4459" t="s">
        <v>9264</v>
      </c>
    </row>
    <row r="4460" spans="1:17" x14ac:dyDescent="0.3">
      <c r="A4460" t="s">
        <v>4729</v>
      </c>
      <c r="B4460" t="str">
        <f>"300663"</f>
        <v>300663</v>
      </c>
      <c r="C4460" t="s">
        <v>9265</v>
      </c>
      <c r="D4460" t="s">
        <v>945</v>
      </c>
      <c r="F4460">
        <v>1298464358</v>
      </c>
      <c r="G4460">
        <v>1038673858</v>
      </c>
      <c r="H4460">
        <v>933872010</v>
      </c>
      <c r="I4460">
        <v>753221267</v>
      </c>
      <c r="J4460">
        <v>670374056</v>
      </c>
      <c r="K4460">
        <v>654656888</v>
      </c>
      <c r="L4460">
        <v>507969506</v>
      </c>
      <c r="M4460">
        <v>324502408</v>
      </c>
      <c r="P4460">
        <v>261</v>
      </c>
      <c r="Q4460" t="s">
        <v>9266</v>
      </c>
    </row>
    <row r="4461" spans="1:17" x14ac:dyDescent="0.3">
      <c r="A4461" t="s">
        <v>4729</v>
      </c>
      <c r="B4461" t="str">
        <f>"300664"</f>
        <v>300664</v>
      </c>
      <c r="C4461" t="s">
        <v>9267</v>
      </c>
      <c r="D4461" t="s">
        <v>33</v>
      </c>
      <c r="F4461">
        <v>2093114361</v>
      </c>
      <c r="G4461">
        <v>2124923263</v>
      </c>
      <c r="H4461">
        <v>1933343820</v>
      </c>
      <c r="I4461">
        <v>771743081</v>
      </c>
      <c r="J4461">
        <v>807676981</v>
      </c>
      <c r="K4461">
        <v>708145238</v>
      </c>
      <c r="L4461">
        <v>821669191</v>
      </c>
      <c r="M4461">
        <v>736048179</v>
      </c>
      <c r="P4461">
        <v>118</v>
      </c>
      <c r="Q4461" t="s">
        <v>9268</v>
      </c>
    </row>
    <row r="4462" spans="1:17" x14ac:dyDescent="0.3">
      <c r="A4462" t="s">
        <v>4729</v>
      </c>
      <c r="B4462" t="str">
        <f>"300665"</f>
        <v>300665</v>
      </c>
      <c r="C4462" t="s">
        <v>9269</v>
      </c>
      <c r="D4462" t="s">
        <v>2585</v>
      </c>
      <c r="F4462">
        <v>625103272</v>
      </c>
      <c r="G4462">
        <v>605549941</v>
      </c>
      <c r="H4462">
        <v>498934677</v>
      </c>
      <c r="I4462">
        <v>383398046</v>
      </c>
      <c r="J4462">
        <v>283587513</v>
      </c>
      <c r="K4462">
        <v>255611019</v>
      </c>
      <c r="L4462">
        <v>209637182</v>
      </c>
      <c r="M4462">
        <v>235187824</v>
      </c>
      <c r="P4462">
        <v>109</v>
      </c>
      <c r="Q4462" t="s">
        <v>9270</v>
      </c>
    </row>
    <row r="4463" spans="1:17" x14ac:dyDescent="0.3">
      <c r="A4463" t="s">
        <v>4729</v>
      </c>
      <c r="B4463" t="str">
        <f>"300666"</f>
        <v>300666</v>
      </c>
      <c r="C4463" t="s">
        <v>9271</v>
      </c>
      <c r="D4463" t="s">
        <v>475</v>
      </c>
      <c r="F4463">
        <v>1593912653</v>
      </c>
      <c r="G4463">
        <v>1166542634</v>
      </c>
      <c r="H4463">
        <v>824964791</v>
      </c>
      <c r="I4463">
        <v>649683245</v>
      </c>
      <c r="J4463">
        <v>550025687</v>
      </c>
      <c r="K4463">
        <v>442808748</v>
      </c>
      <c r="L4463">
        <v>290912881</v>
      </c>
      <c r="M4463">
        <v>245098449</v>
      </c>
      <c r="P4463">
        <v>519</v>
      </c>
      <c r="Q4463" t="s">
        <v>9272</v>
      </c>
    </row>
    <row r="4464" spans="1:17" x14ac:dyDescent="0.3">
      <c r="A4464" t="s">
        <v>4729</v>
      </c>
      <c r="B4464" t="str">
        <f>"300667"</f>
        <v>300667</v>
      </c>
      <c r="C4464" t="s">
        <v>9273</v>
      </c>
      <c r="D4464" t="s">
        <v>2566</v>
      </c>
      <c r="F4464">
        <v>845465713</v>
      </c>
      <c r="G4464">
        <v>770573536</v>
      </c>
      <c r="H4464">
        <v>365252920</v>
      </c>
      <c r="I4464">
        <v>210392826</v>
      </c>
      <c r="J4464">
        <v>173272563</v>
      </c>
      <c r="K4464">
        <v>131172747</v>
      </c>
      <c r="L4464">
        <v>94090419</v>
      </c>
      <c r="M4464">
        <v>74331118</v>
      </c>
      <c r="P4464">
        <v>144</v>
      </c>
      <c r="Q4464" t="s">
        <v>9274</v>
      </c>
    </row>
    <row r="4465" spans="1:17" x14ac:dyDescent="0.3">
      <c r="A4465" t="s">
        <v>4729</v>
      </c>
      <c r="B4465" t="str">
        <f>"300668"</f>
        <v>300668</v>
      </c>
      <c r="C4465" t="s">
        <v>9275</v>
      </c>
      <c r="D4465" t="s">
        <v>1272</v>
      </c>
      <c r="F4465">
        <v>381527325</v>
      </c>
      <c r="G4465">
        <v>311565523</v>
      </c>
      <c r="H4465">
        <v>389631088</v>
      </c>
      <c r="I4465">
        <v>341732122</v>
      </c>
      <c r="J4465">
        <v>249874757</v>
      </c>
      <c r="K4465">
        <v>183050696</v>
      </c>
      <c r="L4465">
        <v>148458465</v>
      </c>
      <c r="M4465">
        <v>127140913</v>
      </c>
      <c r="P4465">
        <v>207</v>
      </c>
      <c r="Q4465" t="s">
        <v>9276</v>
      </c>
    </row>
    <row r="4466" spans="1:17" x14ac:dyDescent="0.3">
      <c r="A4466" t="s">
        <v>4729</v>
      </c>
      <c r="B4466" t="str">
        <f>"300669"</f>
        <v>300669</v>
      </c>
      <c r="C4466" t="s">
        <v>9277</v>
      </c>
      <c r="D4466" t="s">
        <v>1691</v>
      </c>
      <c r="F4466">
        <v>404945256</v>
      </c>
      <c r="G4466">
        <v>356251066</v>
      </c>
      <c r="H4466">
        <v>347884546</v>
      </c>
      <c r="I4466">
        <v>278633102</v>
      </c>
      <c r="J4466">
        <v>259375172</v>
      </c>
      <c r="K4466">
        <v>254092776</v>
      </c>
      <c r="L4466">
        <v>250045509</v>
      </c>
      <c r="M4466">
        <v>238430127</v>
      </c>
      <c r="P4466">
        <v>102</v>
      </c>
      <c r="Q4466" t="s">
        <v>9278</v>
      </c>
    </row>
    <row r="4467" spans="1:17" x14ac:dyDescent="0.3">
      <c r="A4467" t="s">
        <v>4729</v>
      </c>
      <c r="B4467" t="str">
        <f>"300670"</f>
        <v>300670</v>
      </c>
      <c r="C4467" t="s">
        <v>9279</v>
      </c>
      <c r="D4467" t="s">
        <v>657</v>
      </c>
      <c r="F4467">
        <v>513012749</v>
      </c>
      <c r="G4467">
        <v>541289480</v>
      </c>
      <c r="H4467">
        <v>386148085</v>
      </c>
      <c r="I4467">
        <v>355366687</v>
      </c>
      <c r="J4467">
        <v>339810516</v>
      </c>
      <c r="K4467">
        <v>314284992</v>
      </c>
      <c r="L4467">
        <v>274918303</v>
      </c>
      <c r="M4467">
        <v>255839550</v>
      </c>
      <c r="P4467">
        <v>67</v>
      </c>
      <c r="Q4467" t="s">
        <v>9280</v>
      </c>
    </row>
    <row r="4468" spans="1:17" x14ac:dyDescent="0.3">
      <c r="A4468" t="s">
        <v>4729</v>
      </c>
      <c r="B4468" t="str">
        <f>"300671"</f>
        <v>300671</v>
      </c>
      <c r="C4468" t="s">
        <v>9281</v>
      </c>
      <c r="D4468" t="s">
        <v>401</v>
      </c>
      <c r="F4468">
        <v>1369917111</v>
      </c>
      <c r="G4468">
        <v>836246965</v>
      </c>
      <c r="H4468">
        <v>598224428</v>
      </c>
      <c r="I4468">
        <v>496688658</v>
      </c>
      <c r="J4468">
        <v>439734382</v>
      </c>
      <c r="K4468">
        <v>329642789</v>
      </c>
      <c r="L4468">
        <v>273229196</v>
      </c>
      <c r="M4468">
        <v>255656342</v>
      </c>
      <c r="P4468">
        <v>303</v>
      </c>
      <c r="Q4468" t="s">
        <v>9282</v>
      </c>
    </row>
    <row r="4469" spans="1:17" x14ac:dyDescent="0.3">
      <c r="A4469" t="s">
        <v>4729</v>
      </c>
      <c r="B4469" t="str">
        <f>"300672"</f>
        <v>300672</v>
      </c>
      <c r="C4469" t="s">
        <v>9283</v>
      </c>
      <c r="D4469" t="s">
        <v>461</v>
      </c>
      <c r="F4469">
        <v>2321897196</v>
      </c>
      <c r="G4469">
        <v>730934412</v>
      </c>
      <c r="H4469">
        <v>542885153</v>
      </c>
      <c r="I4469">
        <v>400107744</v>
      </c>
      <c r="J4469">
        <v>411751766</v>
      </c>
      <c r="K4469">
        <v>489026699</v>
      </c>
      <c r="L4469">
        <v>367087372</v>
      </c>
      <c r="M4469">
        <v>180832632</v>
      </c>
      <c r="P4469">
        <v>305</v>
      </c>
      <c r="Q4469" t="s">
        <v>9284</v>
      </c>
    </row>
    <row r="4470" spans="1:17" x14ac:dyDescent="0.3">
      <c r="A4470" t="s">
        <v>4729</v>
      </c>
      <c r="B4470" t="str">
        <f>"300673"</f>
        <v>300673</v>
      </c>
      <c r="C4470" t="s">
        <v>9285</v>
      </c>
      <c r="D4470" t="s">
        <v>7554</v>
      </c>
      <c r="F4470">
        <v>1270892610</v>
      </c>
      <c r="G4470">
        <v>1339847991</v>
      </c>
      <c r="H4470">
        <v>1008308859</v>
      </c>
      <c r="I4470">
        <v>869321761</v>
      </c>
      <c r="J4470">
        <v>631997948</v>
      </c>
      <c r="K4470">
        <v>550572425</v>
      </c>
      <c r="L4470">
        <v>497395500</v>
      </c>
      <c r="M4470">
        <v>397431260</v>
      </c>
      <c r="P4470">
        <v>512</v>
      </c>
      <c r="Q4470" t="s">
        <v>9286</v>
      </c>
    </row>
    <row r="4471" spans="1:17" x14ac:dyDescent="0.3">
      <c r="A4471" t="s">
        <v>4729</v>
      </c>
      <c r="B4471" t="str">
        <f>"300674"</f>
        <v>300674</v>
      </c>
      <c r="C4471" t="s">
        <v>9287</v>
      </c>
      <c r="D4471" t="s">
        <v>316</v>
      </c>
      <c r="F4471">
        <v>3726204465</v>
      </c>
      <c r="G4471">
        <v>2981587314</v>
      </c>
      <c r="H4471">
        <v>2651726752</v>
      </c>
      <c r="I4471">
        <v>2140560717</v>
      </c>
      <c r="J4471">
        <v>1624278563</v>
      </c>
      <c r="K4471">
        <v>1623182683</v>
      </c>
      <c r="L4471">
        <v>1501543362</v>
      </c>
      <c r="P4471">
        <v>348</v>
      </c>
      <c r="Q4471" t="s">
        <v>9288</v>
      </c>
    </row>
    <row r="4472" spans="1:17" x14ac:dyDescent="0.3">
      <c r="A4472" t="s">
        <v>4729</v>
      </c>
      <c r="B4472" t="str">
        <f>"300675"</f>
        <v>300675</v>
      </c>
      <c r="C4472" t="s">
        <v>9289</v>
      </c>
      <c r="D4472" t="s">
        <v>1272</v>
      </c>
      <c r="F4472">
        <v>502831398</v>
      </c>
      <c r="G4472">
        <v>506457669</v>
      </c>
      <c r="H4472">
        <v>467972061</v>
      </c>
      <c r="I4472">
        <v>397007935</v>
      </c>
      <c r="J4472">
        <v>381831958</v>
      </c>
      <c r="K4472">
        <v>346125987</v>
      </c>
      <c r="L4472">
        <v>280501985</v>
      </c>
      <c r="M4472">
        <v>259649941</v>
      </c>
      <c r="P4472">
        <v>85</v>
      </c>
      <c r="Q4472" t="s">
        <v>9290</v>
      </c>
    </row>
    <row r="4473" spans="1:17" x14ac:dyDescent="0.3">
      <c r="A4473" t="s">
        <v>4729</v>
      </c>
      <c r="B4473" t="str">
        <f>"300676"</f>
        <v>300676</v>
      </c>
      <c r="C4473" t="s">
        <v>9291</v>
      </c>
      <c r="D4473" t="s">
        <v>1305</v>
      </c>
      <c r="F4473">
        <v>6766137315</v>
      </c>
      <c r="G4473">
        <v>8397230003</v>
      </c>
      <c r="H4473">
        <v>2800411937</v>
      </c>
      <c r="I4473">
        <v>2536406106</v>
      </c>
      <c r="J4473">
        <v>2095544271</v>
      </c>
      <c r="K4473">
        <v>1711498254</v>
      </c>
      <c r="L4473">
        <v>1318703624</v>
      </c>
      <c r="M4473">
        <v>1131981848</v>
      </c>
      <c r="P4473">
        <v>1481</v>
      </c>
      <c r="Q4473" t="s">
        <v>9292</v>
      </c>
    </row>
    <row r="4474" spans="1:17" x14ac:dyDescent="0.3">
      <c r="A4474" t="s">
        <v>4729</v>
      </c>
      <c r="B4474" t="str">
        <f>"300677"</f>
        <v>300677</v>
      </c>
      <c r="C4474" t="s">
        <v>9293</v>
      </c>
      <c r="D4474" t="s">
        <v>1077</v>
      </c>
      <c r="F4474">
        <v>16240093676</v>
      </c>
      <c r="G4474">
        <v>13836714548</v>
      </c>
      <c r="H4474">
        <v>2082935406</v>
      </c>
      <c r="I4474">
        <v>1892540305</v>
      </c>
      <c r="J4474">
        <v>1750477627</v>
      </c>
      <c r="K4474">
        <v>1183106778</v>
      </c>
      <c r="L4474">
        <v>998021863</v>
      </c>
      <c r="M4474">
        <v>884713158</v>
      </c>
      <c r="P4474">
        <v>1821</v>
      </c>
      <c r="Q4474" t="s">
        <v>9294</v>
      </c>
    </row>
    <row r="4475" spans="1:17" x14ac:dyDescent="0.3">
      <c r="A4475" t="s">
        <v>4729</v>
      </c>
      <c r="B4475" t="str">
        <f>"300678"</f>
        <v>300678</v>
      </c>
      <c r="C4475" t="s">
        <v>9295</v>
      </c>
      <c r="D4475" t="s">
        <v>316</v>
      </c>
      <c r="F4475">
        <v>495411271</v>
      </c>
      <c r="G4475">
        <v>436742991</v>
      </c>
      <c r="H4475">
        <v>364413272</v>
      </c>
      <c r="I4475">
        <v>344467451</v>
      </c>
      <c r="J4475">
        <v>290694326</v>
      </c>
      <c r="K4475">
        <v>244081189</v>
      </c>
      <c r="L4475">
        <v>268699760</v>
      </c>
      <c r="M4475">
        <v>242390344</v>
      </c>
      <c r="P4475">
        <v>105</v>
      </c>
      <c r="Q4475" t="s">
        <v>9296</v>
      </c>
    </row>
    <row r="4476" spans="1:17" x14ac:dyDescent="0.3">
      <c r="A4476" t="s">
        <v>4729</v>
      </c>
      <c r="B4476" t="str">
        <f>"300679"</f>
        <v>300679</v>
      </c>
      <c r="C4476" t="s">
        <v>9297</v>
      </c>
      <c r="D4476" t="s">
        <v>313</v>
      </c>
      <c r="F4476">
        <v>3245720418</v>
      </c>
      <c r="G4476">
        <v>2592481522</v>
      </c>
      <c r="H4476">
        <v>2160692368</v>
      </c>
      <c r="I4476">
        <v>1341313955</v>
      </c>
      <c r="J4476">
        <v>1423076435</v>
      </c>
      <c r="K4476">
        <v>1392340794</v>
      </c>
      <c r="L4476">
        <v>908725115</v>
      </c>
      <c r="M4476">
        <v>691085993</v>
      </c>
      <c r="P4476">
        <v>336</v>
      </c>
      <c r="Q4476" t="s">
        <v>9298</v>
      </c>
    </row>
    <row r="4477" spans="1:17" x14ac:dyDescent="0.3">
      <c r="A4477" t="s">
        <v>4729</v>
      </c>
      <c r="B4477" t="str">
        <f>"300680"</f>
        <v>300680</v>
      </c>
      <c r="C4477" t="s">
        <v>9299</v>
      </c>
      <c r="D4477" t="s">
        <v>348</v>
      </c>
      <c r="F4477">
        <v>929697402</v>
      </c>
      <c r="G4477">
        <v>578056435</v>
      </c>
      <c r="H4477">
        <v>406552175</v>
      </c>
      <c r="I4477">
        <v>226561229</v>
      </c>
      <c r="J4477">
        <v>150466441</v>
      </c>
      <c r="K4477">
        <v>195614239</v>
      </c>
      <c r="L4477">
        <v>170962858</v>
      </c>
      <c r="M4477">
        <v>119493093</v>
      </c>
      <c r="P4477">
        <v>114</v>
      </c>
      <c r="Q4477" t="s">
        <v>9300</v>
      </c>
    </row>
    <row r="4478" spans="1:17" x14ac:dyDescent="0.3">
      <c r="A4478" t="s">
        <v>4729</v>
      </c>
      <c r="B4478" t="str">
        <f>"300681"</f>
        <v>300681</v>
      </c>
      <c r="C4478" t="s">
        <v>9301</v>
      </c>
      <c r="D4478" t="s">
        <v>1415</v>
      </c>
      <c r="F4478">
        <v>975799834</v>
      </c>
      <c r="G4478">
        <v>420966855</v>
      </c>
      <c r="H4478">
        <v>318479505</v>
      </c>
      <c r="I4478">
        <v>654683393</v>
      </c>
      <c r="J4478">
        <v>536230470</v>
      </c>
      <c r="K4478">
        <v>407600208</v>
      </c>
      <c r="L4478">
        <v>426111514</v>
      </c>
      <c r="M4478">
        <v>188947625</v>
      </c>
      <c r="P4478">
        <v>89</v>
      </c>
      <c r="Q4478" t="s">
        <v>9302</v>
      </c>
    </row>
    <row r="4479" spans="1:17" x14ac:dyDescent="0.3">
      <c r="A4479" t="s">
        <v>4729</v>
      </c>
      <c r="B4479" t="str">
        <f>"300682"</f>
        <v>300682</v>
      </c>
      <c r="C4479" t="s">
        <v>9303</v>
      </c>
      <c r="D4479" t="s">
        <v>316</v>
      </c>
      <c r="F4479">
        <v>4639449468</v>
      </c>
      <c r="G4479">
        <v>3386979762</v>
      </c>
      <c r="H4479">
        <v>2968330140</v>
      </c>
      <c r="I4479">
        <v>1015475539</v>
      </c>
      <c r="J4479">
        <v>782935041</v>
      </c>
      <c r="K4479">
        <v>749510264</v>
      </c>
      <c r="L4479">
        <v>617717636</v>
      </c>
      <c r="M4479">
        <v>565830578</v>
      </c>
      <c r="P4479">
        <v>256</v>
      </c>
      <c r="Q4479" t="s">
        <v>9304</v>
      </c>
    </row>
    <row r="4480" spans="1:17" x14ac:dyDescent="0.3">
      <c r="A4480" t="s">
        <v>4729</v>
      </c>
      <c r="B4480" t="str">
        <f>"300683"</f>
        <v>300683</v>
      </c>
      <c r="C4480" t="s">
        <v>9305</v>
      </c>
      <c r="D4480" t="s">
        <v>1379</v>
      </c>
      <c r="F4480">
        <v>614683452</v>
      </c>
      <c r="G4480">
        <v>524123427</v>
      </c>
      <c r="H4480">
        <v>620163189</v>
      </c>
      <c r="I4480">
        <v>590873499</v>
      </c>
      <c r="J4480">
        <v>750258800</v>
      </c>
      <c r="K4480">
        <v>770974124</v>
      </c>
      <c r="L4480">
        <v>679406628</v>
      </c>
      <c r="M4480">
        <v>548791132</v>
      </c>
      <c r="P4480">
        <v>123</v>
      </c>
      <c r="Q4480" t="s">
        <v>9306</v>
      </c>
    </row>
    <row r="4481" spans="1:17" x14ac:dyDescent="0.3">
      <c r="A4481" t="s">
        <v>4729</v>
      </c>
      <c r="B4481" t="str">
        <f>"300684"</f>
        <v>300684</v>
      </c>
      <c r="C4481" t="s">
        <v>9307</v>
      </c>
      <c r="D4481" t="s">
        <v>313</v>
      </c>
      <c r="F4481">
        <v>1247597168</v>
      </c>
      <c r="G4481">
        <v>1148599794</v>
      </c>
      <c r="H4481">
        <v>775748562</v>
      </c>
      <c r="I4481">
        <v>763154250</v>
      </c>
      <c r="J4481">
        <v>570434291</v>
      </c>
      <c r="K4481">
        <v>198420027</v>
      </c>
      <c r="L4481">
        <v>178146440</v>
      </c>
      <c r="M4481">
        <v>225525829</v>
      </c>
      <c r="P4481">
        <v>348</v>
      </c>
      <c r="Q4481" t="s">
        <v>9308</v>
      </c>
    </row>
    <row r="4482" spans="1:17" x14ac:dyDescent="0.3">
      <c r="A4482" t="s">
        <v>4729</v>
      </c>
      <c r="B4482" t="str">
        <f>"300685"</f>
        <v>300685</v>
      </c>
      <c r="C4482" t="s">
        <v>9309</v>
      </c>
      <c r="D4482" t="s">
        <v>1305</v>
      </c>
      <c r="F4482">
        <v>917033391</v>
      </c>
      <c r="G4482">
        <v>728390556</v>
      </c>
      <c r="H4482">
        <v>578355544</v>
      </c>
      <c r="I4482">
        <v>439031482</v>
      </c>
      <c r="J4482">
        <v>330371305</v>
      </c>
      <c r="K4482">
        <v>252987005</v>
      </c>
      <c r="L4482">
        <v>176877645</v>
      </c>
      <c r="M4482">
        <v>106810760</v>
      </c>
      <c r="P4482">
        <v>974</v>
      </c>
      <c r="Q4482" t="s">
        <v>9310</v>
      </c>
    </row>
    <row r="4483" spans="1:17" x14ac:dyDescent="0.3">
      <c r="A4483" t="s">
        <v>4729</v>
      </c>
      <c r="B4483" t="str">
        <f>"300686"</f>
        <v>300686</v>
      </c>
      <c r="C4483" t="s">
        <v>9311</v>
      </c>
      <c r="D4483" t="s">
        <v>313</v>
      </c>
      <c r="F4483">
        <v>2166021668</v>
      </c>
      <c r="G4483">
        <v>2322012272</v>
      </c>
      <c r="H4483">
        <v>1742524833</v>
      </c>
      <c r="I4483">
        <v>650928286</v>
      </c>
      <c r="J4483">
        <v>568056968</v>
      </c>
      <c r="K4483">
        <v>661868934</v>
      </c>
      <c r="L4483">
        <v>550597035</v>
      </c>
      <c r="M4483">
        <v>407662295</v>
      </c>
      <c r="P4483">
        <v>192</v>
      </c>
      <c r="Q4483" t="s">
        <v>9312</v>
      </c>
    </row>
    <row r="4484" spans="1:17" x14ac:dyDescent="0.3">
      <c r="A4484" t="s">
        <v>4729</v>
      </c>
      <c r="B4484" t="str">
        <f>"300687"</f>
        <v>300687</v>
      </c>
      <c r="C4484" t="s">
        <v>9313</v>
      </c>
      <c r="D4484" t="s">
        <v>316</v>
      </c>
      <c r="F4484">
        <v>1934932530</v>
      </c>
      <c r="G4484">
        <v>1385308840</v>
      </c>
      <c r="H4484">
        <v>1075646519</v>
      </c>
      <c r="I4484">
        <v>909496878</v>
      </c>
      <c r="J4484">
        <v>708895464</v>
      </c>
      <c r="K4484">
        <v>611882782</v>
      </c>
      <c r="L4484">
        <v>408451678</v>
      </c>
      <c r="M4484">
        <v>241270376</v>
      </c>
      <c r="P4484">
        <v>266</v>
      </c>
      <c r="Q4484" t="s">
        <v>9314</v>
      </c>
    </row>
    <row r="4485" spans="1:17" x14ac:dyDescent="0.3">
      <c r="A4485" t="s">
        <v>4729</v>
      </c>
      <c r="B4485" t="str">
        <f>"300688"</f>
        <v>300688</v>
      </c>
      <c r="C4485" t="s">
        <v>9315</v>
      </c>
      <c r="D4485" t="s">
        <v>1336</v>
      </c>
      <c r="F4485">
        <v>339872471</v>
      </c>
      <c r="G4485">
        <v>163500242</v>
      </c>
      <c r="H4485">
        <v>212760687</v>
      </c>
      <c r="I4485">
        <v>334979108</v>
      </c>
      <c r="J4485">
        <v>184541811</v>
      </c>
      <c r="K4485">
        <v>184207222</v>
      </c>
      <c r="L4485">
        <v>166758770</v>
      </c>
      <c r="M4485">
        <v>108396439</v>
      </c>
      <c r="P4485">
        <v>83</v>
      </c>
      <c r="Q4485" t="s">
        <v>9316</v>
      </c>
    </row>
    <row r="4486" spans="1:17" x14ac:dyDescent="0.3">
      <c r="A4486" t="s">
        <v>4729</v>
      </c>
      <c r="B4486" t="str">
        <f>"300689"</f>
        <v>300689</v>
      </c>
      <c r="C4486" t="s">
        <v>9317</v>
      </c>
      <c r="D4486" t="s">
        <v>786</v>
      </c>
      <c r="F4486">
        <v>423042882</v>
      </c>
      <c r="G4486">
        <v>349029366</v>
      </c>
      <c r="H4486">
        <v>349203657</v>
      </c>
      <c r="I4486">
        <v>355127500</v>
      </c>
      <c r="J4486">
        <v>294636000</v>
      </c>
      <c r="K4486">
        <v>264109172</v>
      </c>
      <c r="L4486">
        <v>249804170</v>
      </c>
      <c r="M4486">
        <v>260140865</v>
      </c>
      <c r="P4486">
        <v>76</v>
      </c>
      <c r="Q4486" t="s">
        <v>9318</v>
      </c>
    </row>
    <row r="4487" spans="1:17" x14ac:dyDescent="0.3">
      <c r="A4487" t="s">
        <v>4729</v>
      </c>
      <c r="B4487" t="str">
        <f>"300690"</f>
        <v>300690</v>
      </c>
      <c r="C4487" t="s">
        <v>9319</v>
      </c>
      <c r="D4487" t="s">
        <v>950</v>
      </c>
      <c r="F4487">
        <v>1001623982</v>
      </c>
      <c r="G4487">
        <v>1391961974</v>
      </c>
      <c r="H4487">
        <v>827515392</v>
      </c>
      <c r="I4487">
        <v>536178447</v>
      </c>
      <c r="J4487">
        <v>594696117</v>
      </c>
      <c r="K4487">
        <v>479586141</v>
      </c>
      <c r="L4487">
        <v>480094245</v>
      </c>
      <c r="M4487">
        <v>350966901</v>
      </c>
      <c r="P4487">
        <v>214</v>
      </c>
      <c r="Q4487" t="s">
        <v>9320</v>
      </c>
    </row>
    <row r="4488" spans="1:17" x14ac:dyDescent="0.3">
      <c r="A4488" t="s">
        <v>4729</v>
      </c>
      <c r="B4488" t="str">
        <f>"300691"</f>
        <v>300691</v>
      </c>
      <c r="C4488" t="s">
        <v>9321</v>
      </c>
      <c r="D4488" t="s">
        <v>2980</v>
      </c>
      <c r="F4488">
        <v>1635162213</v>
      </c>
      <c r="G4488">
        <v>1288261603</v>
      </c>
      <c r="H4488">
        <v>1223788254</v>
      </c>
      <c r="I4488">
        <v>1168669588</v>
      </c>
      <c r="J4488">
        <v>934300853</v>
      </c>
      <c r="K4488">
        <v>733388777</v>
      </c>
      <c r="L4488">
        <v>610246178</v>
      </c>
      <c r="M4488">
        <v>436316216</v>
      </c>
      <c r="P4488">
        <v>186</v>
      </c>
      <c r="Q4488" t="s">
        <v>9322</v>
      </c>
    </row>
    <row r="4489" spans="1:17" x14ac:dyDescent="0.3">
      <c r="A4489" t="s">
        <v>4729</v>
      </c>
      <c r="B4489" t="str">
        <f>"300692"</f>
        <v>300692</v>
      </c>
      <c r="C4489" t="s">
        <v>9323</v>
      </c>
      <c r="D4489" t="s">
        <v>33</v>
      </c>
      <c r="F4489">
        <v>1165594972</v>
      </c>
      <c r="G4489">
        <v>950156837</v>
      </c>
      <c r="H4489">
        <v>653829899</v>
      </c>
      <c r="I4489">
        <v>390137020</v>
      </c>
      <c r="J4489">
        <v>232532882</v>
      </c>
      <c r="K4489">
        <v>177891397</v>
      </c>
      <c r="L4489">
        <v>147838347</v>
      </c>
      <c r="M4489">
        <v>140607000</v>
      </c>
      <c r="P4489">
        <v>162</v>
      </c>
      <c r="Q4489" t="s">
        <v>9324</v>
      </c>
    </row>
    <row r="4490" spans="1:17" x14ac:dyDescent="0.3">
      <c r="A4490" t="s">
        <v>4729</v>
      </c>
      <c r="B4490" t="str">
        <f>"300693"</f>
        <v>300693</v>
      </c>
      <c r="C4490" t="s">
        <v>9325</v>
      </c>
      <c r="D4490" t="s">
        <v>880</v>
      </c>
      <c r="F4490">
        <v>1021384949</v>
      </c>
      <c r="G4490">
        <v>771354983</v>
      </c>
      <c r="H4490">
        <v>635844777</v>
      </c>
      <c r="I4490">
        <v>531257081</v>
      </c>
      <c r="J4490">
        <v>451287051</v>
      </c>
      <c r="K4490">
        <v>446670122</v>
      </c>
      <c r="L4490">
        <v>306324404</v>
      </c>
      <c r="M4490">
        <v>156654816</v>
      </c>
      <c r="P4490">
        <v>214</v>
      </c>
      <c r="Q4490" t="s">
        <v>9326</v>
      </c>
    </row>
    <row r="4491" spans="1:17" x14ac:dyDescent="0.3">
      <c r="A4491" t="s">
        <v>4729</v>
      </c>
      <c r="B4491" t="str">
        <f>"300694"</f>
        <v>300694</v>
      </c>
      <c r="C4491" t="s">
        <v>9327</v>
      </c>
      <c r="D4491" t="s">
        <v>348</v>
      </c>
      <c r="F4491">
        <v>1393959652</v>
      </c>
      <c r="G4491">
        <v>1079252060</v>
      </c>
      <c r="H4491">
        <v>1207311477</v>
      </c>
      <c r="I4491">
        <v>1119947779</v>
      </c>
      <c r="J4491">
        <v>903525078</v>
      </c>
      <c r="K4491">
        <v>798032140</v>
      </c>
      <c r="L4491">
        <v>539927080</v>
      </c>
      <c r="P4491">
        <v>74</v>
      </c>
      <c r="Q4491" t="s">
        <v>9328</v>
      </c>
    </row>
    <row r="4492" spans="1:17" x14ac:dyDescent="0.3">
      <c r="A4492" t="s">
        <v>4729</v>
      </c>
      <c r="B4492" t="str">
        <f>"300695"</f>
        <v>300695</v>
      </c>
      <c r="C4492" t="s">
        <v>9329</v>
      </c>
      <c r="D4492" t="s">
        <v>422</v>
      </c>
      <c r="F4492">
        <v>718328778</v>
      </c>
      <c r="G4492">
        <v>469861286</v>
      </c>
      <c r="H4492">
        <v>559196642</v>
      </c>
      <c r="I4492">
        <v>497387041</v>
      </c>
      <c r="J4492">
        <v>608473293</v>
      </c>
      <c r="K4492">
        <v>511378604</v>
      </c>
      <c r="L4492">
        <v>334876185</v>
      </c>
      <c r="M4492">
        <v>356510724</v>
      </c>
      <c r="P4492">
        <v>125</v>
      </c>
      <c r="Q4492" t="s">
        <v>9330</v>
      </c>
    </row>
    <row r="4493" spans="1:17" x14ac:dyDescent="0.3">
      <c r="A4493" t="s">
        <v>4729</v>
      </c>
      <c r="B4493" t="str">
        <f>"300696"</f>
        <v>300696</v>
      </c>
      <c r="C4493" t="s">
        <v>9331</v>
      </c>
      <c r="D4493" t="s">
        <v>98</v>
      </c>
      <c r="F4493">
        <v>614009404</v>
      </c>
      <c r="G4493">
        <v>303789738</v>
      </c>
      <c r="H4493">
        <v>184235232</v>
      </c>
      <c r="I4493">
        <v>128145994</v>
      </c>
      <c r="J4493">
        <v>135976214</v>
      </c>
      <c r="K4493">
        <v>118921604</v>
      </c>
      <c r="L4493">
        <v>104903786</v>
      </c>
      <c r="M4493">
        <v>64989629</v>
      </c>
      <c r="P4493">
        <v>222</v>
      </c>
      <c r="Q4493" t="s">
        <v>9332</v>
      </c>
    </row>
    <row r="4494" spans="1:17" x14ac:dyDescent="0.3">
      <c r="A4494" t="s">
        <v>4729</v>
      </c>
      <c r="B4494" t="str">
        <f>"300697"</f>
        <v>300697</v>
      </c>
      <c r="C4494" t="s">
        <v>9333</v>
      </c>
      <c r="D4494" t="s">
        <v>263</v>
      </c>
      <c r="F4494">
        <v>2173856529</v>
      </c>
      <c r="G4494">
        <v>1606486263</v>
      </c>
      <c r="H4494">
        <v>1877878189</v>
      </c>
      <c r="I4494">
        <v>1411690508</v>
      </c>
      <c r="J4494">
        <v>1313564134</v>
      </c>
      <c r="K4494">
        <v>1059242743</v>
      </c>
      <c r="L4494">
        <v>1181726344</v>
      </c>
      <c r="M4494">
        <v>1521902541</v>
      </c>
      <c r="P4494">
        <v>77</v>
      </c>
      <c r="Q4494" t="s">
        <v>9334</v>
      </c>
    </row>
    <row r="4495" spans="1:17" x14ac:dyDescent="0.3">
      <c r="A4495" t="s">
        <v>4729</v>
      </c>
      <c r="B4495" t="str">
        <f>"300698"</f>
        <v>300698</v>
      </c>
      <c r="C4495" t="s">
        <v>9335</v>
      </c>
      <c r="D4495" t="s">
        <v>1019</v>
      </c>
      <c r="F4495">
        <v>498224117</v>
      </c>
      <c r="G4495">
        <v>482026134</v>
      </c>
      <c r="H4495">
        <v>469135057</v>
      </c>
      <c r="I4495">
        <v>298549655</v>
      </c>
      <c r="J4495">
        <v>341204616</v>
      </c>
      <c r="K4495">
        <v>370551429</v>
      </c>
      <c r="L4495">
        <v>379769338</v>
      </c>
      <c r="M4495">
        <v>247957287</v>
      </c>
      <c r="P4495">
        <v>121</v>
      </c>
      <c r="Q4495" t="s">
        <v>9336</v>
      </c>
    </row>
    <row r="4496" spans="1:17" x14ac:dyDescent="0.3">
      <c r="A4496" t="s">
        <v>4729</v>
      </c>
      <c r="B4496" t="str">
        <f>"300699"</f>
        <v>300699</v>
      </c>
      <c r="C4496" t="s">
        <v>9337</v>
      </c>
      <c r="D4496" t="s">
        <v>98</v>
      </c>
      <c r="F4496">
        <v>2607307808</v>
      </c>
      <c r="G4496">
        <v>2115519045</v>
      </c>
      <c r="H4496">
        <v>1714950500</v>
      </c>
      <c r="I4496">
        <v>1363555725</v>
      </c>
      <c r="J4496">
        <v>949367375</v>
      </c>
      <c r="K4496">
        <v>633468299</v>
      </c>
      <c r="L4496">
        <v>543111760</v>
      </c>
      <c r="M4496">
        <v>468456618</v>
      </c>
      <c r="P4496">
        <v>914</v>
      </c>
      <c r="Q4496" t="s">
        <v>9338</v>
      </c>
    </row>
    <row r="4497" spans="1:17" x14ac:dyDescent="0.3">
      <c r="A4497" t="s">
        <v>4729</v>
      </c>
      <c r="B4497" t="str">
        <f>"300700"</f>
        <v>300700</v>
      </c>
      <c r="C4497" t="s">
        <v>9339</v>
      </c>
      <c r="D4497" t="s">
        <v>404</v>
      </c>
      <c r="F4497">
        <v>270702347</v>
      </c>
      <c r="G4497">
        <v>242897048</v>
      </c>
      <c r="H4497">
        <v>261644444</v>
      </c>
      <c r="I4497">
        <v>329990811</v>
      </c>
      <c r="J4497">
        <v>435454578</v>
      </c>
      <c r="K4497">
        <v>185441341</v>
      </c>
      <c r="L4497">
        <v>132079000</v>
      </c>
      <c r="M4497">
        <v>123653952</v>
      </c>
      <c r="P4497">
        <v>140</v>
      </c>
      <c r="Q4497" t="s">
        <v>9340</v>
      </c>
    </row>
    <row r="4498" spans="1:17" x14ac:dyDescent="0.3">
      <c r="A4498" t="s">
        <v>4729</v>
      </c>
      <c r="B4498" t="str">
        <f>"300701"</f>
        <v>300701</v>
      </c>
      <c r="C4498" t="s">
        <v>9341</v>
      </c>
      <c r="D4498" t="s">
        <v>164</v>
      </c>
      <c r="F4498">
        <v>311349143</v>
      </c>
      <c r="G4498">
        <v>344496984</v>
      </c>
      <c r="H4498">
        <v>204501239</v>
      </c>
      <c r="I4498">
        <v>183296708</v>
      </c>
      <c r="J4498">
        <v>177426947</v>
      </c>
      <c r="K4498">
        <v>155445813</v>
      </c>
      <c r="L4498">
        <v>132265389</v>
      </c>
      <c r="M4498">
        <v>121613318</v>
      </c>
      <c r="P4498">
        <v>746</v>
      </c>
      <c r="Q4498" t="s">
        <v>9342</v>
      </c>
    </row>
    <row r="4499" spans="1:17" x14ac:dyDescent="0.3">
      <c r="A4499" t="s">
        <v>4729</v>
      </c>
      <c r="B4499" t="str">
        <f>"300702"</f>
        <v>300702</v>
      </c>
      <c r="C4499" t="s">
        <v>9343</v>
      </c>
      <c r="D4499" t="s">
        <v>496</v>
      </c>
      <c r="F4499">
        <v>2545009527</v>
      </c>
      <c r="G4499">
        <v>2587395711</v>
      </c>
      <c r="H4499">
        <v>2110595681</v>
      </c>
      <c r="I4499">
        <v>1466956382</v>
      </c>
      <c r="J4499">
        <v>1188282809</v>
      </c>
      <c r="K4499">
        <v>1082338824</v>
      </c>
      <c r="L4499">
        <v>840085269</v>
      </c>
      <c r="M4499">
        <v>777349725</v>
      </c>
      <c r="P4499">
        <v>411</v>
      </c>
      <c r="Q4499" t="s">
        <v>9344</v>
      </c>
    </row>
    <row r="4500" spans="1:17" x14ac:dyDescent="0.3">
      <c r="A4500" t="s">
        <v>4729</v>
      </c>
      <c r="B4500" t="str">
        <f>"300703"</f>
        <v>300703</v>
      </c>
      <c r="C4500" t="s">
        <v>9345</v>
      </c>
      <c r="D4500" t="s">
        <v>3410</v>
      </c>
      <c r="F4500">
        <v>1382961554</v>
      </c>
      <c r="G4500">
        <v>1086506001</v>
      </c>
      <c r="H4500">
        <v>931859496</v>
      </c>
      <c r="I4500">
        <v>800272711</v>
      </c>
      <c r="J4500">
        <v>677478338</v>
      </c>
      <c r="K4500">
        <v>654348345</v>
      </c>
      <c r="L4500">
        <v>511838343</v>
      </c>
      <c r="M4500">
        <v>488534871</v>
      </c>
      <c r="P4500">
        <v>109</v>
      </c>
      <c r="Q4500" t="s">
        <v>9346</v>
      </c>
    </row>
    <row r="4501" spans="1:17" x14ac:dyDescent="0.3">
      <c r="A4501" t="s">
        <v>4729</v>
      </c>
      <c r="B4501" t="str">
        <f>"300705"</f>
        <v>300705</v>
      </c>
      <c r="C4501" t="s">
        <v>9347</v>
      </c>
      <c r="D4501" t="s">
        <v>143</v>
      </c>
      <c r="F4501">
        <v>1627664942</v>
      </c>
      <c r="G4501">
        <v>978159132</v>
      </c>
      <c r="H4501">
        <v>924061198</v>
      </c>
      <c r="I4501">
        <v>801375318</v>
      </c>
      <c r="J4501">
        <v>534515072</v>
      </c>
      <c r="K4501">
        <v>376400199</v>
      </c>
      <c r="L4501">
        <v>290492436</v>
      </c>
      <c r="M4501">
        <v>266489389</v>
      </c>
      <c r="P4501">
        <v>166</v>
      </c>
      <c r="Q4501" t="s">
        <v>9348</v>
      </c>
    </row>
    <row r="4502" spans="1:17" x14ac:dyDescent="0.3">
      <c r="A4502" t="s">
        <v>4729</v>
      </c>
      <c r="B4502" t="str">
        <f>"300706"</f>
        <v>300706</v>
      </c>
      <c r="C4502" t="s">
        <v>9349</v>
      </c>
      <c r="D4502" t="s">
        <v>475</v>
      </c>
      <c r="F4502">
        <v>610367635</v>
      </c>
      <c r="G4502">
        <v>353976988</v>
      </c>
      <c r="H4502">
        <v>316627884</v>
      </c>
      <c r="I4502">
        <v>255971672</v>
      </c>
      <c r="J4502">
        <v>235509229</v>
      </c>
      <c r="K4502">
        <v>174635746</v>
      </c>
      <c r="L4502">
        <v>124447835</v>
      </c>
      <c r="M4502">
        <v>82638128</v>
      </c>
      <c r="P4502">
        <v>178</v>
      </c>
      <c r="Q4502" t="s">
        <v>9350</v>
      </c>
    </row>
    <row r="4503" spans="1:17" x14ac:dyDescent="0.3">
      <c r="A4503" t="s">
        <v>4729</v>
      </c>
      <c r="B4503" t="str">
        <f>"300707"</f>
        <v>300707</v>
      </c>
      <c r="C4503" t="s">
        <v>9351</v>
      </c>
      <c r="D4503" t="s">
        <v>985</v>
      </c>
      <c r="F4503">
        <v>721396244</v>
      </c>
      <c r="G4503">
        <v>554601757</v>
      </c>
      <c r="H4503">
        <v>403190649</v>
      </c>
      <c r="I4503">
        <v>508865498</v>
      </c>
      <c r="J4503">
        <v>436833859</v>
      </c>
      <c r="K4503">
        <v>316762759</v>
      </c>
      <c r="L4503">
        <v>235694529</v>
      </c>
      <c r="M4503">
        <v>163140044</v>
      </c>
      <c r="P4503">
        <v>140</v>
      </c>
      <c r="Q4503" t="s">
        <v>9352</v>
      </c>
    </row>
    <row r="4504" spans="1:17" x14ac:dyDescent="0.3">
      <c r="A4504" t="s">
        <v>4729</v>
      </c>
      <c r="B4504" t="str">
        <f>"300708"</f>
        <v>300708</v>
      </c>
      <c r="C4504" t="s">
        <v>9353</v>
      </c>
      <c r="D4504" t="s">
        <v>803</v>
      </c>
      <c r="F4504">
        <v>2009197450</v>
      </c>
      <c r="G4504">
        <v>1406674201</v>
      </c>
      <c r="H4504">
        <v>1143205480</v>
      </c>
      <c r="I4504">
        <v>558718921</v>
      </c>
      <c r="J4504">
        <v>620944425</v>
      </c>
      <c r="K4504">
        <v>480151977</v>
      </c>
      <c r="L4504">
        <v>351465235</v>
      </c>
      <c r="M4504">
        <v>295821973</v>
      </c>
      <c r="P4504">
        <v>164</v>
      </c>
      <c r="Q4504" t="s">
        <v>9354</v>
      </c>
    </row>
    <row r="4505" spans="1:17" x14ac:dyDescent="0.3">
      <c r="A4505" t="s">
        <v>4729</v>
      </c>
      <c r="B4505" t="str">
        <f>"300709"</f>
        <v>300709</v>
      </c>
      <c r="C4505" t="s">
        <v>9355</v>
      </c>
      <c r="D4505" t="s">
        <v>313</v>
      </c>
      <c r="F4505">
        <v>2404113167</v>
      </c>
      <c r="G4505">
        <v>1564126473</v>
      </c>
      <c r="H4505">
        <v>1473002014</v>
      </c>
      <c r="I4505">
        <v>882313496</v>
      </c>
      <c r="J4505">
        <v>922285875</v>
      </c>
      <c r="K4505">
        <v>709157169</v>
      </c>
      <c r="L4505">
        <v>454181344</v>
      </c>
      <c r="M4505">
        <v>210427933</v>
      </c>
      <c r="P4505">
        <v>220</v>
      </c>
      <c r="Q4505" t="s">
        <v>9356</v>
      </c>
    </row>
    <row r="4506" spans="1:17" x14ac:dyDescent="0.3">
      <c r="A4506" t="s">
        <v>4729</v>
      </c>
      <c r="B4506" t="str">
        <f>"300710"</f>
        <v>300710</v>
      </c>
      <c r="C4506" t="s">
        <v>9357</v>
      </c>
      <c r="D4506" t="s">
        <v>1019</v>
      </c>
      <c r="F4506">
        <v>728642548</v>
      </c>
      <c r="G4506">
        <v>513041675</v>
      </c>
      <c r="H4506">
        <v>371857124</v>
      </c>
      <c r="I4506">
        <v>343538237</v>
      </c>
      <c r="J4506">
        <v>418413387</v>
      </c>
      <c r="K4506">
        <v>391839385</v>
      </c>
      <c r="L4506">
        <v>306547360</v>
      </c>
      <c r="M4506">
        <v>280153476</v>
      </c>
      <c r="P4506">
        <v>107</v>
      </c>
      <c r="Q4506" t="s">
        <v>9358</v>
      </c>
    </row>
    <row r="4507" spans="1:17" x14ac:dyDescent="0.3">
      <c r="A4507" t="s">
        <v>4729</v>
      </c>
      <c r="B4507" t="str">
        <f>"300711"</f>
        <v>300711</v>
      </c>
      <c r="C4507" t="s">
        <v>9359</v>
      </c>
      <c r="D4507" t="s">
        <v>595</v>
      </c>
      <c r="F4507">
        <v>345870603</v>
      </c>
      <c r="G4507">
        <v>308327748</v>
      </c>
      <c r="H4507">
        <v>267116575</v>
      </c>
      <c r="I4507">
        <v>200713916</v>
      </c>
      <c r="J4507">
        <v>261225232</v>
      </c>
      <c r="K4507">
        <v>263886011</v>
      </c>
      <c r="L4507">
        <v>257469033</v>
      </c>
      <c r="M4507">
        <v>234770392</v>
      </c>
      <c r="P4507">
        <v>130</v>
      </c>
      <c r="Q4507" t="s">
        <v>9360</v>
      </c>
    </row>
    <row r="4508" spans="1:17" x14ac:dyDescent="0.3">
      <c r="A4508" t="s">
        <v>4729</v>
      </c>
      <c r="B4508" t="str">
        <f>"300712"</f>
        <v>300712</v>
      </c>
      <c r="C4508" t="s">
        <v>9361</v>
      </c>
      <c r="D4508" t="s">
        <v>1992</v>
      </c>
      <c r="F4508">
        <v>1567918029</v>
      </c>
      <c r="G4508">
        <v>980439091</v>
      </c>
      <c r="H4508">
        <v>1440375321</v>
      </c>
      <c r="I4508">
        <v>685964229</v>
      </c>
      <c r="J4508">
        <v>564396520</v>
      </c>
      <c r="K4508">
        <v>444714055</v>
      </c>
      <c r="L4508">
        <v>386762299</v>
      </c>
      <c r="M4508">
        <v>374317358</v>
      </c>
      <c r="P4508">
        <v>125</v>
      </c>
      <c r="Q4508" t="s">
        <v>9362</v>
      </c>
    </row>
    <row r="4509" spans="1:17" x14ac:dyDescent="0.3">
      <c r="A4509" t="s">
        <v>4729</v>
      </c>
      <c r="B4509" t="str">
        <f>"300713"</f>
        <v>300713</v>
      </c>
      <c r="C4509" t="s">
        <v>9363</v>
      </c>
      <c r="D4509" t="s">
        <v>880</v>
      </c>
      <c r="F4509">
        <v>255273350</v>
      </c>
      <c r="G4509">
        <v>265649878</v>
      </c>
      <c r="H4509">
        <v>289420349</v>
      </c>
      <c r="I4509">
        <v>307191245</v>
      </c>
      <c r="J4509">
        <v>380495153</v>
      </c>
      <c r="K4509">
        <v>388781964</v>
      </c>
      <c r="L4509">
        <v>255825286</v>
      </c>
      <c r="M4509">
        <v>93477510</v>
      </c>
      <c r="P4509">
        <v>81</v>
      </c>
      <c r="Q4509" t="s">
        <v>9364</v>
      </c>
    </row>
    <row r="4510" spans="1:17" x14ac:dyDescent="0.3">
      <c r="A4510" t="s">
        <v>4729</v>
      </c>
      <c r="B4510" t="str">
        <f>"300715"</f>
        <v>300715</v>
      </c>
      <c r="C4510" t="s">
        <v>9365</v>
      </c>
      <c r="D4510" t="s">
        <v>6333</v>
      </c>
      <c r="F4510">
        <v>2585783926</v>
      </c>
      <c r="G4510">
        <v>2007646596</v>
      </c>
      <c r="H4510">
        <v>1164996148</v>
      </c>
      <c r="I4510">
        <v>619307793</v>
      </c>
      <c r="J4510">
        <v>394228045</v>
      </c>
      <c r="K4510">
        <v>268969387</v>
      </c>
      <c r="L4510">
        <v>218054502</v>
      </c>
      <c r="M4510">
        <v>180526757</v>
      </c>
      <c r="P4510">
        <v>413</v>
      </c>
      <c r="Q4510" t="s">
        <v>9366</v>
      </c>
    </row>
    <row r="4511" spans="1:17" x14ac:dyDescent="0.3">
      <c r="A4511" t="s">
        <v>4729</v>
      </c>
      <c r="B4511" t="str">
        <f>"300716"</f>
        <v>300716</v>
      </c>
      <c r="C4511" t="s">
        <v>9367</v>
      </c>
      <c r="D4511" t="s">
        <v>341</v>
      </c>
      <c r="F4511">
        <v>1901901792</v>
      </c>
      <c r="G4511">
        <v>1926915850</v>
      </c>
      <c r="H4511">
        <v>2601979010</v>
      </c>
      <c r="I4511">
        <v>1092022298</v>
      </c>
      <c r="J4511">
        <v>757651005</v>
      </c>
      <c r="K4511">
        <v>631337303</v>
      </c>
      <c r="L4511">
        <v>523409551</v>
      </c>
      <c r="M4511">
        <v>379654367</v>
      </c>
      <c r="P4511">
        <v>59</v>
      </c>
      <c r="Q4511" t="s">
        <v>9368</v>
      </c>
    </row>
    <row r="4512" spans="1:17" x14ac:dyDescent="0.3">
      <c r="A4512" t="s">
        <v>4729</v>
      </c>
      <c r="B4512" t="str">
        <f>"300717"</f>
        <v>300717</v>
      </c>
      <c r="C4512" t="s">
        <v>9369</v>
      </c>
      <c r="D4512" t="s">
        <v>1192</v>
      </c>
      <c r="F4512">
        <v>323573121</v>
      </c>
      <c r="G4512">
        <v>263416942</v>
      </c>
      <c r="H4512">
        <v>315686980</v>
      </c>
      <c r="I4512">
        <v>306597815</v>
      </c>
      <c r="J4512">
        <v>283838781</v>
      </c>
      <c r="K4512">
        <v>227823367</v>
      </c>
      <c r="L4512">
        <v>239538701</v>
      </c>
      <c r="M4512">
        <v>214292071</v>
      </c>
      <c r="P4512">
        <v>71</v>
      </c>
      <c r="Q4512" t="s">
        <v>9370</v>
      </c>
    </row>
    <row r="4513" spans="1:17" x14ac:dyDescent="0.3">
      <c r="A4513" t="s">
        <v>4729</v>
      </c>
      <c r="B4513" t="str">
        <f>"300718"</f>
        <v>300718</v>
      </c>
      <c r="C4513" t="s">
        <v>9371</v>
      </c>
      <c r="D4513" t="s">
        <v>2007</v>
      </c>
      <c r="F4513">
        <v>984974848</v>
      </c>
      <c r="G4513">
        <v>655249483</v>
      </c>
      <c r="H4513">
        <v>600840894</v>
      </c>
      <c r="I4513">
        <v>662569052</v>
      </c>
      <c r="J4513">
        <v>566507210</v>
      </c>
      <c r="K4513">
        <v>403971117</v>
      </c>
      <c r="L4513">
        <v>373308786</v>
      </c>
      <c r="M4513">
        <v>401908102</v>
      </c>
      <c r="P4513">
        <v>100</v>
      </c>
      <c r="Q4513" t="s">
        <v>9372</v>
      </c>
    </row>
    <row r="4514" spans="1:17" x14ac:dyDescent="0.3">
      <c r="A4514" t="s">
        <v>4729</v>
      </c>
      <c r="B4514" t="str">
        <f>"300719"</f>
        <v>300719</v>
      </c>
      <c r="C4514" t="s">
        <v>9373</v>
      </c>
      <c r="D4514" t="s">
        <v>98</v>
      </c>
      <c r="F4514">
        <v>475457222</v>
      </c>
      <c r="G4514">
        <v>609699798</v>
      </c>
      <c r="H4514">
        <v>552446608</v>
      </c>
      <c r="I4514">
        <v>499375049</v>
      </c>
      <c r="J4514">
        <v>439815516</v>
      </c>
      <c r="K4514">
        <v>397704392</v>
      </c>
      <c r="L4514">
        <v>311279585</v>
      </c>
      <c r="M4514">
        <v>296153526</v>
      </c>
      <c r="P4514">
        <v>93</v>
      </c>
      <c r="Q4514" t="s">
        <v>9374</v>
      </c>
    </row>
    <row r="4515" spans="1:17" x14ac:dyDescent="0.3">
      <c r="A4515" t="s">
        <v>4729</v>
      </c>
      <c r="B4515" t="str">
        <f>"300720"</f>
        <v>300720</v>
      </c>
      <c r="C4515" t="s">
        <v>9375</v>
      </c>
      <c r="D4515" t="s">
        <v>2566</v>
      </c>
      <c r="F4515">
        <v>252672652</v>
      </c>
      <c r="G4515">
        <v>218264445</v>
      </c>
      <c r="H4515">
        <v>175803898</v>
      </c>
      <c r="I4515">
        <v>162061899</v>
      </c>
      <c r="J4515">
        <v>150601002</v>
      </c>
      <c r="K4515">
        <v>136352665</v>
      </c>
      <c r="L4515">
        <v>112821876</v>
      </c>
      <c r="M4515">
        <v>116946902</v>
      </c>
      <c r="P4515">
        <v>70</v>
      </c>
      <c r="Q4515" t="s">
        <v>9376</v>
      </c>
    </row>
    <row r="4516" spans="1:17" x14ac:dyDescent="0.3">
      <c r="A4516" t="s">
        <v>4729</v>
      </c>
      <c r="B4516" t="str">
        <f>"300721"</f>
        <v>300721</v>
      </c>
      <c r="C4516" t="s">
        <v>9377</v>
      </c>
      <c r="D4516" t="s">
        <v>386</v>
      </c>
      <c r="F4516">
        <v>1450414340</v>
      </c>
      <c r="G4516">
        <v>1004159977</v>
      </c>
      <c r="H4516">
        <v>954417067</v>
      </c>
      <c r="I4516">
        <v>1127231638</v>
      </c>
      <c r="J4516">
        <v>1212719997</v>
      </c>
      <c r="K4516">
        <v>1002473251</v>
      </c>
      <c r="L4516">
        <v>1094713662</v>
      </c>
      <c r="M4516">
        <v>1047979816</v>
      </c>
      <c r="P4516">
        <v>73</v>
      </c>
      <c r="Q4516" t="s">
        <v>9378</v>
      </c>
    </row>
    <row r="4517" spans="1:17" x14ac:dyDescent="0.3">
      <c r="A4517" t="s">
        <v>4729</v>
      </c>
      <c r="B4517" t="str">
        <f>"300722"</f>
        <v>300722</v>
      </c>
      <c r="C4517" t="s">
        <v>9379</v>
      </c>
      <c r="D4517" t="s">
        <v>284</v>
      </c>
      <c r="F4517">
        <v>293308524</v>
      </c>
      <c r="G4517">
        <v>243526309</v>
      </c>
      <c r="H4517">
        <v>224684827</v>
      </c>
      <c r="I4517">
        <v>213558712</v>
      </c>
      <c r="J4517">
        <v>200016029</v>
      </c>
      <c r="K4517">
        <v>182024286</v>
      </c>
      <c r="L4517">
        <v>162706963</v>
      </c>
      <c r="M4517">
        <v>149846062</v>
      </c>
      <c r="P4517">
        <v>113</v>
      </c>
      <c r="Q4517" t="s">
        <v>9380</v>
      </c>
    </row>
    <row r="4518" spans="1:17" x14ac:dyDescent="0.3">
      <c r="A4518" t="s">
        <v>4729</v>
      </c>
      <c r="B4518" t="str">
        <f>"300723"</f>
        <v>300723</v>
      </c>
      <c r="C4518" t="s">
        <v>9381</v>
      </c>
      <c r="D4518" t="s">
        <v>143</v>
      </c>
      <c r="F4518">
        <v>2199214423</v>
      </c>
      <c r="G4518">
        <v>1675417059</v>
      </c>
      <c r="H4518">
        <v>1637405570</v>
      </c>
      <c r="I4518">
        <v>1429554298</v>
      </c>
      <c r="J4518">
        <v>1380217272</v>
      </c>
      <c r="K4518">
        <v>1250837315</v>
      </c>
      <c r="L4518">
        <v>1028297464</v>
      </c>
      <c r="M4518">
        <v>792554791</v>
      </c>
      <c r="P4518">
        <v>222</v>
      </c>
      <c r="Q4518" t="s">
        <v>9382</v>
      </c>
    </row>
    <row r="4519" spans="1:17" x14ac:dyDescent="0.3">
      <c r="A4519" t="s">
        <v>4729</v>
      </c>
      <c r="B4519" t="str">
        <f>"300724"</f>
        <v>300724</v>
      </c>
      <c r="C4519" t="s">
        <v>9383</v>
      </c>
      <c r="D4519" t="s">
        <v>2671</v>
      </c>
      <c r="F4519">
        <v>5047209787</v>
      </c>
      <c r="G4519">
        <v>4044249653</v>
      </c>
      <c r="H4519">
        <v>2527163536</v>
      </c>
      <c r="I4519">
        <v>1492740518</v>
      </c>
      <c r="J4519">
        <v>1242779299</v>
      </c>
      <c r="K4519">
        <v>831240411</v>
      </c>
      <c r="L4519">
        <v>349739595</v>
      </c>
      <c r="P4519">
        <v>573</v>
      </c>
      <c r="Q4519" t="s">
        <v>9384</v>
      </c>
    </row>
    <row r="4520" spans="1:17" x14ac:dyDescent="0.3">
      <c r="A4520" t="s">
        <v>4729</v>
      </c>
      <c r="B4520" t="str">
        <f>"300725"</f>
        <v>300725</v>
      </c>
      <c r="C4520" t="s">
        <v>9385</v>
      </c>
      <c r="D4520" t="s">
        <v>1461</v>
      </c>
      <c r="F4520">
        <v>1201629071</v>
      </c>
      <c r="G4520">
        <v>1022229216</v>
      </c>
      <c r="H4520">
        <v>662230933</v>
      </c>
      <c r="I4520">
        <v>478254314</v>
      </c>
      <c r="J4520">
        <v>273250557</v>
      </c>
      <c r="K4520">
        <v>188377858</v>
      </c>
      <c r="L4520">
        <v>136130804</v>
      </c>
      <c r="M4520">
        <v>76639125</v>
      </c>
      <c r="P4520">
        <v>1116</v>
      </c>
      <c r="Q4520" t="s">
        <v>9386</v>
      </c>
    </row>
    <row r="4521" spans="1:17" x14ac:dyDescent="0.3">
      <c r="A4521" t="s">
        <v>4729</v>
      </c>
      <c r="B4521" t="str">
        <f>"300726"</f>
        <v>300726</v>
      </c>
      <c r="C4521" t="s">
        <v>9387</v>
      </c>
      <c r="D4521" t="s">
        <v>1136</v>
      </c>
      <c r="F4521">
        <v>2000350143</v>
      </c>
      <c r="G4521">
        <v>1400857588</v>
      </c>
      <c r="H4521">
        <v>844041676</v>
      </c>
      <c r="I4521">
        <v>636314595</v>
      </c>
      <c r="J4521">
        <v>524366049</v>
      </c>
      <c r="K4521">
        <v>448736308</v>
      </c>
      <c r="L4521">
        <v>394561727</v>
      </c>
      <c r="M4521">
        <v>329362027</v>
      </c>
      <c r="P4521">
        <v>748</v>
      </c>
      <c r="Q4521" t="s">
        <v>9388</v>
      </c>
    </row>
    <row r="4522" spans="1:17" x14ac:dyDescent="0.3">
      <c r="A4522" t="s">
        <v>4729</v>
      </c>
      <c r="B4522" t="str">
        <f>"300727"</f>
        <v>300727</v>
      </c>
      <c r="C4522" t="s">
        <v>9389</v>
      </c>
      <c r="D4522" t="s">
        <v>1205</v>
      </c>
      <c r="F4522">
        <v>1103753229</v>
      </c>
      <c r="G4522">
        <v>711526005</v>
      </c>
      <c r="H4522">
        <v>630990638</v>
      </c>
      <c r="I4522">
        <v>651824716</v>
      </c>
      <c r="J4522">
        <v>461261197</v>
      </c>
      <c r="K4522">
        <v>301095757</v>
      </c>
      <c r="L4522">
        <v>268595312</v>
      </c>
      <c r="M4522">
        <v>267894417</v>
      </c>
      <c r="P4522">
        <v>73</v>
      </c>
      <c r="Q4522" t="s">
        <v>9390</v>
      </c>
    </row>
    <row r="4523" spans="1:17" x14ac:dyDescent="0.3">
      <c r="A4523" t="s">
        <v>4729</v>
      </c>
      <c r="B4523" t="str">
        <f>"300728"</f>
        <v>300728</v>
      </c>
      <c r="C4523" t="s">
        <v>9391</v>
      </c>
      <c r="K4523">
        <v>486433552</v>
      </c>
      <c r="L4523">
        <v>607729194</v>
      </c>
      <c r="M4523">
        <v>471033430</v>
      </c>
      <c r="P4523">
        <v>10</v>
      </c>
      <c r="Q4523" t="s">
        <v>9392</v>
      </c>
    </row>
    <row r="4524" spans="1:17" x14ac:dyDescent="0.3">
      <c r="A4524" t="s">
        <v>4729</v>
      </c>
      <c r="B4524" t="str">
        <f>"300729"</f>
        <v>300729</v>
      </c>
      <c r="C4524" t="s">
        <v>9393</v>
      </c>
      <c r="D4524" t="s">
        <v>2445</v>
      </c>
      <c r="F4524">
        <v>2871283657</v>
      </c>
      <c r="G4524">
        <v>1940664262</v>
      </c>
      <c r="H4524">
        <v>978069231</v>
      </c>
      <c r="I4524">
        <v>946775935</v>
      </c>
      <c r="J4524">
        <v>747830822</v>
      </c>
      <c r="K4524">
        <v>487862606</v>
      </c>
      <c r="L4524">
        <v>376562756</v>
      </c>
      <c r="M4524">
        <v>357751406</v>
      </c>
      <c r="P4524">
        <v>219</v>
      </c>
      <c r="Q4524" t="s">
        <v>9394</v>
      </c>
    </row>
    <row r="4525" spans="1:17" x14ac:dyDescent="0.3">
      <c r="A4525" t="s">
        <v>4729</v>
      </c>
      <c r="B4525" t="str">
        <f>"300730"</f>
        <v>300730</v>
      </c>
      <c r="C4525" t="s">
        <v>9395</v>
      </c>
      <c r="D4525" t="s">
        <v>945</v>
      </c>
      <c r="F4525">
        <v>496777962</v>
      </c>
      <c r="G4525">
        <v>435599073</v>
      </c>
      <c r="H4525">
        <v>382927922</v>
      </c>
      <c r="I4525">
        <v>332604356</v>
      </c>
      <c r="J4525">
        <v>307423525</v>
      </c>
      <c r="K4525">
        <v>271433199</v>
      </c>
      <c r="L4525">
        <v>249460801</v>
      </c>
      <c r="M4525">
        <v>188907620</v>
      </c>
      <c r="P4525">
        <v>98</v>
      </c>
      <c r="Q4525" t="s">
        <v>9396</v>
      </c>
    </row>
    <row r="4526" spans="1:17" x14ac:dyDescent="0.3">
      <c r="A4526" t="s">
        <v>4729</v>
      </c>
      <c r="B4526" t="str">
        <f>"300731"</f>
        <v>300731</v>
      </c>
      <c r="C4526" t="s">
        <v>9397</v>
      </c>
      <c r="D4526" t="s">
        <v>2469</v>
      </c>
      <c r="F4526">
        <v>568414718</v>
      </c>
      <c r="G4526">
        <v>306998367</v>
      </c>
      <c r="H4526">
        <v>305983662</v>
      </c>
      <c r="I4526">
        <v>285877267</v>
      </c>
      <c r="J4526">
        <v>253746880</v>
      </c>
      <c r="K4526">
        <v>188324089</v>
      </c>
      <c r="L4526">
        <v>154215422</v>
      </c>
      <c r="M4526">
        <v>158944941</v>
      </c>
      <c r="P4526">
        <v>186</v>
      </c>
      <c r="Q4526" t="s">
        <v>9398</v>
      </c>
    </row>
    <row r="4527" spans="1:17" x14ac:dyDescent="0.3">
      <c r="A4527" t="s">
        <v>4729</v>
      </c>
      <c r="B4527" t="str">
        <f>"300732"</f>
        <v>300732</v>
      </c>
      <c r="C4527" t="s">
        <v>9399</v>
      </c>
      <c r="D4527" t="s">
        <v>1272</v>
      </c>
      <c r="F4527">
        <v>2052020032</v>
      </c>
      <c r="G4527">
        <v>1885853029</v>
      </c>
      <c r="H4527">
        <v>1578822830</v>
      </c>
      <c r="I4527">
        <v>1138274391</v>
      </c>
      <c r="J4527">
        <v>935196422</v>
      </c>
      <c r="K4527">
        <v>591456760</v>
      </c>
      <c r="L4527">
        <v>404790421</v>
      </c>
      <c r="M4527">
        <v>375469441</v>
      </c>
      <c r="P4527">
        <v>151</v>
      </c>
      <c r="Q4527" t="s">
        <v>9400</v>
      </c>
    </row>
    <row r="4528" spans="1:17" x14ac:dyDescent="0.3">
      <c r="A4528" t="s">
        <v>4729</v>
      </c>
      <c r="B4528" t="str">
        <f>"300733"</f>
        <v>300733</v>
      </c>
      <c r="C4528" t="s">
        <v>9401</v>
      </c>
      <c r="D4528" t="s">
        <v>348</v>
      </c>
      <c r="F4528">
        <v>749943811</v>
      </c>
      <c r="G4528">
        <v>513173339</v>
      </c>
      <c r="H4528">
        <v>525007098</v>
      </c>
      <c r="I4528">
        <v>521047722</v>
      </c>
      <c r="J4528">
        <v>615938010</v>
      </c>
      <c r="K4528">
        <v>648110554</v>
      </c>
      <c r="L4528">
        <v>512151647</v>
      </c>
      <c r="M4528">
        <v>433282411</v>
      </c>
      <c r="P4528">
        <v>60</v>
      </c>
      <c r="Q4528" t="s">
        <v>9402</v>
      </c>
    </row>
    <row r="4529" spans="1:17" x14ac:dyDescent="0.3">
      <c r="A4529" t="s">
        <v>4729</v>
      </c>
      <c r="B4529" t="str">
        <f>"300735"</f>
        <v>300735</v>
      </c>
      <c r="C4529" t="s">
        <v>9403</v>
      </c>
      <c r="D4529" t="s">
        <v>313</v>
      </c>
      <c r="F4529">
        <v>3603618375</v>
      </c>
      <c r="G4529">
        <v>2285413345</v>
      </c>
      <c r="H4529">
        <v>2190441021</v>
      </c>
      <c r="I4529">
        <v>1598087541</v>
      </c>
      <c r="J4529">
        <v>1274112356</v>
      </c>
      <c r="K4529">
        <v>1226978292</v>
      </c>
      <c r="L4529">
        <v>917493796</v>
      </c>
      <c r="M4529">
        <v>737957109</v>
      </c>
      <c r="P4529">
        <v>453</v>
      </c>
      <c r="Q4529" t="s">
        <v>9404</v>
      </c>
    </row>
    <row r="4530" spans="1:17" x14ac:dyDescent="0.3">
      <c r="A4530" t="s">
        <v>4729</v>
      </c>
      <c r="B4530" t="str">
        <f>"300736"</f>
        <v>300736</v>
      </c>
      <c r="C4530" t="s">
        <v>9405</v>
      </c>
      <c r="D4530" t="s">
        <v>651</v>
      </c>
      <c r="F4530">
        <v>312044278</v>
      </c>
      <c r="G4530">
        <v>488918504</v>
      </c>
      <c r="H4530">
        <v>353384194</v>
      </c>
      <c r="I4530">
        <v>630556651</v>
      </c>
      <c r="J4530">
        <v>675123540</v>
      </c>
      <c r="K4530">
        <v>648067281</v>
      </c>
      <c r="L4530">
        <v>621158668</v>
      </c>
      <c r="M4530">
        <v>397625640</v>
      </c>
      <c r="P4530">
        <v>114</v>
      </c>
      <c r="Q4530" t="s">
        <v>9406</v>
      </c>
    </row>
    <row r="4531" spans="1:17" x14ac:dyDescent="0.3">
      <c r="A4531" t="s">
        <v>4729</v>
      </c>
      <c r="B4531" t="str">
        <f>"300737"</f>
        <v>300737</v>
      </c>
      <c r="C4531" t="s">
        <v>9407</v>
      </c>
      <c r="D4531" t="s">
        <v>6333</v>
      </c>
      <c r="F4531">
        <v>7770724152</v>
      </c>
      <c r="G4531">
        <v>6237878505</v>
      </c>
      <c r="H4531">
        <v>4651957012</v>
      </c>
      <c r="I4531">
        <v>3096749291</v>
      </c>
      <c r="J4531">
        <v>2038788128</v>
      </c>
      <c r="K4531">
        <v>1473418297</v>
      </c>
      <c r="L4531">
        <v>1199558586</v>
      </c>
      <c r="M4531">
        <v>1059222937</v>
      </c>
      <c r="P4531">
        <v>461</v>
      </c>
      <c r="Q4531" t="s">
        <v>9408</v>
      </c>
    </row>
    <row r="4532" spans="1:17" x14ac:dyDescent="0.3">
      <c r="A4532" t="s">
        <v>4729</v>
      </c>
      <c r="B4532" t="str">
        <f>"300738"</f>
        <v>300738</v>
      </c>
      <c r="C4532" t="s">
        <v>9409</v>
      </c>
      <c r="D4532" t="s">
        <v>316</v>
      </c>
      <c r="F4532">
        <v>1204950795</v>
      </c>
      <c r="G4532">
        <v>840536930</v>
      </c>
      <c r="H4532">
        <v>882851899</v>
      </c>
      <c r="I4532">
        <v>411024851</v>
      </c>
      <c r="J4532">
        <v>378708342</v>
      </c>
      <c r="K4532">
        <v>297809248</v>
      </c>
      <c r="L4532">
        <v>159839232</v>
      </c>
      <c r="M4532">
        <v>70757717</v>
      </c>
      <c r="P4532">
        <v>300</v>
      </c>
      <c r="Q4532" t="s">
        <v>9410</v>
      </c>
    </row>
    <row r="4533" spans="1:17" x14ac:dyDescent="0.3">
      <c r="A4533" t="s">
        <v>4729</v>
      </c>
      <c r="B4533" t="str">
        <f>"300739"</f>
        <v>300739</v>
      </c>
      <c r="C4533" t="s">
        <v>9411</v>
      </c>
      <c r="D4533" t="s">
        <v>425</v>
      </c>
      <c r="F4533">
        <v>1854089273</v>
      </c>
      <c r="G4533">
        <v>1291142880</v>
      </c>
      <c r="H4533">
        <v>1149543078</v>
      </c>
      <c r="I4533">
        <v>1131402755</v>
      </c>
      <c r="J4533">
        <v>1053920395</v>
      </c>
      <c r="K4533">
        <v>816110902</v>
      </c>
      <c r="L4533">
        <v>632612057</v>
      </c>
      <c r="M4533">
        <v>562633199</v>
      </c>
      <c r="P4533">
        <v>170</v>
      </c>
      <c r="Q4533" t="s">
        <v>9412</v>
      </c>
    </row>
    <row r="4534" spans="1:17" x14ac:dyDescent="0.3">
      <c r="A4534" t="s">
        <v>4729</v>
      </c>
      <c r="B4534" t="str">
        <f>"300740"</f>
        <v>300740</v>
      </c>
      <c r="C4534" t="s">
        <v>9413</v>
      </c>
      <c r="D4534" t="s">
        <v>709</v>
      </c>
      <c r="F4534">
        <v>5010121537</v>
      </c>
      <c r="G4534">
        <v>3715035388</v>
      </c>
      <c r="H4534">
        <v>2412120738</v>
      </c>
      <c r="I4534">
        <v>2245338324</v>
      </c>
      <c r="J4534">
        <v>1646399944</v>
      </c>
      <c r="K4534">
        <v>1170892688</v>
      </c>
      <c r="L4534">
        <v>768722485</v>
      </c>
      <c r="P4534">
        <v>256</v>
      </c>
      <c r="Q4534" t="s">
        <v>9414</v>
      </c>
    </row>
    <row r="4535" spans="1:17" x14ac:dyDescent="0.3">
      <c r="A4535" t="s">
        <v>4729</v>
      </c>
      <c r="B4535" t="str">
        <f>"300741"</f>
        <v>300741</v>
      </c>
      <c r="C4535" t="s">
        <v>9415</v>
      </c>
      <c r="D4535" t="s">
        <v>677</v>
      </c>
      <c r="F4535">
        <v>1941375258</v>
      </c>
      <c r="G4535">
        <v>2094459854</v>
      </c>
      <c r="H4535">
        <v>2185338829</v>
      </c>
      <c r="I4535">
        <v>2169074354</v>
      </c>
      <c r="J4535">
        <v>2197726124</v>
      </c>
      <c r="K4535">
        <v>2614986022</v>
      </c>
      <c r="L4535">
        <v>2791797087</v>
      </c>
      <c r="P4535">
        <v>458</v>
      </c>
      <c r="Q4535" t="s">
        <v>9416</v>
      </c>
    </row>
    <row r="4536" spans="1:17" x14ac:dyDescent="0.3">
      <c r="A4536" t="s">
        <v>4729</v>
      </c>
      <c r="B4536" t="str">
        <f>"300742"</f>
        <v>300742</v>
      </c>
      <c r="C4536" t="s">
        <v>9417</v>
      </c>
      <c r="D4536" t="s">
        <v>348</v>
      </c>
      <c r="F4536">
        <v>306735859</v>
      </c>
      <c r="G4536">
        <v>333545726</v>
      </c>
      <c r="H4536">
        <v>386966434</v>
      </c>
      <c r="I4536">
        <v>493313209</v>
      </c>
      <c r="J4536">
        <v>900068896</v>
      </c>
      <c r="K4536">
        <v>653517731</v>
      </c>
      <c r="L4536">
        <v>352274839</v>
      </c>
      <c r="P4536">
        <v>90</v>
      </c>
      <c r="Q4536" t="s">
        <v>9418</v>
      </c>
    </row>
    <row r="4537" spans="1:17" x14ac:dyDescent="0.3">
      <c r="A4537" t="s">
        <v>4729</v>
      </c>
      <c r="B4537" t="str">
        <f>"300743"</f>
        <v>300743</v>
      </c>
      <c r="C4537" t="s">
        <v>9419</v>
      </c>
      <c r="D4537" t="s">
        <v>236</v>
      </c>
      <c r="F4537">
        <v>541746017</v>
      </c>
      <c r="G4537">
        <v>420130954</v>
      </c>
      <c r="H4537">
        <v>415402536</v>
      </c>
      <c r="I4537">
        <v>405566055</v>
      </c>
      <c r="J4537">
        <v>376740525</v>
      </c>
      <c r="K4537">
        <v>339359649</v>
      </c>
      <c r="L4537">
        <v>312073327</v>
      </c>
      <c r="P4537">
        <v>54</v>
      </c>
      <c r="Q4537" t="s">
        <v>9420</v>
      </c>
    </row>
    <row r="4538" spans="1:17" x14ac:dyDescent="0.3">
      <c r="A4538" t="s">
        <v>4729</v>
      </c>
      <c r="B4538" t="str">
        <f>"300745"</f>
        <v>300745</v>
      </c>
      <c r="C4538" t="s">
        <v>9421</v>
      </c>
      <c r="D4538" t="s">
        <v>985</v>
      </c>
      <c r="F4538">
        <v>934523265</v>
      </c>
      <c r="G4538">
        <v>353696960</v>
      </c>
      <c r="H4538">
        <v>596468912</v>
      </c>
      <c r="I4538">
        <v>717061634</v>
      </c>
      <c r="J4538">
        <v>490665098</v>
      </c>
      <c r="K4538">
        <v>585277886</v>
      </c>
      <c r="L4538">
        <v>345598883</v>
      </c>
      <c r="P4538">
        <v>76</v>
      </c>
      <c r="Q4538" t="s">
        <v>9422</v>
      </c>
    </row>
    <row r="4539" spans="1:17" x14ac:dyDescent="0.3">
      <c r="A4539" t="s">
        <v>4729</v>
      </c>
      <c r="B4539" t="str">
        <f>"300746"</f>
        <v>300746</v>
      </c>
      <c r="C4539" t="s">
        <v>9423</v>
      </c>
      <c r="D4539" t="s">
        <v>1272</v>
      </c>
      <c r="F4539">
        <v>2801435701</v>
      </c>
      <c r="G4539">
        <v>2274450554</v>
      </c>
      <c r="H4539">
        <v>1180958301</v>
      </c>
      <c r="I4539">
        <v>944605917</v>
      </c>
      <c r="J4539">
        <v>726208061</v>
      </c>
      <c r="K4539">
        <v>501800182</v>
      </c>
      <c r="L4539">
        <v>494872805</v>
      </c>
      <c r="P4539">
        <v>66</v>
      </c>
      <c r="Q4539" t="s">
        <v>9424</v>
      </c>
    </row>
    <row r="4540" spans="1:17" x14ac:dyDescent="0.3">
      <c r="A4540" t="s">
        <v>4729</v>
      </c>
      <c r="B4540" t="str">
        <f>"300747"</f>
        <v>300747</v>
      </c>
      <c r="C4540" t="s">
        <v>9425</v>
      </c>
      <c r="D4540" t="s">
        <v>3811</v>
      </c>
      <c r="F4540">
        <v>3409579656</v>
      </c>
      <c r="G4540">
        <v>2316642513</v>
      </c>
      <c r="H4540">
        <v>2010159217</v>
      </c>
      <c r="I4540">
        <v>1462026641</v>
      </c>
      <c r="J4540">
        <v>951827215</v>
      </c>
      <c r="K4540">
        <v>522943117</v>
      </c>
      <c r="L4540">
        <v>312966265</v>
      </c>
      <c r="P4540">
        <v>3349</v>
      </c>
      <c r="Q4540" t="s">
        <v>9426</v>
      </c>
    </row>
    <row r="4541" spans="1:17" x14ac:dyDescent="0.3">
      <c r="A4541" t="s">
        <v>4729</v>
      </c>
      <c r="B4541" t="str">
        <f>"300748"</f>
        <v>300748</v>
      </c>
      <c r="C4541" t="s">
        <v>9427</v>
      </c>
      <c r="D4541" t="s">
        <v>808</v>
      </c>
      <c r="F4541">
        <v>4080072402</v>
      </c>
      <c r="G4541">
        <v>2417345831</v>
      </c>
      <c r="H4541">
        <v>1696838476</v>
      </c>
      <c r="I4541">
        <v>1289339875</v>
      </c>
      <c r="J4541">
        <v>912427221</v>
      </c>
      <c r="K4541">
        <v>806341462</v>
      </c>
      <c r="L4541">
        <v>834029074</v>
      </c>
      <c r="P4541">
        <v>343</v>
      </c>
      <c r="Q4541" t="s">
        <v>9428</v>
      </c>
    </row>
    <row r="4542" spans="1:17" x14ac:dyDescent="0.3">
      <c r="A4542" t="s">
        <v>4729</v>
      </c>
      <c r="B4542" t="str">
        <f>"300749"</f>
        <v>300749</v>
      </c>
      <c r="C4542" t="s">
        <v>9429</v>
      </c>
      <c r="D4542" t="s">
        <v>2664</v>
      </c>
      <c r="F4542">
        <v>1298276682</v>
      </c>
      <c r="G4542">
        <v>872392023</v>
      </c>
      <c r="H4542">
        <v>929728775</v>
      </c>
      <c r="I4542">
        <v>830658816</v>
      </c>
      <c r="J4542">
        <v>807567781</v>
      </c>
      <c r="K4542">
        <v>724836202</v>
      </c>
      <c r="L4542">
        <v>575678349</v>
      </c>
      <c r="P4542">
        <v>97</v>
      </c>
      <c r="Q4542" t="s">
        <v>9430</v>
      </c>
    </row>
    <row r="4543" spans="1:17" x14ac:dyDescent="0.3">
      <c r="A4543" t="s">
        <v>4729</v>
      </c>
      <c r="B4543" t="str">
        <f>"300750"</f>
        <v>300750</v>
      </c>
      <c r="C4543" t="s">
        <v>9431</v>
      </c>
      <c r="D4543" t="s">
        <v>359</v>
      </c>
      <c r="F4543">
        <v>130355796360</v>
      </c>
      <c r="G4543">
        <v>50319487697</v>
      </c>
      <c r="H4543">
        <v>45788020642</v>
      </c>
      <c r="I4543">
        <v>29611265434</v>
      </c>
      <c r="J4543">
        <v>19996860806</v>
      </c>
      <c r="K4543">
        <v>14878985098</v>
      </c>
      <c r="L4543">
        <v>5702884874</v>
      </c>
      <c r="P4543">
        <v>4826</v>
      </c>
      <c r="Q4543" t="s">
        <v>9432</v>
      </c>
    </row>
    <row r="4544" spans="1:17" x14ac:dyDescent="0.3">
      <c r="A4544" t="s">
        <v>4729</v>
      </c>
      <c r="B4544" t="str">
        <f>"300751"</f>
        <v>300751</v>
      </c>
      <c r="C4544" t="s">
        <v>9433</v>
      </c>
      <c r="D4544" t="s">
        <v>2671</v>
      </c>
      <c r="F4544">
        <v>3095391234</v>
      </c>
      <c r="G4544">
        <v>2285442724</v>
      </c>
      <c r="H4544">
        <v>1437708963</v>
      </c>
      <c r="I4544">
        <v>787861352</v>
      </c>
      <c r="J4544">
        <v>475919327</v>
      </c>
      <c r="K4544">
        <v>345295450</v>
      </c>
      <c r="L4544">
        <v>103846702</v>
      </c>
      <c r="P4544">
        <v>627</v>
      </c>
      <c r="Q4544" t="s">
        <v>9434</v>
      </c>
    </row>
    <row r="4545" spans="1:17" x14ac:dyDescent="0.3">
      <c r="A4545" t="s">
        <v>4729</v>
      </c>
      <c r="B4545" t="str">
        <f>"300752"</f>
        <v>300752</v>
      </c>
      <c r="C4545" t="s">
        <v>9435</v>
      </c>
      <c r="D4545" t="s">
        <v>803</v>
      </c>
      <c r="F4545">
        <v>1975929424</v>
      </c>
      <c r="G4545">
        <v>2012343286</v>
      </c>
      <c r="H4545">
        <v>1701423452</v>
      </c>
      <c r="I4545">
        <v>1550229841</v>
      </c>
      <c r="J4545">
        <v>908348325</v>
      </c>
      <c r="K4545">
        <v>646572254</v>
      </c>
      <c r="L4545">
        <v>357568483</v>
      </c>
      <c r="P4545">
        <v>140</v>
      </c>
      <c r="Q4545" t="s">
        <v>9436</v>
      </c>
    </row>
    <row r="4546" spans="1:17" x14ac:dyDescent="0.3">
      <c r="A4546" t="s">
        <v>4729</v>
      </c>
      <c r="B4546" t="str">
        <f>"300753"</f>
        <v>300753</v>
      </c>
      <c r="C4546" t="s">
        <v>9437</v>
      </c>
      <c r="D4546" t="s">
        <v>122</v>
      </c>
      <c r="F4546">
        <v>461210895</v>
      </c>
      <c r="G4546">
        <v>443076113</v>
      </c>
      <c r="H4546">
        <v>379647098</v>
      </c>
      <c r="I4546">
        <v>298033812</v>
      </c>
      <c r="J4546">
        <v>246922317</v>
      </c>
      <c r="K4546">
        <v>198301575</v>
      </c>
      <c r="L4546">
        <v>153515561</v>
      </c>
      <c r="P4546">
        <v>243</v>
      </c>
      <c r="Q4546" t="s">
        <v>9438</v>
      </c>
    </row>
    <row r="4547" spans="1:17" x14ac:dyDescent="0.3">
      <c r="A4547" t="s">
        <v>4729</v>
      </c>
      <c r="B4547" t="str">
        <f>"300755"</f>
        <v>300755</v>
      </c>
      <c r="C4547" t="s">
        <v>9439</v>
      </c>
      <c r="D4547" t="s">
        <v>295</v>
      </c>
      <c r="F4547">
        <v>7459995051</v>
      </c>
      <c r="G4547">
        <v>4941441556</v>
      </c>
      <c r="H4547">
        <v>3737888402</v>
      </c>
      <c r="I4547">
        <v>2720804230</v>
      </c>
      <c r="J4547">
        <v>2406518404</v>
      </c>
      <c r="K4547">
        <v>2184134247</v>
      </c>
      <c r="L4547">
        <v>1577567359</v>
      </c>
      <c r="P4547">
        <v>246</v>
      </c>
      <c r="Q4547" t="s">
        <v>9440</v>
      </c>
    </row>
    <row r="4548" spans="1:17" x14ac:dyDescent="0.3">
      <c r="A4548" t="s">
        <v>4729</v>
      </c>
      <c r="B4548" t="str">
        <f>"300756"</f>
        <v>300756</v>
      </c>
      <c r="C4548" t="s">
        <v>9441</v>
      </c>
      <c r="D4548" t="s">
        <v>2931</v>
      </c>
      <c r="F4548">
        <v>503894989</v>
      </c>
      <c r="G4548">
        <v>383010329</v>
      </c>
      <c r="H4548">
        <v>625278120</v>
      </c>
      <c r="I4548">
        <v>520461636</v>
      </c>
      <c r="J4548">
        <v>498150861</v>
      </c>
      <c r="K4548">
        <v>489128696</v>
      </c>
      <c r="L4548">
        <v>495656113</v>
      </c>
      <c r="P4548">
        <v>76</v>
      </c>
      <c r="Q4548" t="s">
        <v>9442</v>
      </c>
    </row>
    <row r="4549" spans="1:17" x14ac:dyDescent="0.3">
      <c r="A4549" t="s">
        <v>4729</v>
      </c>
      <c r="B4549" t="str">
        <f>"300757"</f>
        <v>300757</v>
      </c>
      <c r="C4549" t="s">
        <v>9443</v>
      </c>
      <c r="D4549" t="s">
        <v>3477</v>
      </c>
      <c r="F4549">
        <v>1085951106</v>
      </c>
      <c r="G4549">
        <v>528248972</v>
      </c>
      <c r="H4549">
        <v>981033596</v>
      </c>
      <c r="I4549">
        <v>658584896</v>
      </c>
      <c r="J4549">
        <v>428862173</v>
      </c>
      <c r="K4549">
        <v>297024281</v>
      </c>
      <c r="L4549">
        <v>117593365</v>
      </c>
      <c r="P4549">
        <v>76</v>
      </c>
      <c r="Q4549" t="s">
        <v>9444</v>
      </c>
    </row>
    <row r="4550" spans="1:17" x14ac:dyDescent="0.3">
      <c r="A4550" t="s">
        <v>4729</v>
      </c>
      <c r="B4550" t="str">
        <f>"300758"</f>
        <v>300758</v>
      </c>
      <c r="C4550" t="s">
        <v>9445</v>
      </c>
      <c r="D4550" t="s">
        <v>2585</v>
      </c>
      <c r="F4550">
        <v>1346896199</v>
      </c>
      <c r="G4550">
        <v>1008303495</v>
      </c>
      <c r="H4550">
        <v>694584855</v>
      </c>
      <c r="I4550">
        <v>610949404</v>
      </c>
      <c r="J4550">
        <v>552750259</v>
      </c>
      <c r="K4550">
        <v>441979885</v>
      </c>
      <c r="L4550">
        <v>369520048</v>
      </c>
      <c r="P4550">
        <v>104</v>
      </c>
      <c r="Q4550" t="s">
        <v>9446</v>
      </c>
    </row>
    <row r="4551" spans="1:17" x14ac:dyDescent="0.3">
      <c r="A4551" t="s">
        <v>4729</v>
      </c>
      <c r="B4551" t="str">
        <f>"300759"</f>
        <v>300759</v>
      </c>
      <c r="C4551" t="s">
        <v>9447</v>
      </c>
      <c r="D4551" t="s">
        <v>1461</v>
      </c>
      <c r="F4551">
        <v>7443769724</v>
      </c>
      <c r="G4551">
        <v>5133596759</v>
      </c>
      <c r="H4551">
        <v>3757160087</v>
      </c>
      <c r="I4551">
        <v>2908123034</v>
      </c>
      <c r="J4551">
        <v>2294118067</v>
      </c>
      <c r="K4551">
        <v>1634238680</v>
      </c>
      <c r="L4551">
        <v>1128037558</v>
      </c>
      <c r="P4551">
        <v>1079</v>
      </c>
      <c r="Q4551" t="s">
        <v>9448</v>
      </c>
    </row>
    <row r="4552" spans="1:17" x14ac:dyDescent="0.3">
      <c r="A4552" t="s">
        <v>4729</v>
      </c>
      <c r="B4552" t="str">
        <f>"300760"</f>
        <v>300760</v>
      </c>
      <c r="C4552" t="s">
        <v>9449</v>
      </c>
      <c r="D4552" t="s">
        <v>122</v>
      </c>
      <c r="F4552">
        <v>25269580818</v>
      </c>
      <c r="G4552">
        <v>21025846389</v>
      </c>
      <c r="H4552">
        <v>16555991314</v>
      </c>
      <c r="I4552">
        <v>13753357469</v>
      </c>
      <c r="J4552">
        <v>11173795364</v>
      </c>
      <c r="K4552">
        <v>9031723194</v>
      </c>
      <c r="L4552">
        <v>8013109726</v>
      </c>
      <c r="P4552">
        <v>4594</v>
      </c>
      <c r="Q4552" t="s">
        <v>9450</v>
      </c>
    </row>
    <row r="4553" spans="1:17" x14ac:dyDescent="0.3">
      <c r="A4553" t="s">
        <v>4729</v>
      </c>
      <c r="B4553" t="str">
        <f>"300761"</f>
        <v>300761</v>
      </c>
      <c r="C4553" t="s">
        <v>9451</v>
      </c>
      <c r="D4553" t="s">
        <v>6260</v>
      </c>
      <c r="F4553">
        <v>11131728139</v>
      </c>
      <c r="G4553">
        <v>8620966215</v>
      </c>
      <c r="H4553">
        <v>8870466583</v>
      </c>
      <c r="I4553">
        <v>7214329050</v>
      </c>
      <c r="J4553">
        <v>5931836115</v>
      </c>
      <c r="K4553">
        <v>5195117028</v>
      </c>
      <c r="L4553">
        <v>4409060626</v>
      </c>
      <c r="P4553">
        <v>369</v>
      </c>
      <c r="Q4553" t="s">
        <v>9452</v>
      </c>
    </row>
    <row r="4554" spans="1:17" x14ac:dyDescent="0.3">
      <c r="A4554" t="s">
        <v>4729</v>
      </c>
      <c r="B4554" t="str">
        <f>"300762"</f>
        <v>300762</v>
      </c>
      <c r="C4554" t="s">
        <v>9453</v>
      </c>
      <c r="D4554" t="s">
        <v>1136</v>
      </c>
      <c r="F4554">
        <v>729246956</v>
      </c>
      <c r="G4554">
        <v>640864105</v>
      </c>
      <c r="H4554">
        <v>545969895</v>
      </c>
      <c r="I4554">
        <v>425756799</v>
      </c>
      <c r="J4554">
        <v>386064942</v>
      </c>
      <c r="K4554">
        <v>368284656</v>
      </c>
      <c r="P4554">
        <v>181</v>
      </c>
      <c r="Q4554" t="s">
        <v>9454</v>
      </c>
    </row>
    <row r="4555" spans="1:17" x14ac:dyDescent="0.3">
      <c r="A4555" t="s">
        <v>4729</v>
      </c>
      <c r="B4555" t="str">
        <f>"300763"</f>
        <v>300763</v>
      </c>
      <c r="C4555" t="s">
        <v>9455</v>
      </c>
      <c r="D4555" t="s">
        <v>3824</v>
      </c>
      <c r="F4555">
        <v>3312414695</v>
      </c>
      <c r="G4555">
        <v>2084370708</v>
      </c>
      <c r="H4555">
        <v>1139115438</v>
      </c>
      <c r="I4555">
        <v>831384109</v>
      </c>
      <c r="J4555">
        <v>823481366</v>
      </c>
      <c r="K4555">
        <v>285766702</v>
      </c>
      <c r="P4555">
        <v>582</v>
      </c>
      <c r="Q4555" t="s">
        <v>9456</v>
      </c>
    </row>
    <row r="4556" spans="1:17" x14ac:dyDescent="0.3">
      <c r="A4556" t="s">
        <v>4729</v>
      </c>
      <c r="B4556" t="str">
        <f>"300765"</f>
        <v>300765</v>
      </c>
      <c r="C4556" t="s">
        <v>9457</v>
      </c>
      <c r="D4556" t="s">
        <v>496</v>
      </c>
      <c r="F4556">
        <v>1431987664</v>
      </c>
      <c r="G4556">
        <v>1317414122</v>
      </c>
      <c r="H4556">
        <v>1256502360</v>
      </c>
      <c r="I4556">
        <v>1240098691</v>
      </c>
      <c r="J4556">
        <v>1031180965</v>
      </c>
      <c r="K4556">
        <v>890477198</v>
      </c>
      <c r="P4556">
        <v>173</v>
      </c>
      <c r="Q4556" t="s">
        <v>9458</v>
      </c>
    </row>
    <row r="4557" spans="1:17" x14ac:dyDescent="0.3">
      <c r="A4557" t="s">
        <v>4729</v>
      </c>
      <c r="B4557" t="str">
        <f>"300766"</f>
        <v>300766</v>
      </c>
      <c r="C4557" t="s">
        <v>9459</v>
      </c>
      <c r="D4557" t="s">
        <v>1189</v>
      </c>
      <c r="F4557">
        <v>600533919</v>
      </c>
      <c r="G4557">
        <v>501441486</v>
      </c>
      <c r="H4557">
        <v>500871035</v>
      </c>
      <c r="I4557">
        <v>539308689</v>
      </c>
      <c r="J4557">
        <v>332970764</v>
      </c>
      <c r="K4557">
        <v>176908366</v>
      </c>
      <c r="P4557">
        <v>140</v>
      </c>
      <c r="Q4557" t="s">
        <v>9460</v>
      </c>
    </row>
    <row r="4558" spans="1:17" x14ac:dyDescent="0.3">
      <c r="A4558" t="s">
        <v>4729</v>
      </c>
      <c r="B4558" t="str">
        <f>"300767"</f>
        <v>300767</v>
      </c>
      <c r="C4558" t="s">
        <v>9461</v>
      </c>
      <c r="D4558" t="s">
        <v>2469</v>
      </c>
      <c r="F4558">
        <v>670326978</v>
      </c>
      <c r="G4558">
        <v>580490942</v>
      </c>
      <c r="H4558">
        <v>389193157</v>
      </c>
      <c r="I4558">
        <v>459337446</v>
      </c>
      <c r="J4558">
        <v>269519526</v>
      </c>
      <c r="K4558">
        <v>298234839</v>
      </c>
      <c r="P4558">
        <v>197</v>
      </c>
      <c r="Q4558" t="s">
        <v>9462</v>
      </c>
    </row>
    <row r="4559" spans="1:17" x14ac:dyDescent="0.3">
      <c r="A4559" t="s">
        <v>4729</v>
      </c>
      <c r="B4559" t="str">
        <f>"300768"</f>
        <v>300768</v>
      </c>
      <c r="C4559" t="s">
        <v>9463</v>
      </c>
      <c r="D4559" t="s">
        <v>1189</v>
      </c>
      <c r="F4559">
        <v>1030254535</v>
      </c>
      <c r="G4559">
        <v>891266648</v>
      </c>
      <c r="H4559">
        <v>803839207</v>
      </c>
      <c r="I4559">
        <v>704055617</v>
      </c>
      <c r="J4559">
        <v>616962972</v>
      </c>
      <c r="K4559">
        <v>532649151</v>
      </c>
      <c r="P4559">
        <v>240</v>
      </c>
      <c r="Q4559" t="s">
        <v>9464</v>
      </c>
    </row>
    <row r="4560" spans="1:17" x14ac:dyDescent="0.3">
      <c r="A4560" t="s">
        <v>4729</v>
      </c>
      <c r="B4560" t="str">
        <f>"300769"</f>
        <v>300769</v>
      </c>
      <c r="C4560" t="s">
        <v>9465</v>
      </c>
      <c r="D4560" t="s">
        <v>1790</v>
      </c>
      <c r="F4560">
        <v>4841878274</v>
      </c>
      <c r="G4560">
        <v>942128306</v>
      </c>
      <c r="H4560">
        <v>1054087723</v>
      </c>
      <c r="I4560">
        <v>1053649046</v>
      </c>
      <c r="J4560">
        <v>854851473</v>
      </c>
      <c r="K4560">
        <v>561657209</v>
      </c>
      <c r="P4560">
        <v>325</v>
      </c>
      <c r="Q4560" t="s">
        <v>9466</v>
      </c>
    </row>
    <row r="4561" spans="1:17" x14ac:dyDescent="0.3">
      <c r="A4561" t="s">
        <v>4729</v>
      </c>
      <c r="B4561" t="str">
        <f>"300770"</f>
        <v>300770</v>
      </c>
      <c r="C4561" t="s">
        <v>9467</v>
      </c>
      <c r="D4561" t="s">
        <v>95</v>
      </c>
      <c r="F4561">
        <v>1409053886</v>
      </c>
      <c r="G4561">
        <v>1220689479</v>
      </c>
      <c r="H4561">
        <v>995995780</v>
      </c>
      <c r="I4561">
        <v>643164089</v>
      </c>
      <c r="J4561">
        <v>445957894</v>
      </c>
      <c r="K4561">
        <v>304655168</v>
      </c>
      <c r="P4561">
        <v>634</v>
      </c>
      <c r="Q4561" t="s">
        <v>9468</v>
      </c>
    </row>
    <row r="4562" spans="1:17" x14ac:dyDescent="0.3">
      <c r="A4562" t="s">
        <v>4729</v>
      </c>
      <c r="B4562" t="str">
        <f>"300771"</f>
        <v>300771</v>
      </c>
      <c r="C4562" t="s">
        <v>9469</v>
      </c>
      <c r="D4562" t="s">
        <v>236</v>
      </c>
      <c r="F4562">
        <v>1257891243</v>
      </c>
      <c r="G4562">
        <v>1028183929</v>
      </c>
      <c r="H4562">
        <v>1045701121</v>
      </c>
      <c r="I4562">
        <v>888633538</v>
      </c>
      <c r="J4562">
        <v>546904765</v>
      </c>
      <c r="K4562">
        <v>411119153</v>
      </c>
      <c r="P4562">
        <v>229</v>
      </c>
      <c r="Q4562" t="s">
        <v>9470</v>
      </c>
    </row>
    <row r="4563" spans="1:17" x14ac:dyDescent="0.3">
      <c r="A4563" t="s">
        <v>4729</v>
      </c>
      <c r="B4563" t="str">
        <f>"300772"</f>
        <v>300772</v>
      </c>
      <c r="C4563" t="s">
        <v>9471</v>
      </c>
      <c r="D4563" t="s">
        <v>895</v>
      </c>
      <c r="F4563">
        <v>16040656115</v>
      </c>
      <c r="G4563">
        <v>11477859987</v>
      </c>
      <c r="H4563">
        <v>5010260787</v>
      </c>
      <c r="I4563">
        <v>3311767651</v>
      </c>
      <c r="J4563">
        <v>3257204159</v>
      </c>
      <c r="K4563">
        <v>3133954200</v>
      </c>
      <c r="P4563">
        <v>177</v>
      </c>
      <c r="Q4563" t="s">
        <v>9472</v>
      </c>
    </row>
    <row r="4564" spans="1:17" x14ac:dyDescent="0.3">
      <c r="A4564" t="s">
        <v>4729</v>
      </c>
      <c r="B4564" t="str">
        <f>"300773"</f>
        <v>300773</v>
      </c>
      <c r="C4564" t="s">
        <v>9473</v>
      </c>
      <c r="D4564" t="s">
        <v>6424</v>
      </c>
      <c r="F4564">
        <v>6596029958</v>
      </c>
      <c r="G4564">
        <v>5557375313</v>
      </c>
      <c r="H4564">
        <v>4899421582</v>
      </c>
      <c r="I4564">
        <v>5679411604</v>
      </c>
      <c r="J4564">
        <v>2785212372</v>
      </c>
      <c r="K4564">
        <v>2559966918</v>
      </c>
      <c r="P4564">
        <v>472</v>
      </c>
      <c r="Q4564" t="s">
        <v>9474</v>
      </c>
    </row>
    <row r="4565" spans="1:17" x14ac:dyDescent="0.3">
      <c r="A4565" t="s">
        <v>4729</v>
      </c>
      <c r="B4565" t="str">
        <f>"300774"</f>
        <v>300774</v>
      </c>
      <c r="C4565" t="s">
        <v>9475</v>
      </c>
      <c r="D4565" t="s">
        <v>33</v>
      </c>
      <c r="F4565">
        <v>712769872</v>
      </c>
      <c r="G4565">
        <v>580530379</v>
      </c>
      <c r="H4565">
        <v>475964857</v>
      </c>
      <c r="I4565">
        <v>400102858</v>
      </c>
      <c r="J4565">
        <v>391688690</v>
      </c>
      <c r="P4565">
        <v>24</v>
      </c>
      <c r="Q4565" t="s">
        <v>9476</v>
      </c>
    </row>
    <row r="4566" spans="1:17" x14ac:dyDescent="0.3">
      <c r="A4566" t="s">
        <v>4729</v>
      </c>
      <c r="B4566" t="str">
        <f>"300775"</f>
        <v>300775</v>
      </c>
      <c r="C4566" t="s">
        <v>9477</v>
      </c>
      <c r="D4566" t="s">
        <v>98</v>
      </c>
      <c r="F4566">
        <v>1172337523</v>
      </c>
      <c r="G4566">
        <v>614846283</v>
      </c>
      <c r="H4566">
        <v>613876365</v>
      </c>
      <c r="I4566">
        <v>465723212</v>
      </c>
      <c r="J4566">
        <v>374760035</v>
      </c>
      <c r="K4566">
        <v>298244763</v>
      </c>
      <c r="P4566">
        <v>188</v>
      </c>
      <c r="Q4566" t="s">
        <v>9478</v>
      </c>
    </row>
    <row r="4567" spans="1:17" x14ac:dyDescent="0.3">
      <c r="A4567" t="s">
        <v>4729</v>
      </c>
      <c r="B4567" t="str">
        <f>"300776"</f>
        <v>300776</v>
      </c>
      <c r="C4567" t="s">
        <v>9479</v>
      </c>
      <c r="D4567" t="s">
        <v>2671</v>
      </c>
      <c r="F4567">
        <v>1256791504</v>
      </c>
      <c r="G4567">
        <v>1072283270</v>
      </c>
      <c r="H4567">
        <v>699947912</v>
      </c>
      <c r="I4567">
        <v>364884232</v>
      </c>
      <c r="J4567">
        <v>165412631</v>
      </c>
      <c r="K4567">
        <v>76963727</v>
      </c>
      <c r="P4567">
        <v>399</v>
      </c>
      <c r="Q4567" t="s">
        <v>9480</v>
      </c>
    </row>
    <row r="4568" spans="1:17" x14ac:dyDescent="0.3">
      <c r="A4568" t="s">
        <v>4729</v>
      </c>
      <c r="B4568" t="str">
        <f>"300777"</f>
        <v>300777</v>
      </c>
      <c r="C4568" t="s">
        <v>9481</v>
      </c>
      <c r="D4568" t="s">
        <v>98</v>
      </c>
      <c r="F4568">
        <v>411791069</v>
      </c>
      <c r="G4568">
        <v>389515379</v>
      </c>
      <c r="H4568">
        <v>234454789</v>
      </c>
      <c r="I4568">
        <v>212600606</v>
      </c>
      <c r="J4568">
        <v>169063771</v>
      </c>
      <c r="K4568">
        <v>150416609</v>
      </c>
      <c r="P4568">
        <v>371</v>
      </c>
      <c r="Q4568" t="s">
        <v>9482</v>
      </c>
    </row>
    <row r="4569" spans="1:17" x14ac:dyDescent="0.3">
      <c r="A4569" t="s">
        <v>4729</v>
      </c>
      <c r="B4569" t="str">
        <f>"300778"</f>
        <v>300778</v>
      </c>
      <c r="C4569" t="s">
        <v>9483</v>
      </c>
      <c r="D4569" t="s">
        <v>1272</v>
      </c>
      <c r="F4569">
        <v>400800331</v>
      </c>
      <c r="G4569">
        <v>415615201</v>
      </c>
      <c r="H4569">
        <v>442284615</v>
      </c>
      <c r="I4569">
        <v>445533512</v>
      </c>
      <c r="J4569">
        <v>367655982</v>
      </c>
      <c r="K4569">
        <v>279544974</v>
      </c>
      <c r="P4569">
        <v>104</v>
      </c>
      <c r="Q4569" t="s">
        <v>9484</v>
      </c>
    </row>
    <row r="4570" spans="1:17" x14ac:dyDescent="0.3">
      <c r="A4570" t="s">
        <v>4729</v>
      </c>
      <c r="B4570" t="str">
        <f>"300779"</f>
        <v>300779</v>
      </c>
      <c r="C4570" t="s">
        <v>9485</v>
      </c>
      <c r="D4570" t="s">
        <v>499</v>
      </c>
      <c r="F4570">
        <v>284862177</v>
      </c>
      <c r="G4570">
        <v>323859660</v>
      </c>
      <c r="H4570">
        <v>343794748</v>
      </c>
      <c r="I4570">
        <v>343872382</v>
      </c>
      <c r="J4570">
        <v>266606999</v>
      </c>
      <c r="K4570">
        <v>194428149</v>
      </c>
      <c r="P4570">
        <v>62</v>
      </c>
      <c r="Q4570" t="s">
        <v>9486</v>
      </c>
    </row>
    <row r="4571" spans="1:17" x14ac:dyDescent="0.3">
      <c r="A4571" t="s">
        <v>4729</v>
      </c>
      <c r="B4571" t="str">
        <f>"300780"</f>
        <v>300780</v>
      </c>
      <c r="C4571" t="s">
        <v>9487</v>
      </c>
      <c r="D4571" t="s">
        <v>274</v>
      </c>
      <c r="F4571">
        <v>580102616</v>
      </c>
      <c r="G4571">
        <v>451325039</v>
      </c>
      <c r="H4571">
        <v>485166805</v>
      </c>
      <c r="I4571">
        <v>535625097</v>
      </c>
      <c r="J4571">
        <v>445617253</v>
      </c>
      <c r="K4571">
        <v>363495946</v>
      </c>
      <c r="P4571">
        <v>56</v>
      </c>
      <c r="Q4571" t="s">
        <v>9488</v>
      </c>
    </row>
    <row r="4572" spans="1:17" x14ac:dyDescent="0.3">
      <c r="A4572" t="s">
        <v>4729</v>
      </c>
      <c r="B4572" t="str">
        <f>"300781"</f>
        <v>300781</v>
      </c>
      <c r="C4572" t="s">
        <v>9489</v>
      </c>
      <c r="D4572" t="s">
        <v>207</v>
      </c>
      <c r="F4572">
        <v>624146372</v>
      </c>
      <c r="G4572">
        <v>319913844</v>
      </c>
      <c r="H4572">
        <v>392668485</v>
      </c>
      <c r="I4572">
        <v>423446336</v>
      </c>
      <c r="J4572">
        <v>333828700</v>
      </c>
      <c r="K4572">
        <v>298673821</v>
      </c>
      <c r="P4572">
        <v>100</v>
      </c>
      <c r="Q4572" t="s">
        <v>9490</v>
      </c>
    </row>
    <row r="4573" spans="1:17" x14ac:dyDescent="0.3">
      <c r="A4573" t="s">
        <v>4729</v>
      </c>
      <c r="B4573" t="str">
        <f>"300782"</f>
        <v>300782</v>
      </c>
      <c r="C4573" t="s">
        <v>9491</v>
      </c>
      <c r="D4573" t="s">
        <v>401</v>
      </c>
      <c r="F4573">
        <v>4633570866</v>
      </c>
      <c r="G4573">
        <v>2792147535</v>
      </c>
      <c r="H4573">
        <v>1512394554</v>
      </c>
      <c r="I4573">
        <v>560190021</v>
      </c>
      <c r="J4573">
        <v>591647369</v>
      </c>
      <c r="K4573">
        <v>385209284</v>
      </c>
      <c r="P4573">
        <v>1609</v>
      </c>
      <c r="Q4573" t="s">
        <v>9492</v>
      </c>
    </row>
    <row r="4574" spans="1:17" x14ac:dyDescent="0.3">
      <c r="A4574" t="s">
        <v>4729</v>
      </c>
      <c r="B4574" t="str">
        <f>"300783"</f>
        <v>300783</v>
      </c>
      <c r="C4574" t="s">
        <v>9493</v>
      </c>
      <c r="D4574" t="s">
        <v>3194</v>
      </c>
      <c r="F4574">
        <v>9770215329</v>
      </c>
      <c r="G4574">
        <v>9794123157</v>
      </c>
      <c r="H4574">
        <v>10173017103</v>
      </c>
      <c r="I4574">
        <v>7001167045</v>
      </c>
      <c r="J4574">
        <v>5554186617</v>
      </c>
      <c r="K4574">
        <v>4422696238</v>
      </c>
      <c r="P4574">
        <v>730</v>
      </c>
      <c r="Q4574" t="s">
        <v>9494</v>
      </c>
    </row>
    <row r="4575" spans="1:17" x14ac:dyDescent="0.3">
      <c r="A4575" t="s">
        <v>4729</v>
      </c>
      <c r="B4575" t="str">
        <f>"300785"</f>
        <v>300785</v>
      </c>
      <c r="C4575" t="s">
        <v>9495</v>
      </c>
      <c r="D4575" t="s">
        <v>522</v>
      </c>
      <c r="F4575">
        <v>1403140609</v>
      </c>
      <c r="G4575">
        <v>909566133</v>
      </c>
      <c r="H4575">
        <v>662029241</v>
      </c>
      <c r="I4575">
        <v>507593797</v>
      </c>
      <c r="J4575">
        <v>367004268</v>
      </c>
      <c r="K4575">
        <v>201159966</v>
      </c>
      <c r="P4575">
        <v>332</v>
      </c>
      <c r="Q4575" t="s">
        <v>9496</v>
      </c>
    </row>
    <row r="4576" spans="1:17" x14ac:dyDescent="0.3">
      <c r="A4576" t="s">
        <v>4729</v>
      </c>
      <c r="B4576" t="str">
        <f>"300786"</f>
        <v>300786</v>
      </c>
      <c r="C4576" t="s">
        <v>9497</v>
      </c>
      <c r="D4576" t="s">
        <v>1070</v>
      </c>
      <c r="F4576">
        <v>495588959</v>
      </c>
      <c r="G4576">
        <v>401578784</v>
      </c>
      <c r="H4576">
        <v>372747745</v>
      </c>
      <c r="I4576">
        <v>334774764</v>
      </c>
      <c r="J4576">
        <v>212803569</v>
      </c>
      <c r="K4576">
        <v>168799244</v>
      </c>
      <c r="P4576">
        <v>95</v>
      </c>
      <c r="Q4576" t="s">
        <v>9498</v>
      </c>
    </row>
    <row r="4577" spans="1:17" x14ac:dyDescent="0.3">
      <c r="A4577" t="s">
        <v>4729</v>
      </c>
      <c r="B4577" t="str">
        <f>"300787"</f>
        <v>300787</v>
      </c>
      <c r="C4577" t="s">
        <v>9499</v>
      </c>
      <c r="D4577" t="s">
        <v>313</v>
      </c>
      <c r="F4577">
        <v>2080331432</v>
      </c>
      <c r="G4577">
        <v>1565780291</v>
      </c>
      <c r="H4577">
        <v>1103595447</v>
      </c>
      <c r="I4577">
        <v>1130278375</v>
      </c>
      <c r="J4577">
        <v>895693112</v>
      </c>
      <c r="K4577">
        <v>684832629</v>
      </c>
      <c r="P4577">
        <v>87</v>
      </c>
      <c r="Q4577" t="s">
        <v>9500</v>
      </c>
    </row>
    <row r="4578" spans="1:17" x14ac:dyDescent="0.3">
      <c r="A4578" t="s">
        <v>4729</v>
      </c>
      <c r="B4578" t="str">
        <f>"300788"</f>
        <v>300788</v>
      </c>
      <c r="C4578" t="s">
        <v>9501</v>
      </c>
      <c r="D4578" t="s">
        <v>525</v>
      </c>
      <c r="F4578">
        <v>1922104554</v>
      </c>
      <c r="G4578">
        <v>1891756115</v>
      </c>
      <c r="H4578">
        <v>1888462430</v>
      </c>
      <c r="I4578">
        <v>1634203151</v>
      </c>
      <c r="J4578">
        <v>1271387430</v>
      </c>
      <c r="K4578">
        <v>977083509</v>
      </c>
      <c r="P4578">
        <v>347</v>
      </c>
      <c r="Q4578" t="s">
        <v>9502</v>
      </c>
    </row>
    <row r="4579" spans="1:17" x14ac:dyDescent="0.3">
      <c r="A4579" t="s">
        <v>4729</v>
      </c>
      <c r="B4579" t="str">
        <f>"300789"</f>
        <v>300789</v>
      </c>
      <c r="C4579" t="s">
        <v>9503</v>
      </c>
      <c r="D4579" t="s">
        <v>236</v>
      </c>
      <c r="F4579">
        <v>351841543</v>
      </c>
      <c r="G4579">
        <v>269024943</v>
      </c>
      <c r="H4579">
        <v>308757518</v>
      </c>
      <c r="I4579">
        <v>264614715</v>
      </c>
      <c r="J4579">
        <v>208126045</v>
      </c>
      <c r="K4579">
        <v>141040636</v>
      </c>
      <c r="P4579">
        <v>79</v>
      </c>
      <c r="Q4579" t="s">
        <v>9504</v>
      </c>
    </row>
    <row r="4580" spans="1:17" x14ac:dyDescent="0.3">
      <c r="A4580" t="s">
        <v>4729</v>
      </c>
      <c r="B4580" t="str">
        <f>"300790"</f>
        <v>300790</v>
      </c>
      <c r="C4580" t="s">
        <v>9505</v>
      </c>
      <c r="D4580" t="s">
        <v>2980</v>
      </c>
      <c r="F4580">
        <v>2061738934</v>
      </c>
      <c r="G4580">
        <v>1471470802</v>
      </c>
      <c r="H4580">
        <v>1231066880</v>
      </c>
      <c r="I4580">
        <v>997688907</v>
      </c>
      <c r="J4580">
        <v>770023186</v>
      </c>
      <c r="K4580">
        <v>581249251</v>
      </c>
      <c r="P4580">
        <v>160</v>
      </c>
      <c r="Q4580" t="s">
        <v>9506</v>
      </c>
    </row>
    <row r="4581" spans="1:17" x14ac:dyDescent="0.3">
      <c r="A4581" t="s">
        <v>4729</v>
      </c>
      <c r="B4581" t="str">
        <f>"300791"</f>
        <v>300791</v>
      </c>
      <c r="C4581" t="s">
        <v>9507</v>
      </c>
      <c r="D4581" t="s">
        <v>838</v>
      </c>
      <c r="F4581">
        <v>2368947617</v>
      </c>
      <c r="G4581">
        <v>2066817766</v>
      </c>
      <c r="H4581">
        <v>1579562259</v>
      </c>
      <c r="I4581">
        <v>1595399576</v>
      </c>
      <c r="J4581">
        <v>1330464879</v>
      </c>
      <c r="K4581">
        <v>786193684</v>
      </c>
      <c r="P4581">
        <v>286</v>
      </c>
      <c r="Q4581" t="s">
        <v>9508</v>
      </c>
    </row>
    <row r="4582" spans="1:17" x14ac:dyDescent="0.3">
      <c r="A4582" t="s">
        <v>4729</v>
      </c>
      <c r="B4582" t="str">
        <f>"300792"</f>
        <v>300792</v>
      </c>
      <c r="C4582" t="s">
        <v>9509</v>
      </c>
      <c r="D4582" t="s">
        <v>3617</v>
      </c>
      <c r="F4582">
        <v>1135069975</v>
      </c>
      <c r="G4582">
        <v>1298585134</v>
      </c>
      <c r="H4582">
        <v>1450821189</v>
      </c>
      <c r="I4582">
        <v>1012796032</v>
      </c>
      <c r="J4582">
        <v>704407372</v>
      </c>
      <c r="K4582">
        <v>507279546</v>
      </c>
      <c r="P4582">
        <v>369</v>
      </c>
      <c r="Q4582" t="s">
        <v>9510</v>
      </c>
    </row>
    <row r="4583" spans="1:17" x14ac:dyDescent="0.3">
      <c r="A4583" t="s">
        <v>4729</v>
      </c>
      <c r="B4583" t="str">
        <f>"300793"</f>
        <v>300793</v>
      </c>
      <c r="C4583" t="s">
        <v>9511</v>
      </c>
      <c r="D4583" t="s">
        <v>313</v>
      </c>
      <c r="F4583">
        <v>2733716446</v>
      </c>
      <c r="G4583">
        <v>2653350109</v>
      </c>
      <c r="H4583">
        <v>2257323514</v>
      </c>
      <c r="I4583">
        <v>1346991935</v>
      </c>
      <c r="J4583">
        <v>1218005829</v>
      </c>
      <c r="K4583">
        <v>831695176</v>
      </c>
      <c r="P4583">
        <v>144</v>
      </c>
      <c r="Q4583" t="s">
        <v>9512</v>
      </c>
    </row>
    <row r="4584" spans="1:17" x14ac:dyDescent="0.3">
      <c r="A4584" t="s">
        <v>4729</v>
      </c>
      <c r="B4584" t="str">
        <f>"300795"</f>
        <v>300795</v>
      </c>
      <c r="C4584" t="s">
        <v>9513</v>
      </c>
      <c r="D4584" t="s">
        <v>1673</v>
      </c>
      <c r="F4584">
        <v>181640931</v>
      </c>
      <c r="G4584">
        <v>94353305</v>
      </c>
      <c r="H4584">
        <v>425776378</v>
      </c>
      <c r="I4584">
        <v>436673477</v>
      </c>
      <c r="J4584">
        <v>421010488</v>
      </c>
      <c r="K4584">
        <v>332860130</v>
      </c>
      <c r="P4584">
        <v>109</v>
      </c>
      <c r="Q4584" t="s">
        <v>9514</v>
      </c>
    </row>
    <row r="4585" spans="1:17" x14ac:dyDescent="0.3">
      <c r="A4585" t="s">
        <v>4729</v>
      </c>
      <c r="B4585" t="str">
        <f>"300796"</f>
        <v>300796</v>
      </c>
      <c r="C4585" t="s">
        <v>9515</v>
      </c>
      <c r="D4585" t="s">
        <v>853</v>
      </c>
      <c r="F4585">
        <v>530016289</v>
      </c>
      <c r="G4585">
        <v>404543474</v>
      </c>
      <c r="H4585">
        <v>494091971</v>
      </c>
      <c r="I4585">
        <v>465221708</v>
      </c>
      <c r="J4585">
        <v>434176514</v>
      </c>
      <c r="K4585">
        <v>338011656</v>
      </c>
      <c r="P4585">
        <v>45</v>
      </c>
      <c r="Q4585" t="s">
        <v>9516</v>
      </c>
    </row>
    <row r="4586" spans="1:17" x14ac:dyDescent="0.3">
      <c r="A4586" t="s">
        <v>4729</v>
      </c>
      <c r="B4586" t="str">
        <f>"300797"</f>
        <v>300797</v>
      </c>
      <c r="C4586" t="s">
        <v>9517</v>
      </c>
      <c r="D4586" t="s">
        <v>110</v>
      </c>
      <c r="F4586">
        <v>701636126</v>
      </c>
      <c r="G4586">
        <v>585455069</v>
      </c>
      <c r="H4586">
        <v>546424734</v>
      </c>
      <c r="I4586">
        <v>505581343</v>
      </c>
      <c r="J4586">
        <v>398231848</v>
      </c>
      <c r="K4586">
        <v>370897332</v>
      </c>
      <c r="P4586">
        <v>67</v>
      </c>
      <c r="Q4586" t="s">
        <v>9518</v>
      </c>
    </row>
    <row r="4587" spans="1:17" x14ac:dyDescent="0.3">
      <c r="A4587" t="s">
        <v>4729</v>
      </c>
      <c r="B4587" t="str">
        <f>"300798"</f>
        <v>300798</v>
      </c>
      <c r="C4587" t="s">
        <v>9519</v>
      </c>
      <c r="D4587" t="s">
        <v>779</v>
      </c>
      <c r="F4587">
        <v>993470873</v>
      </c>
      <c r="G4587">
        <v>753586711</v>
      </c>
      <c r="H4587">
        <v>1124055460</v>
      </c>
      <c r="I4587">
        <v>1202322428</v>
      </c>
      <c r="J4587">
        <v>1068127129</v>
      </c>
      <c r="K4587">
        <v>1001023127</v>
      </c>
      <c r="P4587">
        <v>55</v>
      </c>
      <c r="Q4587" t="s">
        <v>9520</v>
      </c>
    </row>
    <row r="4588" spans="1:17" x14ac:dyDescent="0.3">
      <c r="A4588" t="s">
        <v>4729</v>
      </c>
      <c r="B4588" t="str">
        <f>"300799"</f>
        <v>300799</v>
      </c>
      <c r="C4588" t="s">
        <v>9521</v>
      </c>
      <c r="D4588" t="s">
        <v>1189</v>
      </c>
      <c r="F4588">
        <v>118348877</v>
      </c>
      <c r="G4588">
        <v>200721987</v>
      </c>
      <c r="H4588">
        <v>218765020</v>
      </c>
      <c r="I4588">
        <v>134243324</v>
      </c>
      <c r="J4588">
        <v>125656006</v>
      </c>
      <c r="K4588">
        <v>68632612</v>
      </c>
      <c r="P4588">
        <v>140</v>
      </c>
      <c r="Q4588" t="s">
        <v>9522</v>
      </c>
    </row>
    <row r="4589" spans="1:17" x14ac:dyDescent="0.3">
      <c r="A4589" t="s">
        <v>4729</v>
      </c>
      <c r="B4589" t="str">
        <f>"300800"</f>
        <v>300800</v>
      </c>
      <c r="C4589" t="s">
        <v>9523</v>
      </c>
      <c r="D4589" t="s">
        <v>1070</v>
      </c>
      <c r="F4589">
        <v>907815017</v>
      </c>
      <c r="G4589">
        <v>774353168</v>
      </c>
      <c r="H4589">
        <v>734470009</v>
      </c>
      <c r="I4589">
        <v>613378430</v>
      </c>
      <c r="J4589">
        <v>369369263</v>
      </c>
      <c r="K4589">
        <v>268062493</v>
      </c>
      <c r="P4589">
        <v>362</v>
      </c>
      <c r="Q4589" t="s">
        <v>9524</v>
      </c>
    </row>
    <row r="4590" spans="1:17" x14ac:dyDescent="0.3">
      <c r="A4590" t="s">
        <v>4729</v>
      </c>
      <c r="B4590" t="str">
        <f>"300801"</f>
        <v>300801</v>
      </c>
      <c r="C4590" t="s">
        <v>9525</v>
      </c>
      <c r="D4590" t="s">
        <v>386</v>
      </c>
      <c r="F4590">
        <v>2209112905</v>
      </c>
      <c r="G4590">
        <v>1528889651</v>
      </c>
      <c r="H4590">
        <v>1245221018</v>
      </c>
      <c r="I4590">
        <v>1244707552</v>
      </c>
      <c r="J4590">
        <v>1117528256</v>
      </c>
      <c r="K4590">
        <v>896852479</v>
      </c>
      <c r="P4590">
        <v>112</v>
      </c>
      <c r="Q4590" t="s">
        <v>9526</v>
      </c>
    </row>
    <row r="4591" spans="1:17" x14ac:dyDescent="0.3">
      <c r="A4591" t="s">
        <v>4729</v>
      </c>
      <c r="B4591" t="str">
        <f>"300802"</f>
        <v>300802</v>
      </c>
      <c r="C4591" t="s">
        <v>9527</v>
      </c>
      <c r="D4591" t="s">
        <v>3477</v>
      </c>
      <c r="F4591">
        <v>588029794</v>
      </c>
      <c r="G4591">
        <v>482255876</v>
      </c>
      <c r="H4591">
        <v>423247957</v>
      </c>
      <c r="I4591">
        <v>460405438</v>
      </c>
      <c r="J4591">
        <v>353189386</v>
      </c>
      <c r="K4591">
        <v>237806686</v>
      </c>
      <c r="P4591">
        <v>182</v>
      </c>
      <c r="Q4591" t="s">
        <v>9528</v>
      </c>
    </row>
    <row r="4592" spans="1:17" x14ac:dyDescent="0.3">
      <c r="A4592" t="s">
        <v>4729</v>
      </c>
      <c r="B4592" t="str">
        <f>"300803"</f>
        <v>300803</v>
      </c>
      <c r="C4592" t="s">
        <v>9529</v>
      </c>
      <c r="D4592" t="s">
        <v>945</v>
      </c>
      <c r="F4592">
        <v>932420978</v>
      </c>
      <c r="G4592">
        <v>692598184</v>
      </c>
      <c r="H4592">
        <v>622973286</v>
      </c>
      <c r="I4592">
        <v>577695680</v>
      </c>
      <c r="J4592">
        <v>669098740</v>
      </c>
      <c r="K4592">
        <v>571265331</v>
      </c>
      <c r="P4592">
        <v>194</v>
      </c>
      <c r="Q4592" t="s">
        <v>9530</v>
      </c>
    </row>
    <row r="4593" spans="1:17" x14ac:dyDescent="0.3">
      <c r="A4593" t="s">
        <v>4729</v>
      </c>
      <c r="B4593" t="str">
        <f>"300805"</f>
        <v>300805</v>
      </c>
      <c r="C4593" t="s">
        <v>9531</v>
      </c>
      <c r="D4593" t="s">
        <v>207</v>
      </c>
      <c r="F4593">
        <v>2846865179</v>
      </c>
      <c r="G4593">
        <v>3290636365</v>
      </c>
      <c r="H4593">
        <v>3235535963</v>
      </c>
      <c r="I4593">
        <v>2604942698</v>
      </c>
      <c r="J4593">
        <v>1850311216</v>
      </c>
      <c r="K4593">
        <v>1368128515</v>
      </c>
      <c r="P4593">
        <v>71</v>
      </c>
      <c r="Q4593" t="s">
        <v>9532</v>
      </c>
    </row>
    <row r="4594" spans="1:17" x14ac:dyDescent="0.3">
      <c r="A4594" t="s">
        <v>4729</v>
      </c>
      <c r="B4594" t="str">
        <f>"300806"</f>
        <v>300806</v>
      </c>
      <c r="C4594" t="s">
        <v>9533</v>
      </c>
      <c r="D4594" t="s">
        <v>324</v>
      </c>
      <c r="F4594">
        <v>1984158009</v>
      </c>
      <c r="G4594">
        <v>1539459205</v>
      </c>
      <c r="H4594">
        <v>1432695837</v>
      </c>
      <c r="I4594">
        <v>1345591765</v>
      </c>
      <c r="J4594">
        <v>1289142629</v>
      </c>
      <c r="K4594">
        <v>978641273</v>
      </c>
      <c r="P4594">
        <v>168</v>
      </c>
      <c r="Q4594" t="s">
        <v>9534</v>
      </c>
    </row>
    <row r="4595" spans="1:17" x14ac:dyDescent="0.3">
      <c r="A4595" t="s">
        <v>4729</v>
      </c>
      <c r="B4595" t="str">
        <f>"300807"</f>
        <v>300807</v>
      </c>
      <c r="C4595" t="s">
        <v>9535</v>
      </c>
      <c r="D4595" t="s">
        <v>236</v>
      </c>
      <c r="F4595">
        <v>232757525</v>
      </c>
      <c r="G4595">
        <v>216002483</v>
      </c>
      <c r="H4595">
        <v>468847179</v>
      </c>
      <c r="I4595">
        <v>365343580</v>
      </c>
      <c r="J4595">
        <v>325104847</v>
      </c>
      <c r="K4595">
        <v>259963813</v>
      </c>
      <c r="P4595">
        <v>103</v>
      </c>
      <c r="Q4595" t="s">
        <v>9536</v>
      </c>
    </row>
    <row r="4596" spans="1:17" x14ac:dyDescent="0.3">
      <c r="A4596" t="s">
        <v>4729</v>
      </c>
      <c r="B4596" t="str">
        <f>"300808"</f>
        <v>300808</v>
      </c>
      <c r="C4596" t="s">
        <v>9537</v>
      </c>
      <c r="D4596" t="s">
        <v>803</v>
      </c>
      <c r="F4596">
        <v>628877958</v>
      </c>
      <c r="G4596">
        <v>705548042</v>
      </c>
      <c r="H4596">
        <v>879602396</v>
      </c>
      <c r="I4596">
        <v>867574820</v>
      </c>
      <c r="J4596">
        <v>864338971</v>
      </c>
      <c r="K4596">
        <v>893646907</v>
      </c>
      <c r="P4596">
        <v>55</v>
      </c>
      <c r="Q4596" t="s">
        <v>9538</v>
      </c>
    </row>
    <row r="4597" spans="1:17" x14ac:dyDescent="0.3">
      <c r="A4597" t="s">
        <v>4729</v>
      </c>
      <c r="B4597" t="str">
        <f>"300809"</f>
        <v>300809</v>
      </c>
      <c r="C4597" t="s">
        <v>9539</v>
      </c>
      <c r="D4597" t="s">
        <v>2321</v>
      </c>
      <c r="F4597">
        <v>409455131</v>
      </c>
      <c r="G4597">
        <v>230639810</v>
      </c>
      <c r="H4597">
        <v>424957758</v>
      </c>
      <c r="I4597">
        <v>401492847</v>
      </c>
      <c r="J4597">
        <v>250873104</v>
      </c>
      <c r="K4597">
        <v>202846545</v>
      </c>
      <c r="P4597">
        <v>110</v>
      </c>
      <c r="Q4597" t="s">
        <v>9540</v>
      </c>
    </row>
    <row r="4598" spans="1:17" x14ac:dyDescent="0.3">
      <c r="A4598" t="s">
        <v>4729</v>
      </c>
      <c r="B4598" t="str">
        <f>"300810"</f>
        <v>300810</v>
      </c>
      <c r="C4598" t="s">
        <v>9541</v>
      </c>
      <c r="D4598" t="s">
        <v>167</v>
      </c>
      <c r="F4598">
        <v>202240423</v>
      </c>
      <c r="G4598">
        <v>125155641</v>
      </c>
      <c r="H4598">
        <v>241367322</v>
      </c>
      <c r="I4598">
        <v>298311769</v>
      </c>
      <c r="J4598">
        <v>212674102</v>
      </c>
      <c r="K4598">
        <v>132458680</v>
      </c>
      <c r="P4598">
        <v>57</v>
      </c>
      <c r="Q4598" t="s">
        <v>9542</v>
      </c>
    </row>
    <row r="4599" spans="1:17" x14ac:dyDescent="0.3">
      <c r="A4599" t="s">
        <v>4729</v>
      </c>
      <c r="B4599" t="str">
        <f>"300811"</f>
        <v>300811</v>
      </c>
      <c r="C4599" t="s">
        <v>9543</v>
      </c>
      <c r="D4599" t="s">
        <v>808</v>
      </c>
      <c r="F4599">
        <v>725889061</v>
      </c>
      <c r="G4599">
        <v>496826092</v>
      </c>
      <c r="H4599">
        <v>402543323</v>
      </c>
      <c r="I4599">
        <v>324169441</v>
      </c>
      <c r="J4599">
        <v>339055532</v>
      </c>
      <c r="K4599">
        <v>228738691</v>
      </c>
      <c r="P4599">
        <v>163</v>
      </c>
      <c r="Q4599" t="s">
        <v>9544</v>
      </c>
    </row>
    <row r="4600" spans="1:17" x14ac:dyDescent="0.3">
      <c r="A4600" t="s">
        <v>4729</v>
      </c>
      <c r="B4600" t="str">
        <f>"300812"</f>
        <v>300812</v>
      </c>
      <c r="C4600" t="s">
        <v>9545</v>
      </c>
      <c r="D4600" t="s">
        <v>3187</v>
      </c>
      <c r="F4600">
        <v>483873028</v>
      </c>
      <c r="G4600">
        <v>430278601</v>
      </c>
      <c r="H4600">
        <v>488980035</v>
      </c>
      <c r="I4600">
        <v>431524210</v>
      </c>
      <c r="J4600">
        <v>294106483</v>
      </c>
      <c r="K4600">
        <v>228138778</v>
      </c>
      <c r="P4600">
        <v>111</v>
      </c>
      <c r="Q4600" t="s">
        <v>9546</v>
      </c>
    </row>
    <row r="4601" spans="1:17" x14ac:dyDescent="0.3">
      <c r="A4601" t="s">
        <v>4729</v>
      </c>
      <c r="B4601" t="str">
        <f>"300813"</f>
        <v>300813</v>
      </c>
      <c r="C4601" t="s">
        <v>9547</v>
      </c>
      <c r="D4601" t="s">
        <v>741</v>
      </c>
      <c r="F4601">
        <v>283248491</v>
      </c>
      <c r="G4601">
        <v>200237532</v>
      </c>
      <c r="H4601">
        <v>180928328</v>
      </c>
      <c r="I4601">
        <v>159097741</v>
      </c>
      <c r="J4601">
        <v>142018123</v>
      </c>
      <c r="K4601">
        <v>111760610</v>
      </c>
      <c r="P4601">
        <v>106</v>
      </c>
      <c r="Q4601" t="s">
        <v>9548</v>
      </c>
    </row>
    <row r="4602" spans="1:17" x14ac:dyDescent="0.3">
      <c r="A4602" t="s">
        <v>4729</v>
      </c>
      <c r="B4602" t="str">
        <f>"300814"</f>
        <v>300814</v>
      </c>
      <c r="C4602" t="s">
        <v>9549</v>
      </c>
      <c r="D4602" t="s">
        <v>425</v>
      </c>
      <c r="F4602">
        <v>1440351928</v>
      </c>
      <c r="G4602">
        <v>1082031027</v>
      </c>
      <c r="H4602">
        <v>1116595142</v>
      </c>
      <c r="I4602">
        <v>868419864</v>
      </c>
      <c r="J4602">
        <v>759928037</v>
      </c>
      <c r="P4602">
        <v>14</v>
      </c>
      <c r="Q4602" t="s">
        <v>9550</v>
      </c>
    </row>
    <row r="4603" spans="1:17" x14ac:dyDescent="0.3">
      <c r="A4603" t="s">
        <v>4729</v>
      </c>
      <c r="B4603" t="str">
        <f>"300815"</f>
        <v>300815</v>
      </c>
      <c r="C4603" t="s">
        <v>9551</v>
      </c>
      <c r="D4603" t="s">
        <v>499</v>
      </c>
      <c r="F4603">
        <v>4833627585</v>
      </c>
      <c r="G4603">
        <v>4315219469</v>
      </c>
      <c r="H4603">
        <v>3594582013</v>
      </c>
      <c r="I4603">
        <v>2816367648</v>
      </c>
      <c r="J4603">
        <v>2151975742</v>
      </c>
      <c r="K4603">
        <v>1547078856</v>
      </c>
      <c r="P4603">
        <v>345</v>
      </c>
      <c r="Q4603" t="s">
        <v>9552</v>
      </c>
    </row>
    <row r="4604" spans="1:17" x14ac:dyDescent="0.3">
      <c r="A4604" t="s">
        <v>4729</v>
      </c>
      <c r="B4604" t="str">
        <f>"300816"</f>
        <v>300816</v>
      </c>
      <c r="C4604" t="s">
        <v>9553</v>
      </c>
      <c r="D4604" t="s">
        <v>985</v>
      </c>
      <c r="F4604">
        <v>866146210</v>
      </c>
      <c r="G4604">
        <v>677108940</v>
      </c>
      <c r="H4604">
        <v>565979162</v>
      </c>
      <c r="I4604">
        <v>445249157</v>
      </c>
      <c r="J4604">
        <v>372940496</v>
      </c>
      <c r="K4604">
        <v>152526402</v>
      </c>
      <c r="P4604">
        <v>150</v>
      </c>
      <c r="Q4604" t="s">
        <v>9554</v>
      </c>
    </row>
    <row r="4605" spans="1:17" x14ac:dyDescent="0.3">
      <c r="A4605" t="s">
        <v>4729</v>
      </c>
      <c r="B4605" t="str">
        <f>"300817"</f>
        <v>300817</v>
      </c>
      <c r="C4605" t="s">
        <v>9555</v>
      </c>
      <c r="D4605" t="s">
        <v>274</v>
      </c>
      <c r="F4605">
        <v>908425867</v>
      </c>
      <c r="G4605">
        <v>624880958</v>
      </c>
      <c r="H4605">
        <v>529584726</v>
      </c>
      <c r="I4605">
        <v>578217997</v>
      </c>
      <c r="J4605">
        <v>531887181</v>
      </c>
      <c r="K4605">
        <v>364263811</v>
      </c>
      <c r="P4605">
        <v>63</v>
      </c>
      <c r="Q4605" t="s">
        <v>9556</v>
      </c>
    </row>
    <row r="4606" spans="1:17" x14ac:dyDescent="0.3">
      <c r="A4606" t="s">
        <v>4729</v>
      </c>
      <c r="B4606" t="str">
        <f>"300818"</f>
        <v>300818</v>
      </c>
      <c r="C4606" t="s">
        <v>9557</v>
      </c>
      <c r="D4606" t="s">
        <v>404</v>
      </c>
      <c r="F4606">
        <v>1053025265</v>
      </c>
      <c r="G4606">
        <v>368147995</v>
      </c>
      <c r="H4606">
        <v>349209451</v>
      </c>
      <c r="I4606">
        <v>326027447</v>
      </c>
      <c r="J4606">
        <v>276319980</v>
      </c>
      <c r="K4606">
        <v>215502367</v>
      </c>
      <c r="P4606">
        <v>92</v>
      </c>
      <c r="Q4606" t="s">
        <v>9558</v>
      </c>
    </row>
    <row r="4607" spans="1:17" x14ac:dyDescent="0.3">
      <c r="A4607" t="s">
        <v>4729</v>
      </c>
      <c r="B4607" t="str">
        <f>"300819"</f>
        <v>300819</v>
      </c>
      <c r="C4607" t="s">
        <v>9559</v>
      </c>
      <c r="D4607" t="s">
        <v>366</v>
      </c>
      <c r="F4607">
        <v>480329633</v>
      </c>
      <c r="G4607">
        <v>347602064</v>
      </c>
      <c r="H4607">
        <v>498407381</v>
      </c>
      <c r="I4607">
        <v>462337633</v>
      </c>
      <c r="J4607">
        <v>433377980</v>
      </c>
      <c r="K4607">
        <v>421794026</v>
      </c>
      <c r="P4607">
        <v>50</v>
      </c>
      <c r="Q4607" t="s">
        <v>9560</v>
      </c>
    </row>
    <row r="4608" spans="1:17" x14ac:dyDescent="0.3">
      <c r="A4608" t="s">
        <v>4729</v>
      </c>
      <c r="B4608" t="str">
        <f>"300820"</f>
        <v>300820</v>
      </c>
      <c r="C4608" t="s">
        <v>9561</v>
      </c>
      <c r="D4608" t="s">
        <v>880</v>
      </c>
      <c r="F4608">
        <v>659956402</v>
      </c>
      <c r="G4608">
        <v>420704838</v>
      </c>
      <c r="H4608">
        <v>443012630</v>
      </c>
      <c r="I4608">
        <v>410197321</v>
      </c>
      <c r="J4608">
        <v>277205957</v>
      </c>
      <c r="K4608">
        <v>174186296</v>
      </c>
      <c r="P4608">
        <v>369</v>
      </c>
      <c r="Q4608" t="s">
        <v>9562</v>
      </c>
    </row>
    <row r="4609" spans="1:17" x14ac:dyDescent="0.3">
      <c r="A4609" t="s">
        <v>4729</v>
      </c>
      <c r="B4609" t="str">
        <f>"300821"</f>
        <v>300821</v>
      </c>
      <c r="C4609" t="s">
        <v>9563</v>
      </c>
      <c r="D4609" t="s">
        <v>1205</v>
      </c>
      <c r="F4609">
        <v>4333219121</v>
      </c>
      <c r="G4609">
        <v>2503320491</v>
      </c>
      <c r="H4609">
        <v>2733150962</v>
      </c>
      <c r="I4609">
        <v>3400872616</v>
      </c>
      <c r="J4609">
        <v>2440853674</v>
      </c>
      <c r="P4609">
        <v>159</v>
      </c>
      <c r="Q4609" t="s">
        <v>9564</v>
      </c>
    </row>
    <row r="4610" spans="1:17" x14ac:dyDescent="0.3">
      <c r="A4610" t="s">
        <v>4729</v>
      </c>
      <c r="B4610" t="str">
        <f>"300822"</f>
        <v>300822</v>
      </c>
      <c r="C4610" t="s">
        <v>9565</v>
      </c>
      <c r="D4610" t="s">
        <v>313</v>
      </c>
      <c r="F4610">
        <v>1080977195</v>
      </c>
      <c r="G4610">
        <v>885805410</v>
      </c>
      <c r="H4610">
        <v>736991200</v>
      </c>
      <c r="I4610">
        <v>558742658</v>
      </c>
      <c r="J4610">
        <v>472716636</v>
      </c>
      <c r="P4610">
        <v>131</v>
      </c>
      <c r="Q4610" t="s">
        <v>9566</v>
      </c>
    </row>
    <row r="4611" spans="1:17" x14ac:dyDescent="0.3">
      <c r="A4611" t="s">
        <v>4729</v>
      </c>
      <c r="B4611" t="str">
        <f>"300823"</f>
        <v>300823</v>
      </c>
      <c r="C4611" t="s">
        <v>9567</v>
      </c>
      <c r="D4611" t="s">
        <v>741</v>
      </c>
      <c r="F4611">
        <v>481160687</v>
      </c>
      <c r="G4611">
        <v>466178216</v>
      </c>
      <c r="H4611">
        <v>475105965</v>
      </c>
      <c r="I4611">
        <v>452656010</v>
      </c>
      <c r="J4611">
        <v>392387296</v>
      </c>
      <c r="P4611">
        <v>109</v>
      </c>
      <c r="Q4611" t="s">
        <v>9568</v>
      </c>
    </row>
    <row r="4612" spans="1:17" x14ac:dyDescent="0.3">
      <c r="A4612" t="s">
        <v>4729</v>
      </c>
      <c r="B4612" t="str">
        <f>"300824"</f>
        <v>300824</v>
      </c>
      <c r="C4612" t="s">
        <v>9569</v>
      </c>
      <c r="D4612" t="s">
        <v>5799</v>
      </c>
      <c r="F4612">
        <v>846913165</v>
      </c>
      <c r="G4612">
        <v>700875387</v>
      </c>
      <c r="H4612">
        <v>551151210</v>
      </c>
      <c r="I4612">
        <v>606694722</v>
      </c>
      <c r="J4612">
        <v>530018398</v>
      </c>
      <c r="K4612">
        <v>488669755</v>
      </c>
      <c r="P4612">
        <v>167</v>
      </c>
      <c r="Q4612" t="s">
        <v>9570</v>
      </c>
    </row>
    <row r="4613" spans="1:17" x14ac:dyDescent="0.3">
      <c r="A4613" t="s">
        <v>4729</v>
      </c>
      <c r="B4613" t="str">
        <f>"300825"</f>
        <v>300825</v>
      </c>
      <c r="C4613" t="s">
        <v>9571</v>
      </c>
      <c r="D4613" t="s">
        <v>2368</v>
      </c>
      <c r="F4613">
        <v>1272277552</v>
      </c>
      <c r="G4613">
        <v>821045369</v>
      </c>
      <c r="H4613">
        <v>885410404</v>
      </c>
      <c r="I4613">
        <v>794607784</v>
      </c>
      <c r="J4613">
        <v>540627270</v>
      </c>
      <c r="P4613">
        <v>92</v>
      </c>
      <c r="Q4613" t="s">
        <v>9572</v>
      </c>
    </row>
    <row r="4614" spans="1:17" x14ac:dyDescent="0.3">
      <c r="A4614" t="s">
        <v>4729</v>
      </c>
      <c r="B4614" t="str">
        <f>"300826"</f>
        <v>300826</v>
      </c>
      <c r="C4614" t="s">
        <v>9573</v>
      </c>
      <c r="D4614" t="s">
        <v>1272</v>
      </c>
      <c r="F4614">
        <v>763630967</v>
      </c>
      <c r="G4614">
        <v>543332435</v>
      </c>
      <c r="H4614">
        <v>512645085</v>
      </c>
      <c r="I4614">
        <v>475085563</v>
      </c>
      <c r="J4614">
        <v>393585623</v>
      </c>
      <c r="P4614">
        <v>61</v>
      </c>
      <c r="Q4614" t="s">
        <v>9574</v>
      </c>
    </row>
    <row r="4615" spans="1:17" x14ac:dyDescent="0.3">
      <c r="A4615" t="s">
        <v>4729</v>
      </c>
      <c r="B4615" t="str">
        <f>"300827"</f>
        <v>300827</v>
      </c>
      <c r="C4615" t="s">
        <v>9575</v>
      </c>
      <c r="D4615" t="s">
        <v>3824</v>
      </c>
      <c r="F4615">
        <v>1092374266</v>
      </c>
      <c r="G4615">
        <v>1004012686</v>
      </c>
      <c r="H4615">
        <v>922648707</v>
      </c>
      <c r="I4615">
        <v>846724455</v>
      </c>
      <c r="J4615">
        <v>683510012</v>
      </c>
      <c r="P4615">
        <v>233</v>
      </c>
      <c r="Q4615" t="s">
        <v>9576</v>
      </c>
    </row>
    <row r="4616" spans="1:17" x14ac:dyDescent="0.3">
      <c r="A4616" t="s">
        <v>4729</v>
      </c>
      <c r="B4616" t="str">
        <f>"300828"</f>
        <v>300828</v>
      </c>
      <c r="C4616" t="s">
        <v>9577</v>
      </c>
      <c r="D4616" t="s">
        <v>274</v>
      </c>
      <c r="F4616">
        <v>574503922</v>
      </c>
      <c r="G4616">
        <v>368479414</v>
      </c>
      <c r="H4616">
        <v>333808077</v>
      </c>
      <c r="I4616">
        <v>362122188</v>
      </c>
      <c r="J4616">
        <v>299395003</v>
      </c>
      <c r="P4616">
        <v>91</v>
      </c>
      <c r="Q4616" t="s">
        <v>9578</v>
      </c>
    </row>
    <row r="4617" spans="1:17" x14ac:dyDescent="0.3">
      <c r="A4617" t="s">
        <v>4729</v>
      </c>
      <c r="B4617" t="str">
        <f>"300829"</f>
        <v>300829</v>
      </c>
      <c r="C4617" t="s">
        <v>9579</v>
      </c>
      <c r="D4617" t="s">
        <v>677</v>
      </c>
      <c r="F4617">
        <v>1438361303</v>
      </c>
      <c r="G4617">
        <v>1027255392</v>
      </c>
      <c r="H4617">
        <v>878107137</v>
      </c>
      <c r="I4617">
        <v>802023098</v>
      </c>
      <c r="J4617">
        <v>652394153</v>
      </c>
      <c r="P4617">
        <v>125</v>
      </c>
      <c r="Q4617" t="s">
        <v>9580</v>
      </c>
    </row>
    <row r="4618" spans="1:17" x14ac:dyDescent="0.3">
      <c r="A4618" t="s">
        <v>4729</v>
      </c>
      <c r="B4618" t="str">
        <f>"300830"</f>
        <v>300830</v>
      </c>
      <c r="C4618" t="s">
        <v>9581</v>
      </c>
      <c r="D4618" t="s">
        <v>945</v>
      </c>
      <c r="F4618">
        <v>599447758</v>
      </c>
      <c r="G4618">
        <v>493929481</v>
      </c>
      <c r="H4618">
        <v>460607697</v>
      </c>
      <c r="I4618">
        <v>405575361</v>
      </c>
      <c r="J4618">
        <v>349452649</v>
      </c>
      <c r="K4618">
        <v>288463893</v>
      </c>
      <c r="P4618">
        <v>74</v>
      </c>
      <c r="Q4618" t="s">
        <v>9582</v>
      </c>
    </row>
    <row r="4619" spans="1:17" x14ac:dyDescent="0.3">
      <c r="A4619" t="s">
        <v>4729</v>
      </c>
      <c r="B4619" t="str">
        <f>"300831"</f>
        <v>300831</v>
      </c>
      <c r="C4619" t="s">
        <v>9583</v>
      </c>
      <c r="D4619" t="s">
        <v>795</v>
      </c>
      <c r="F4619">
        <v>178183021</v>
      </c>
      <c r="G4619">
        <v>121534653</v>
      </c>
      <c r="H4619">
        <v>234084126</v>
      </c>
      <c r="I4619">
        <v>247624296</v>
      </c>
      <c r="J4619">
        <v>316901970</v>
      </c>
      <c r="P4619">
        <v>129</v>
      </c>
      <c r="Q4619" t="s">
        <v>9584</v>
      </c>
    </row>
    <row r="4620" spans="1:17" x14ac:dyDescent="0.3">
      <c r="A4620" t="s">
        <v>4729</v>
      </c>
      <c r="B4620" t="str">
        <f>"300832"</f>
        <v>300832</v>
      </c>
      <c r="C4620" t="s">
        <v>9585</v>
      </c>
      <c r="D4620" t="s">
        <v>1305</v>
      </c>
      <c r="F4620">
        <v>2545415316</v>
      </c>
      <c r="G4620">
        <v>2194966537</v>
      </c>
      <c r="H4620">
        <v>1681588076</v>
      </c>
      <c r="I4620">
        <v>1383610984</v>
      </c>
      <c r="J4620">
        <v>1140564742</v>
      </c>
      <c r="P4620">
        <v>513</v>
      </c>
      <c r="Q4620" t="s">
        <v>9586</v>
      </c>
    </row>
    <row r="4621" spans="1:17" x14ac:dyDescent="0.3">
      <c r="A4621" t="s">
        <v>4729</v>
      </c>
      <c r="B4621" t="str">
        <f>"300833"</f>
        <v>300833</v>
      </c>
      <c r="C4621" t="s">
        <v>9587</v>
      </c>
      <c r="D4621" t="s">
        <v>741</v>
      </c>
      <c r="F4621">
        <v>618139522</v>
      </c>
      <c r="G4621">
        <v>399686013</v>
      </c>
      <c r="H4621">
        <v>845061468</v>
      </c>
      <c r="I4621">
        <v>686396050</v>
      </c>
      <c r="J4621">
        <v>579084406</v>
      </c>
      <c r="P4621">
        <v>89</v>
      </c>
      <c r="Q4621" t="s">
        <v>9588</v>
      </c>
    </row>
    <row r="4622" spans="1:17" x14ac:dyDescent="0.3">
      <c r="A4622" t="s">
        <v>4729</v>
      </c>
      <c r="B4622" t="str">
        <f>"300834"</f>
        <v>300834</v>
      </c>
      <c r="C4622" t="s">
        <v>9589</v>
      </c>
      <c r="D4622" t="s">
        <v>3377</v>
      </c>
      <c r="F4622">
        <v>1975789805</v>
      </c>
      <c r="G4622">
        <v>1311148565</v>
      </c>
      <c r="H4622">
        <v>1214542533</v>
      </c>
      <c r="I4622">
        <v>1401864683</v>
      </c>
      <c r="J4622">
        <v>1257726785</v>
      </c>
      <c r="P4622">
        <v>19</v>
      </c>
      <c r="Q4622" t="s">
        <v>9590</v>
      </c>
    </row>
    <row r="4623" spans="1:17" x14ac:dyDescent="0.3">
      <c r="A4623" t="s">
        <v>4729</v>
      </c>
      <c r="B4623" t="str">
        <f>"300835"</f>
        <v>300835</v>
      </c>
      <c r="C4623" t="s">
        <v>9591</v>
      </c>
      <c r="D4623" t="s">
        <v>808</v>
      </c>
      <c r="F4623">
        <v>804674516</v>
      </c>
      <c r="G4623">
        <v>559133255</v>
      </c>
      <c r="H4623">
        <v>551016954</v>
      </c>
      <c r="I4623">
        <v>531238637</v>
      </c>
      <c r="J4623">
        <v>502598729</v>
      </c>
      <c r="P4623">
        <v>67</v>
      </c>
      <c r="Q4623" t="s">
        <v>9592</v>
      </c>
    </row>
    <row r="4624" spans="1:17" x14ac:dyDescent="0.3">
      <c r="A4624" t="s">
        <v>4729</v>
      </c>
      <c r="B4624" t="str">
        <f>"300836"</f>
        <v>300836</v>
      </c>
      <c r="C4624" t="s">
        <v>9593</v>
      </c>
      <c r="D4624" t="s">
        <v>741</v>
      </c>
      <c r="F4624">
        <v>417541812</v>
      </c>
      <c r="G4624">
        <v>336942338</v>
      </c>
      <c r="H4624">
        <v>421881254</v>
      </c>
      <c r="I4624">
        <v>343720001</v>
      </c>
      <c r="J4624">
        <v>248696550</v>
      </c>
      <c r="P4624">
        <v>61</v>
      </c>
      <c r="Q4624" t="s">
        <v>9594</v>
      </c>
    </row>
    <row r="4625" spans="1:17" x14ac:dyDescent="0.3">
      <c r="A4625" t="s">
        <v>4729</v>
      </c>
      <c r="B4625" t="str">
        <f>"300837"</f>
        <v>300837</v>
      </c>
      <c r="C4625" t="s">
        <v>9595</v>
      </c>
      <c r="D4625" t="s">
        <v>395</v>
      </c>
      <c r="F4625">
        <v>573251296</v>
      </c>
      <c r="G4625">
        <v>462823177</v>
      </c>
      <c r="H4625">
        <v>369395459</v>
      </c>
      <c r="I4625">
        <v>296489646</v>
      </c>
      <c r="J4625">
        <v>225146787</v>
      </c>
      <c r="P4625">
        <v>154</v>
      </c>
      <c r="Q4625" t="s">
        <v>9596</v>
      </c>
    </row>
    <row r="4626" spans="1:17" x14ac:dyDescent="0.3">
      <c r="A4626" t="s">
        <v>4729</v>
      </c>
      <c r="B4626" t="str">
        <f>"300838"</f>
        <v>300838</v>
      </c>
      <c r="C4626" t="s">
        <v>9597</v>
      </c>
      <c r="D4626" t="s">
        <v>274</v>
      </c>
      <c r="F4626">
        <v>688359533</v>
      </c>
      <c r="G4626">
        <v>469768362</v>
      </c>
      <c r="H4626">
        <v>452446430</v>
      </c>
      <c r="I4626">
        <v>455926964</v>
      </c>
      <c r="J4626">
        <v>301495507</v>
      </c>
      <c r="P4626">
        <v>39</v>
      </c>
      <c r="Q4626" t="s">
        <v>9598</v>
      </c>
    </row>
    <row r="4627" spans="1:17" x14ac:dyDescent="0.3">
      <c r="A4627" t="s">
        <v>4729</v>
      </c>
      <c r="B4627" t="str">
        <f>"300839"</f>
        <v>300839</v>
      </c>
      <c r="C4627" t="s">
        <v>9599</v>
      </c>
      <c r="D4627" t="s">
        <v>1617</v>
      </c>
      <c r="F4627">
        <v>1458112813</v>
      </c>
      <c r="G4627">
        <v>972286470</v>
      </c>
      <c r="H4627">
        <v>827164516</v>
      </c>
      <c r="I4627">
        <v>582199307</v>
      </c>
      <c r="J4627">
        <v>361817775</v>
      </c>
      <c r="P4627">
        <v>58</v>
      </c>
      <c r="Q4627" t="s">
        <v>9600</v>
      </c>
    </row>
    <row r="4628" spans="1:17" x14ac:dyDescent="0.3">
      <c r="A4628" t="s">
        <v>4729</v>
      </c>
      <c r="B4628" t="str">
        <f>"300840"</f>
        <v>300840</v>
      </c>
      <c r="C4628" t="s">
        <v>9601</v>
      </c>
      <c r="D4628" t="s">
        <v>255</v>
      </c>
      <c r="F4628">
        <v>592953402</v>
      </c>
      <c r="G4628">
        <v>625794503</v>
      </c>
      <c r="H4628">
        <v>535143605</v>
      </c>
      <c r="I4628">
        <v>590618892</v>
      </c>
      <c r="J4628">
        <v>583663837</v>
      </c>
      <c r="K4628">
        <v>419555665</v>
      </c>
      <c r="P4628">
        <v>64</v>
      </c>
      <c r="Q4628" t="s">
        <v>9602</v>
      </c>
    </row>
    <row r="4629" spans="1:17" x14ac:dyDescent="0.3">
      <c r="A4629" t="s">
        <v>4729</v>
      </c>
      <c r="B4629" t="str">
        <f>"300841"</f>
        <v>300841</v>
      </c>
      <c r="C4629" t="s">
        <v>9603</v>
      </c>
      <c r="D4629" t="s">
        <v>1499</v>
      </c>
      <c r="F4629">
        <v>1292447991</v>
      </c>
      <c r="G4629">
        <v>1038636033</v>
      </c>
      <c r="H4629">
        <v>554636646</v>
      </c>
      <c r="I4629">
        <v>559467534</v>
      </c>
      <c r="J4629">
        <v>261930181</v>
      </c>
      <c r="K4629">
        <v>92916354</v>
      </c>
      <c r="P4629">
        <v>314</v>
      </c>
      <c r="Q4629" t="s">
        <v>9604</v>
      </c>
    </row>
    <row r="4630" spans="1:17" x14ac:dyDescent="0.3">
      <c r="A4630" t="s">
        <v>4729</v>
      </c>
      <c r="B4630" t="str">
        <f>"300842"</f>
        <v>300842</v>
      </c>
      <c r="C4630" t="s">
        <v>9605</v>
      </c>
      <c r="D4630" t="s">
        <v>478</v>
      </c>
      <c r="F4630">
        <v>2814456026</v>
      </c>
      <c r="G4630">
        <v>1581544560</v>
      </c>
      <c r="H4630">
        <v>1299421610</v>
      </c>
      <c r="I4630">
        <v>831714742</v>
      </c>
      <c r="J4630">
        <v>893910184</v>
      </c>
      <c r="K4630">
        <v>293129930</v>
      </c>
      <c r="P4630">
        <v>130</v>
      </c>
      <c r="Q4630" t="s">
        <v>9606</v>
      </c>
    </row>
    <row r="4631" spans="1:17" x14ac:dyDescent="0.3">
      <c r="A4631" t="s">
        <v>4729</v>
      </c>
      <c r="B4631" t="str">
        <f>"300843"</f>
        <v>300843</v>
      </c>
      <c r="C4631" t="s">
        <v>9607</v>
      </c>
      <c r="D4631" t="s">
        <v>313</v>
      </c>
      <c r="F4631">
        <v>1302801246</v>
      </c>
      <c r="G4631">
        <v>914842786</v>
      </c>
      <c r="H4631">
        <v>724386682</v>
      </c>
      <c r="I4631">
        <v>645270541</v>
      </c>
      <c r="J4631">
        <v>459839482</v>
      </c>
      <c r="K4631">
        <v>420728841</v>
      </c>
      <c r="P4631">
        <v>80</v>
      </c>
      <c r="Q4631" t="s">
        <v>9608</v>
      </c>
    </row>
    <row r="4632" spans="1:17" x14ac:dyDescent="0.3">
      <c r="A4632" t="s">
        <v>4729</v>
      </c>
      <c r="B4632" t="str">
        <f>"300844"</f>
        <v>300844</v>
      </c>
      <c r="C4632" t="s">
        <v>9609</v>
      </c>
      <c r="D4632" t="s">
        <v>1272</v>
      </c>
      <c r="F4632">
        <v>589742221</v>
      </c>
      <c r="G4632">
        <v>490214757</v>
      </c>
      <c r="H4632">
        <v>400487800</v>
      </c>
      <c r="I4632">
        <v>287445067</v>
      </c>
      <c r="J4632">
        <v>188573858</v>
      </c>
      <c r="P4632">
        <v>16</v>
      </c>
      <c r="Q4632" t="s">
        <v>9610</v>
      </c>
    </row>
    <row r="4633" spans="1:17" x14ac:dyDescent="0.3">
      <c r="A4633" t="s">
        <v>4729</v>
      </c>
      <c r="B4633" t="str">
        <f>"300845"</f>
        <v>300845</v>
      </c>
      <c r="C4633" t="s">
        <v>9611</v>
      </c>
      <c r="D4633" t="s">
        <v>236</v>
      </c>
      <c r="F4633">
        <v>268167425</v>
      </c>
      <c r="G4633">
        <v>285981118</v>
      </c>
      <c r="H4633">
        <v>315130195</v>
      </c>
      <c r="I4633">
        <v>269367592</v>
      </c>
      <c r="J4633">
        <v>217177083</v>
      </c>
      <c r="K4633">
        <v>159685268</v>
      </c>
      <c r="P4633">
        <v>83</v>
      </c>
      <c r="Q4633" t="s">
        <v>9612</v>
      </c>
    </row>
    <row r="4634" spans="1:17" x14ac:dyDescent="0.3">
      <c r="A4634" t="s">
        <v>4729</v>
      </c>
      <c r="B4634" t="str">
        <f>"300846"</f>
        <v>300846</v>
      </c>
      <c r="C4634" t="s">
        <v>9613</v>
      </c>
      <c r="D4634" t="s">
        <v>316</v>
      </c>
      <c r="F4634">
        <v>1220371178</v>
      </c>
      <c r="G4634">
        <v>1008550402</v>
      </c>
      <c r="H4634">
        <v>739059012</v>
      </c>
      <c r="I4634">
        <v>603110487</v>
      </c>
      <c r="J4634">
        <v>481500070</v>
      </c>
      <c r="K4634">
        <v>361946100</v>
      </c>
      <c r="P4634">
        <v>78</v>
      </c>
      <c r="Q4634" t="s">
        <v>9614</v>
      </c>
    </row>
    <row r="4635" spans="1:17" x14ac:dyDescent="0.3">
      <c r="A4635" t="s">
        <v>4729</v>
      </c>
      <c r="B4635" t="str">
        <f>"300847"</f>
        <v>300847</v>
      </c>
      <c r="C4635" t="s">
        <v>9615</v>
      </c>
      <c r="D4635" t="s">
        <v>386</v>
      </c>
      <c r="F4635">
        <v>1005741850</v>
      </c>
      <c r="G4635">
        <v>874295202</v>
      </c>
      <c r="H4635">
        <v>815662570</v>
      </c>
      <c r="I4635">
        <v>694377300</v>
      </c>
      <c r="J4635">
        <v>639589482</v>
      </c>
      <c r="K4635">
        <v>532310719</v>
      </c>
      <c r="P4635">
        <v>53</v>
      </c>
      <c r="Q4635" t="s">
        <v>9616</v>
      </c>
    </row>
    <row r="4636" spans="1:17" x14ac:dyDescent="0.3">
      <c r="A4636" t="s">
        <v>4729</v>
      </c>
      <c r="B4636" t="str">
        <f>"300848"</f>
        <v>300848</v>
      </c>
      <c r="C4636" t="s">
        <v>9617</v>
      </c>
      <c r="D4636" t="s">
        <v>528</v>
      </c>
      <c r="F4636">
        <v>1297752752</v>
      </c>
      <c r="G4636">
        <v>756861545</v>
      </c>
      <c r="H4636">
        <v>648518070</v>
      </c>
      <c r="I4636">
        <v>591604995</v>
      </c>
      <c r="J4636">
        <v>526374924</v>
      </c>
      <c r="K4636">
        <v>334511944</v>
      </c>
      <c r="P4636">
        <v>125</v>
      </c>
      <c r="Q4636" t="s">
        <v>9618</v>
      </c>
    </row>
    <row r="4637" spans="1:17" x14ac:dyDescent="0.3">
      <c r="A4637" t="s">
        <v>4729</v>
      </c>
      <c r="B4637" t="str">
        <f>"300849"</f>
        <v>300849</v>
      </c>
      <c r="C4637" t="s">
        <v>9619</v>
      </c>
      <c r="D4637" t="s">
        <v>5979</v>
      </c>
      <c r="F4637">
        <v>293159462</v>
      </c>
      <c r="G4637">
        <v>259561794</v>
      </c>
      <c r="H4637">
        <v>342879254</v>
      </c>
      <c r="I4637">
        <v>360642585</v>
      </c>
      <c r="J4637">
        <v>300596228</v>
      </c>
      <c r="K4637">
        <v>289400298</v>
      </c>
      <c r="P4637">
        <v>44</v>
      </c>
      <c r="Q4637" t="s">
        <v>9620</v>
      </c>
    </row>
    <row r="4638" spans="1:17" x14ac:dyDescent="0.3">
      <c r="A4638" t="s">
        <v>4729</v>
      </c>
      <c r="B4638" t="str">
        <f>"300850"</f>
        <v>300850</v>
      </c>
      <c r="C4638" t="s">
        <v>9621</v>
      </c>
      <c r="D4638" t="s">
        <v>950</v>
      </c>
      <c r="F4638">
        <v>2476874367</v>
      </c>
      <c r="G4638">
        <v>2064401044</v>
      </c>
      <c r="H4638">
        <v>643096990</v>
      </c>
      <c r="I4638">
        <v>457128238</v>
      </c>
      <c r="J4638">
        <v>370577814</v>
      </c>
      <c r="K4638">
        <v>355478511</v>
      </c>
      <c r="P4638">
        <v>264</v>
      </c>
      <c r="Q4638" t="s">
        <v>9622</v>
      </c>
    </row>
    <row r="4639" spans="1:17" x14ac:dyDescent="0.3">
      <c r="A4639" t="s">
        <v>4729</v>
      </c>
      <c r="B4639" t="str">
        <f>"300851"</f>
        <v>300851</v>
      </c>
      <c r="C4639" t="s">
        <v>9623</v>
      </c>
      <c r="D4639" t="s">
        <v>1012</v>
      </c>
      <c r="F4639">
        <v>362276798</v>
      </c>
      <c r="G4639">
        <v>358920304</v>
      </c>
      <c r="H4639">
        <v>344180021</v>
      </c>
      <c r="I4639">
        <v>305033141</v>
      </c>
      <c r="J4639">
        <v>241921939</v>
      </c>
      <c r="K4639">
        <v>241840395</v>
      </c>
      <c r="P4639">
        <v>45</v>
      </c>
      <c r="Q4639" t="s">
        <v>9624</v>
      </c>
    </row>
    <row r="4640" spans="1:17" x14ac:dyDescent="0.3">
      <c r="A4640" t="s">
        <v>4729</v>
      </c>
      <c r="B4640" t="str">
        <f>"300852"</f>
        <v>300852</v>
      </c>
      <c r="C4640" t="s">
        <v>9625</v>
      </c>
      <c r="D4640" t="s">
        <v>425</v>
      </c>
      <c r="F4640">
        <v>1049691389</v>
      </c>
      <c r="G4640">
        <v>650210428</v>
      </c>
      <c r="H4640">
        <v>479159813</v>
      </c>
      <c r="I4640">
        <v>370278900</v>
      </c>
      <c r="J4640">
        <v>298681508</v>
      </c>
      <c r="K4640">
        <v>210068988</v>
      </c>
      <c r="P4640">
        <v>103</v>
      </c>
      <c r="Q4640" t="s">
        <v>9626</v>
      </c>
    </row>
    <row r="4641" spans="1:17" x14ac:dyDescent="0.3">
      <c r="A4641" t="s">
        <v>4729</v>
      </c>
      <c r="B4641" t="str">
        <f>"300853"</f>
        <v>300853</v>
      </c>
      <c r="C4641" t="s">
        <v>9627</v>
      </c>
      <c r="D4641" t="s">
        <v>2938</v>
      </c>
      <c r="F4641">
        <v>769336968</v>
      </c>
      <c r="G4641">
        <v>611550469</v>
      </c>
      <c r="H4641">
        <v>404528888</v>
      </c>
      <c r="I4641">
        <v>361175864</v>
      </c>
      <c r="J4641">
        <v>282704425</v>
      </c>
      <c r="K4641">
        <v>193564968</v>
      </c>
      <c r="P4641">
        <v>142</v>
      </c>
      <c r="Q4641" t="s">
        <v>9628</v>
      </c>
    </row>
    <row r="4642" spans="1:17" x14ac:dyDescent="0.3">
      <c r="A4642" t="s">
        <v>4729</v>
      </c>
      <c r="B4642" t="str">
        <f>"300854"</f>
        <v>300854</v>
      </c>
      <c r="C4642" t="s">
        <v>9629</v>
      </c>
      <c r="D4642" t="s">
        <v>499</v>
      </c>
      <c r="F4642">
        <v>698880445</v>
      </c>
      <c r="G4642">
        <v>688559234</v>
      </c>
      <c r="H4642">
        <v>684051757</v>
      </c>
      <c r="I4642">
        <v>392548327</v>
      </c>
      <c r="J4642">
        <v>313907718</v>
      </c>
      <c r="P4642">
        <v>19</v>
      </c>
      <c r="Q4642" t="s">
        <v>9630</v>
      </c>
    </row>
    <row r="4643" spans="1:17" x14ac:dyDescent="0.3">
      <c r="A4643" t="s">
        <v>4729</v>
      </c>
      <c r="B4643" t="str">
        <f>"300855"</f>
        <v>300855</v>
      </c>
      <c r="C4643" t="s">
        <v>9631</v>
      </c>
      <c r="D4643" t="s">
        <v>581</v>
      </c>
      <c r="F4643">
        <v>697865455</v>
      </c>
      <c r="G4643">
        <v>546340730</v>
      </c>
      <c r="H4643">
        <v>484188159</v>
      </c>
      <c r="I4643">
        <v>434087022</v>
      </c>
      <c r="J4643">
        <v>344902826</v>
      </c>
      <c r="K4643">
        <v>306620513</v>
      </c>
      <c r="P4643">
        <v>139</v>
      </c>
      <c r="Q4643" t="s">
        <v>9632</v>
      </c>
    </row>
    <row r="4644" spans="1:17" x14ac:dyDescent="0.3">
      <c r="A4644" t="s">
        <v>4729</v>
      </c>
      <c r="B4644" t="str">
        <f>"300856"</f>
        <v>300856</v>
      </c>
      <c r="C4644" t="s">
        <v>9633</v>
      </c>
      <c r="D4644" t="s">
        <v>5979</v>
      </c>
      <c r="F4644">
        <v>1090416662</v>
      </c>
      <c r="G4644">
        <v>1008469365</v>
      </c>
      <c r="H4644">
        <v>1100355768</v>
      </c>
      <c r="I4644">
        <v>971826064</v>
      </c>
      <c r="J4644">
        <v>710968764</v>
      </c>
      <c r="K4644">
        <v>608687578</v>
      </c>
      <c r="P4644">
        <v>132</v>
      </c>
      <c r="Q4644" t="s">
        <v>9634</v>
      </c>
    </row>
    <row r="4645" spans="1:17" x14ac:dyDescent="0.3">
      <c r="A4645" t="s">
        <v>4729</v>
      </c>
      <c r="B4645" t="str">
        <f>"300857"</f>
        <v>300857</v>
      </c>
      <c r="C4645" t="s">
        <v>9635</v>
      </c>
      <c r="D4645" t="s">
        <v>313</v>
      </c>
      <c r="F4645">
        <v>2959893174</v>
      </c>
      <c r="G4645">
        <v>2249013028</v>
      </c>
      <c r="H4645">
        <v>1555976300</v>
      </c>
      <c r="I4645">
        <v>1178311244</v>
      </c>
      <c r="J4645">
        <v>1152695363</v>
      </c>
      <c r="K4645">
        <v>839152282</v>
      </c>
      <c r="P4645">
        <v>59</v>
      </c>
      <c r="Q4645" t="s">
        <v>9636</v>
      </c>
    </row>
    <row r="4646" spans="1:17" x14ac:dyDescent="0.3">
      <c r="A4646" t="s">
        <v>4729</v>
      </c>
      <c r="B4646" t="str">
        <f>"300858"</f>
        <v>300858</v>
      </c>
      <c r="C4646" t="s">
        <v>9637</v>
      </c>
      <c r="D4646" t="s">
        <v>677</v>
      </c>
      <c r="F4646">
        <v>364617516</v>
      </c>
      <c r="G4646">
        <v>339158888</v>
      </c>
      <c r="H4646">
        <v>308098956</v>
      </c>
      <c r="I4646">
        <v>317896513</v>
      </c>
      <c r="J4646">
        <v>283755959</v>
      </c>
      <c r="P4646">
        <v>75</v>
      </c>
      <c r="Q4646" t="s">
        <v>9638</v>
      </c>
    </row>
    <row r="4647" spans="1:17" x14ac:dyDescent="0.3">
      <c r="A4647" t="s">
        <v>4729</v>
      </c>
      <c r="B4647" t="str">
        <f>"300859"</f>
        <v>300859</v>
      </c>
      <c r="C4647" t="s">
        <v>9639</v>
      </c>
      <c r="D4647" t="s">
        <v>119</v>
      </c>
      <c r="F4647">
        <v>149448023</v>
      </c>
      <c r="G4647">
        <v>51187080</v>
      </c>
      <c r="H4647">
        <v>240956462</v>
      </c>
      <c r="I4647">
        <v>192287481</v>
      </c>
      <c r="J4647">
        <v>193946179</v>
      </c>
      <c r="K4647">
        <v>187791988</v>
      </c>
      <c r="L4647">
        <v>173602461</v>
      </c>
      <c r="P4647">
        <v>69</v>
      </c>
      <c r="Q4647" t="s">
        <v>9640</v>
      </c>
    </row>
    <row r="4648" spans="1:17" x14ac:dyDescent="0.3">
      <c r="A4648" t="s">
        <v>4729</v>
      </c>
      <c r="B4648" t="str">
        <f>"300860"</f>
        <v>300860</v>
      </c>
      <c r="C4648" t="s">
        <v>9641</v>
      </c>
      <c r="D4648" t="s">
        <v>1673</v>
      </c>
      <c r="F4648">
        <v>466742053</v>
      </c>
      <c r="G4648">
        <v>983895055</v>
      </c>
      <c r="H4648">
        <v>912126929</v>
      </c>
      <c r="I4648">
        <v>572712422</v>
      </c>
      <c r="J4648">
        <v>206249449</v>
      </c>
      <c r="K4648">
        <v>142027938</v>
      </c>
      <c r="L4648">
        <v>75035775</v>
      </c>
      <c r="P4648">
        <v>95</v>
      </c>
      <c r="Q4648" t="s">
        <v>9642</v>
      </c>
    </row>
    <row r="4649" spans="1:17" x14ac:dyDescent="0.3">
      <c r="A4649" t="s">
        <v>4729</v>
      </c>
      <c r="B4649" t="str">
        <f>"300861"</f>
        <v>300861</v>
      </c>
      <c r="C4649" t="s">
        <v>9643</v>
      </c>
      <c r="D4649" t="s">
        <v>404</v>
      </c>
      <c r="F4649">
        <v>1847652275</v>
      </c>
      <c r="G4649">
        <v>1205320762</v>
      </c>
      <c r="H4649">
        <v>1193293374</v>
      </c>
      <c r="I4649">
        <v>2157858048</v>
      </c>
      <c r="J4649">
        <v>1242136615</v>
      </c>
      <c r="K4649">
        <v>184574800</v>
      </c>
      <c r="P4649">
        <v>147</v>
      </c>
      <c r="Q4649" t="s">
        <v>9644</v>
      </c>
    </row>
    <row r="4650" spans="1:17" x14ac:dyDescent="0.3">
      <c r="A4650" t="s">
        <v>4729</v>
      </c>
      <c r="B4650" t="str">
        <f>"300862"</f>
        <v>300862</v>
      </c>
      <c r="C4650" t="s">
        <v>9645</v>
      </c>
      <c r="D4650" t="s">
        <v>2566</v>
      </c>
      <c r="F4650">
        <v>866504065</v>
      </c>
      <c r="G4650">
        <v>714567892</v>
      </c>
      <c r="H4650">
        <v>778245553</v>
      </c>
      <c r="I4650">
        <v>639551266</v>
      </c>
      <c r="J4650">
        <v>493990772</v>
      </c>
      <c r="K4650">
        <v>442942406</v>
      </c>
      <c r="P4650">
        <v>68</v>
      </c>
      <c r="Q4650" t="s">
        <v>9646</v>
      </c>
    </row>
    <row r="4651" spans="1:17" x14ac:dyDescent="0.3">
      <c r="A4651" t="s">
        <v>4729</v>
      </c>
      <c r="B4651" t="str">
        <f>"300863"</f>
        <v>300863</v>
      </c>
      <c r="C4651" t="s">
        <v>9647</v>
      </c>
      <c r="D4651" t="s">
        <v>1415</v>
      </c>
      <c r="F4651">
        <v>2267907936</v>
      </c>
      <c r="G4651">
        <v>1263873144</v>
      </c>
      <c r="H4651">
        <v>913121311</v>
      </c>
      <c r="I4651">
        <v>1068263477</v>
      </c>
      <c r="J4651">
        <v>992141286</v>
      </c>
      <c r="K4651">
        <v>703547976</v>
      </c>
      <c r="P4651">
        <v>75</v>
      </c>
      <c r="Q4651" t="s">
        <v>9648</v>
      </c>
    </row>
    <row r="4652" spans="1:17" x14ac:dyDescent="0.3">
      <c r="A4652" t="s">
        <v>4729</v>
      </c>
      <c r="B4652" t="str">
        <f>"300864"</f>
        <v>300864</v>
      </c>
      <c r="C4652" t="s">
        <v>9649</v>
      </c>
      <c r="D4652" t="s">
        <v>3575</v>
      </c>
      <c r="F4652">
        <v>518674842</v>
      </c>
      <c r="G4652">
        <v>483508741</v>
      </c>
      <c r="H4652">
        <v>423454925</v>
      </c>
      <c r="I4652">
        <v>308911512</v>
      </c>
      <c r="J4652">
        <v>186802747</v>
      </c>
      <c r="K4652">
        <v>99555300</v>
      </c>
      <c r="P4652">
        <v>121</v>
      </c>
      <c r="Q4652" t="s">
        <v>9650</v>
      </c>
    </row>
    <row r="4653" spans="1:17" x14ac:dyDescent="0.3">
      <c r="A4653" t="s">
        <v>4729</v>
      </c>
      <c r="B4653" t="str">
        <f>"300865"</f>
        <v>300865</v>
      </c>
      <c r="C4653" t="s">
        <v>9651</v>
      </c>
      <c r="D4653" t="s">
        <v>395</v>
      </c>
      <c r="F4653">
        <v>694279096</v>
      </c>
      <c r="G4653">
        <v>606807623</v>
      </c>
      <c r="H4653">
        <v>528197555</v>
      </c>
      <c r="I4653">
        <v>428357227</v>
      </c>
      <c r="J4653">
        <v>322719124</v>
      </c>
      <c r="K4653">
        <v>228154679</v>
      </c>
      <c r="P4653">
        <v>43</v>
      </c>
      <c r="Q4653" t="s">
        <v>9652</v>
      </c>
    </row>
    <row r="4654" spans="1:17" x14ac:dyDescent="0.3">
      <c r="A4654" t="s">
        <v>4729</v>
      </c>
      <c r="B4654" t="str">
        <f>"300866"</f>
        <v>300866</v>
      </c>
      <c r="C4654" t="s">
        <v>9653</v>
      </c>
      <c r="D4654" t="s">
        <v>3526</v>
      </c>
      <c r="F4654">
        <v>12574203309</v>
      </c>
      <c r="G4654">
        <v>9352629343</v>
      </c>
      <c r="H4654">
        <v>6654738185</v>
      </c>
      <c r="I4654">
        <v>5232218242</v>
      </c>
      <c r="J4654">
        <v>3903005543</v>
      </c>
      <c r="K4654">
        <v>2506757368</v>
      </c>
      <c r="P4654">
        <v>311</v>
      </c>
      <c r="Q4654" t="s">
        <v>9654</v>
      </c>
    </row>
    <row r="4655" spans="1:17" x14ac:dyDescent="0.3">
      <c r="A4655" t="s">
        <v>4729</v>
      </c>
      <c r="B4655" t="str">
        <f>"300867"</f>
        <v>300867</v>
      </c>
      <c r="C4655" t="s">
        <v>9655</v>
      </c>
      <c r="D4655" t="s">
        <v>499</v>
      </c>
      <c r="F4655">
        <v>2295681048</v>
      </c>
      <c r="G4655">
        <v>1033725654</v>
      </c>
      <c r="H4655">
        <v>888339181</v>
      </c>
      <c r="I4655">
        <v>727105466</v>
      </c>
      <c r="J4655">
        <v>426720272</v>
      </c>
      <c r="K4655">
        <v>285794957</v>
      </c>
      <c r="P4655">
        <v>105</v>
      </c>
      <c r="Q4655" t="s">
        <v>9656</v>
      </c>
    </row>
    <row r="4656" spans="1:17" x14ac:dyDescent="0.3">
      <c r="A4656" t="s">
        <v>4729</v>
      </c>
      <c r="B4656" t="str">
        <f>"300868"</f>
        <v>300868</v>
      </c>
      <c r="C4656" t="s">
        <v>9657</v>
      </c>
      <c r="D4656" t="s">
        <v>651</v>
      </c>
      <c r="F4656">
        <v>714993835</v>
      </c>
      <c r="G4656">
        <v>854708116</v>
      </c>
      <c r="H4656">
        <v>829342937</v>
      </c>
      <c r="I4656">
        <v>646920379</v>
      </c>
      <c r="J4656">
        <v>541058360</v>
      </c>
      <c r="K4656">
        <v>556449683</v>
      </c>
      <c r="P4656">
        <v>40</v>
      </c>
      <c r="Q4656" t="s">
        <v>9658</v>
      </c>
    </row>
    <row r="4657" spans="1:17" x14ac:dyDescent="0.3">
      <c r="A4657" t="s">
        <v>4729</v>
      </c>
      <c r="B4657" t="str">
        <f>"300869"</f>
        <v>300869</v>
      </c>
      <c r="C4657" t="s">
        <v>9659</v>
      </c>
      <c r="D4657" t="s">
        <v>122</v>
      </c>
      <c r="F4657">
        <v>908712162</v>
      </c>
      <c r="G4657">
        <v>1401225344</v>
      </c>
      <c r="H4657">
        <v>387246695</v>
      </c>
      <c r="I4657">
        <v>362655146</v>
      </c>
      <c r="J4657">
        <v>397804536</v>
      </c>
      <c r="K4657">
        <v>442091848</v>
      </c>
      <c r="L4657">
        <v>284431141</v>
      </c>
      <c r="P4657">
        <v>174</v>
      </c>
      <c r="Q4657" t="s">
        <v>9660</v>
      </c>
    </row>
    <row r="4658" spans="1:17" x14ac:dyDescent="0.3">
      <c r="A4658" t="s">
        <v>4729</v>
      </c>
      <c r="B4658" t="str">
        <f>"300870"</f>
        <v>300870</v>
      </c>
      <c r="C4658" t="s">
        <v>9661</v>
      </c>
      <c r="D4658" t="s">
        <v>880</v>
      </c>
      <c r="F4658">
        <v>2571948035</v>
      </c>
      <c r="G4658">
        <v>2083473151</v>
      </c>
      <c r="H4658">
        <v>1312580033</v>
      </c>
      <c r="I4658">
        <v>1102164182</v>
      </c>
      <c r="J4658">
        <v>813790761</v>
      </c>
      <c r="K4658">
        <v>696068348</v>
      </c>
      <c r="P4658">
        <v>131</v>
      </c>
      <c r="Q4658" t="s">
        <v>9662</v>
      </c>
    </row>
    <row r="4659" spans="1:17" x14ac:dyDescent="0.3">
      <c r="A4659" t="s">
        <v>4729</v>
      </c>
      <c r="B4659" t="str">
        <f>"300871"</f>
        <v>300871</v>
      </c>
      <c r="C4659" t="s">
        <v>9663</v>
      </c>
      <c r="D4659" t="s">
        <v>453</v>
      </c>
      <c r="F4659">
        <v>996216818</v>
      </c>
      <c r="G4659">
        <v>777458548</v>
      </c>
      <c r="H4659">
        <v>427217126</v>
      </c>
      <c r="I4659">
        <v>421874232</v>
      </c>
      <c r="J4659">
        <v>399715932</v>
      </c>
      <c r="K4659">
        <v>257783400</v>
      </c>
      <c r="P4659">
        <v>83</v>
      </c>
      <c r="Q4659" t="s">
        <v>9664</v>
      </c>
    </row>
    <row r="4660" spans="1:17" x14ac:dyDescent="0.3">
      <c r="A4660" t="s">
        <v>4729</v>
      </c>
      <c r="B4660" t="str">
        <f>"300872"</f>
        <v>300872</v>
      </c>
      <c r="C4660" t="s">
        <v>9665</v>
      </c>
      <c r="D4660" t="s">
        <v>316</v>
      </c>
      <c r="F4660">
        <v>1776093004</v>
      </c>
      <c r="G4660">
        <v>1315327684</v>
      </c>
      <c r="H4660">
        <v>1062127620</v>
      </c>
      <c r="I4660">
        <v>781847501</v>
      </c>
      <c r="J4660">
        <v>606071526</v>
      </c>
      <c r="P4660">
        <v>74</v>
      </c>
      <c r="Q4660" t="s">
        <v>9666</v>
      </c>
    </row>
    <row r="4661" spans="1:17" x14ac:dyDescent="0.3">
      <c r="A4661" t="s">
        <v>4729</v>
      </c>
      <c r="B4661" t="str">
        <f>"300873"</f>
        <v>300873</v>
      </c>
      <c r="C4661" t="s">
        <v>9667</v>
      </c>
      <c r="D4661" t="s">
        <v>3125</v>
      </c>
      <c r="F4661">
        <v>1467615892</v>
      </c>
      <c r="G4661">
        <v>1073896253</v>
      </c>
      <c r="H4661">
        <v>920340443</v>
      </c>
      <c r="I4661">
        <v>807531935</v>
      </c>
      <c r="J4661">
        <v>672228920</v>
      </c>
      <c r="K4661">
        <v>590925294</v>
      </c>
      <c r="P4661">
        <v>90</v>
      </c>
      <c r="Q4661" t="s">
        <v>9668</v>
      </c>
    </row>
    <row r="4662" spans="1:17" x14ac:dyDescent="0.3">
      <c r="A4662" t="s">
        <v>4729</v>
      </c>
      <c r="B4662" t="str">
        <f>"300875"</f>
        <v>300875</v>
      </c>
      <c r="C4662" t="s">
        <v>9669</v>
      </c>
      <c r="D4662" t="s">
        <v>428</v>
      </c>
      <c r="F4662">
        <v>198155466</v>
      </c>
      <c r="G4662">
        <v>268479606</v>
      </c>
      <c r="H4662">
        <v>245045898</v>
      </c>
      <c r="I4662">
        <v>170299144</v>
      </c>
      <c r="J4662">
        <v>67319986</v>
      </c>
      <c r="K4662">
        <v>18922109</v>
      </c>
      <c r="P4662">
        <v>106</v>
      </c>
      <c r="Q4662" t="s">
        <v>9670</v>
      </c>
    </row>
    <row r="4663" spans="1:17" x14ac:dyDescent="0.3">
      <c r="A4663" t="s">
        <v>4729</v>
      </c>
      <c r="B4663" t="str">
        <f>"300876"</f>
        <v>300876</v>
      </c>
      <c r="C4663" t="s">
        <v>9671</v>
      </c>
      <c r="D4663" t="s">
        <v>146</v>
      </c>
      <c r="F4663">
        <v>396746360</v>
      </c>
      <c r="G4663">
        <v>369726516</v>
      </c>
      <c r="H4663">
        <v>378750701</v>
      </c>
      <c r="I4663">
        <v>340849695</v>
      </c>
      <c r="J4663">
        <v>316006282</v>
      </c>
      <c r="P4663">
        <v>67</v>
      </c>
      <c r="Q4663" t="s">
        <v>9672</v>
      </c>
    </row>
    <row r="4664" spans="1:17" x14ac:dyDescent="0.3">
      <c r="A4664" t="s">
        <v>4729</v>
      </c>
      <c r="B4664" t="str">
        <f>"300877"</f>
        <v>300877</v>
      </c>
      <c r="C4664" t="s">
        <v>9673</v>
      </c>
      <c r="D4664" t="s">
        <v>366</v>
      </c>
      <c r="F4664">
        <v>888747729</v>
      </c>
      <c r="G4664">
        <v>1091487844</v>
      </c>
      <c r="H4664">
        <v>838323486</v>
      </c>
      <c r="I4664">
        <v>864544987</v>
      </c>
      <c r="J4664">
        <v>604943990</v>
      </c>
      <c r="K4664">
        <v>352585015</v>
      </c>
      <c r="P4664">
        <v>75</v>
      </c>
      <c r="Q4664" t="s">
        <v>9674</v>
      </c>
    </row>
    <row r="4665" spans="1:17" x14ac:dyDescent="0.3">
      <c r="A4665" t="s">
        <v>4729</v>
      </c>
      <c r="B4665" t="str">
        <f>"300878"</f>
        <v>300878</v>
      </c>
      <c r="C4665" t="s">
        <v>9675</v>
      </c>
      <c r="D4665" t="s">
        <v>188</v>
      </c>
      <c r="F4665">
        <v>632953240</v>
      </c>
      <c r="G4665">
        <v>622766991</v>
      </c>
      <c r="H4665">
        <v>641800893</v>
      </c>
      <c r="I4665">
        <v>577652192</v>
      </c>
      <c r="J4665">
        <v>406528839</v>
      </c>
      <c r="P4665">
        <v>132</v>
      </c>
      <c r="Q4665" t="s">
        <v>9676</v>
      </c>
    </row>
    <row r="4666" spans="1:17" x14ac:dyDescent="0.3">
      <c r="A4666" t="s">
        <v>4729</v>
      </c>
      <c r="B4666" t="str">
        <f>"300879"</f>
        <v>300879</v>
      </c>
      <c r="C4666" t="s">
        <v>9677</v>
      </c>
      <c r="D4666" t="s">
        <v>741</v>
      </c>
      <c r="F4666">
        <v>1607004244</v>
      </c>
      <c r="G4666">
        <v>1001115504</v>
      </c>
      <c r="H4666">
        <v>987687714</v>
      </c>
      <c r="I4666">
        <v>782908921</v>
      </c>
      <c r="J4666">
        <v>746620563</v>
      </c>
      <c r="K4666">
        <v>524088561</v>
      </c>
      <c r="P4666">
        <v>52</v>
      </c>
      <c r="Q4666" t="s">
        <v>9678</v>
      </c>
    </row>
    <row r="4667" spans="1:17" x14ac:dyDescent="0.3">
      <c r="A4667" t="s">
        <v>4729</v>
      </c>
      <c r="B4667" t="str">
        <f>"300880"</f>
        <v>300880</v>
      </c>
      <c r="C4667" t="s">
        <v>9679</v>
      </c>
      <c r="D4667" t="s">
        <v>2180</v>
      </c>
      <c r="F4667">
        <v>668956815</v>
      </c>
      <c r="G4667">
        <v>507828863</v>
      </c>
      <c r="H4667">
        <v>494904598</v>
      </c>
      <c r="I4667">
        <v>436105855</v>
      </c>
      <c r="J4667">
        <v>321407652</v>
      </c>
      <c r="K4667">
        <v>257718069</v>
      </c>
      <c r="P4667">
        <v>55</v>
      </c>
      <c r="Q4667" t="s">
        <v>9680</v>
      </c>
    </row>
    <row r="4668" spans="1:17" x14ac:dyDescent="0.3">
      <c r="A4668" t="s">
        <v>4729</v>
      </c>
      <c r="B4668" t="str">
        <f>"300881"</f>
        <v>300881</v>
      </c>
      <c r="C4668" t="s">
        <v>9681</v>
      </c>
      <c r="D4668" t="s">
        <v>281</v>
      </c>
      <c r="F4668">
        <v>1122957173</v>
      </c>
      <c r="G4668">
        <v>881160811</v>
      </c>
      <c r="H4668">
        <v>904558406</v>
      </c>
      <c r="I4668">
        <v>873742388</v>
      </c>
      <c r="J4668">
        <v>761267319</v>
      </c>
      <c r="K4668">
        <v>571844831</v>
      </c>
      <c r="P4668">
        <v>31</v>
      </c>
      <c r="Q4668" t="s">
        <v>9682</v>
      </c>
    </row>
    <row r="4669" spans="1:17" x14ac:dyDescent="0.3">
      <c r="A4669" t="s">
        <v>4729</v>
      </c>
      <c r="B4669" t="str">
        <f>"300882"</f>
        <v>300882</v>
      </c>
      <c r="C4669" t="s">
        <v>9683</v>
      </c>
      <c r="D4669" t="s">
        <v>2180</v>
      </c>
      <c r="F4669">
        <v>546289211</v>
      </c>
      <c r="G4669">
        <v>571102423</v>
      </c>
      <c r="H4669">
        <v>567912491</v>
      </c>
      <c r="I4669">
        <v>514775437</v>
      </c>
      <c r="J4669">
        <v>475050495</v>
      </c>
      <c r="K4669">
        <v>379877967</v>
      </c>
      <c r="P4669">
        <v>41</v>
      </c>
      <c r="Q4669" t="s">
        <v>9684</v>
      </c>
    </row>
    <row r="4670" spans="1:17" x14ac:dyDescent="0.3">
      <c r="A4670" t="s">
        <v>4729</v>
      </c>
      <c r="B4670" t="str">
        <f>"300883"</f>
        <v>300883</v>
      </c>
      <c r="C4670" t="s">
        <v>9685</v>
      </c>
      <c r="D4670" t="s">
        <v>2165</v>
      </c>
      <c r="F4670">
        <v>755785412</v>
      </c>
      <c r="G4670">
        <v>714443721</v>
      </c>
      <c r="H4670">
        <v>871484034</v>
      </c>
      <c r="I4670">
        <v>860605113</v>
      </c>
      <c r="J4670">
        <v>641910012</v>
      </c>
      <c r="K4670">
        <v>584875704</v>
      </c>
      <c r="P4670">
        <v>37</v>
      </c>
      <c r="Q4670" t="s">
        <v>9686</v>
      </c>
    </row>
    <row r="4671" spans="1:17" x14ac:dyDescent="0.3">
      <c r="A4671" t="s">
        <v>4729</v>
      </c>
      <c r="B4671" t="str">
        <f>"300884"</f>
        <v>300884</v>
      </c>
      <c r="C4671" t="s">
        <v>9687</v>
      </c>
      <c r="D4671" t="s">
        <v>2980</v>
      </c>
      <c r="F4671">
        <v>941720418</v>
      </c>
      <c r="G4671">
        <v>777900204</v>
      </c>
      <c r="H4671">
        <v>615107565</v>
      </c>
      <c r="I4671">
        <v>456565445</v>
      </c>
      <c r="J4671">
        <v>381014518</v>
      </c>
      <c r="K4671">
        <v>287410952</v>
      </c>
      <c r="P4671">
        <v>68</v>
      </c>
      <c r="Q4671" t="s">
        <v>9688</v>
      </c>
    </row>
    <row r="4672" spans="1:17" x14ac:dyDescent="0.3">
      <c r="A4672" t="s">
        <v>4729</v>
      </c>
      <c r="B4672" t="str">
        <f>"300885"</f>
        <v>300885</v>
      </c>
      <c r="C4672" t="s">
        <v>9689</v>
      </c>
      <c r="D4672" t="s">
        <v>274</v>
      </c>
      <c r="F4672">
        <v>314719612</v>
      </c>
      <c r="G4672">
        <v>216351032</v>
      </c>
      <c r="H4672">
        <v>182504273</v>
      </c>
      <c r="I4672">
        <v>167733373</v>
      </c>
      <c r="J4672">
        <v>145138692</v>
      </c>
      <c r="K4672">
        <v>113941810</v>
      </c>
      <c r="P4672">
        <v>45</v>
      </c>
      <c r="Q4672" t="s">
        <v>9690</v>
      </c>
    </row>
    <row r="4673" spans="1:17" x14ac:dyDescent="0.3">
      <c r="A4673" t="s">
        <v>4729</v>
      </c>
      <c r="B4673" t="str">
        <f>"300886"</f>
        <v>300886</v>
      </c>
      <c r="C4673" t="s">
        <v>9691</v>
      </c>
      <c r="D4673" t="s">
        <v>5979</v>
      </c>
      <c r="F4673">
        <v>246413473</v>
      </c>
      <c r="G4673">
        <v>206021035</v>
      </c>
      <c r="H4673">
        <v>214814812</v>
      </c>
      <c r="I4673">
        <v>258092322</v>
      </c>
      <c r="J4673">
        <v>217793808</v>
      </c>
      <c r="K4673">
        <v>192962529</v>
      </c>
      <c r="P4673">
        <v>49</v>
      </c>
      <c r="Q4673" t="s">
        <v>9692</v>
      </c>
    </row>
    <row r="4674" spans="1:17" x14ac:dyDescent="0.3">
      <c r="A4674" t="s">
        <v>4729</v>
      </c>
      <c r="B4674" t="str">
        <f>"300887"</f>
        <v>300887</v>
      </c>
      <c r="C4674" t="s">
        <v>9693</v>
      </c>
      <c r="D4674" t="s">
        <v>2510</v>
      </c>
      <c r="F4674">
        <v>2006685261</v>
      </c>
      <c r="G4674">
        <v>1426166584</v>
      </c>
      <c r="H4674">
        <v>1287329398</v>
      </c>
      <c r="I4674">
        <v>1250671445</v>
      </c>
      <c r="J4674">
        <v>1039308363</v>
      </c>
      <c r="K4674">
        <v>816870991</v>
      </c>
      <c r="P4674">
        <v>117</v>
      </c>
      <c r="Q4674" t="s">
        <v>9694</v>
      </c>
    </row>
    <row r="4675" spans="1:17" x14ac:dyDescent="0.3">
      <c r="A4675" t="s">
        <v>4729</v>
      </c>
      <c r="B4675" t="str">
        <f>"300888"</f>
        <v>300888</v>
      </c>
      <c r="C4675" t="s">
        <v>9695</v>
      </c>
      <c r="D4675" t="s">
        <v>2751</v>
      </c>
      <c r="F4675">
        <v>8037420813</v>
      </c>
      <c r="G4675">
        <v>12533945947</v>
      </c>
      <c r="H4675">
        <v>4574625916</v>
      </c>
      <c r="I4675">
        <v>3838917181</v>
      </c>
      <c r="J4675">
        <v>3497581076</v>
      </c>
      <c r="K4675">
        <v>2559896616</v>
      </c>
      <c r="P4675">
        <v>457</v>
      </c>
      <c r="Q4675" t="s">
        <v>9696</v>
      </c>
    </row>
    <row r="4676" spans="1:17" x14ac:dyDescent="0.3">
      <c r="A4676" t="s">
        <v>4729</v>
      </c>
      <c r="B4676" t="str">
        <f>"300889"</f>
        <v>300889</v>
      </c>
      <c r="C4676" t="s">
        <v>9697</v>
      </c>
      <c r="D4676" t="s">
        <v>803</v>
      </c>
      <c r="F4676">
        <v>1132144731</v>
      </c>
      <c r="G4676">
        <v>993975779</v>
      </c>
      <c r="H4676">
        <v>1129044718</v>
      </c>
      <c r="I4676">
        <v>884511543</v>
      </c>
      <c r="J4676">
        <v>549425455</v>
      </c>
      <c r="K4676">
        <v>258235083</v>
      </c>
      <c r="P4676">
        <v>37</v>
      </c>
      <c r="Q4676" t="s">
        <v>9698</v>
      </c>
    </row>
    <row r="4677" spans="1:17" x14ac:dyDescent="0.3">
      <c r="A4677" t="s">
        <v>4729</v>
      </c>
      <c r="B4677" t="str">
        <f>"300890"</f>
        <v>300890</v>
      </c>
      <c r="C4677" t="s">
        <v>9699</v>
      </c>
      <c r="D4677" t="s">
        <v>1790</v>
      </c>
      <c r="F4677">
        <v>1118240808</v>
      </c>
      <c r="G4677">
        <v>416038789</v>
      </c>
      <c r="H4677">
        <v>645528809</v>
      </c>
      <c r="I4677">
        <v>599548849</v>
      </c>
      <c r="J4677">
        <v>362773433</v>
      </c>
      <c r="K4677">
        <v>236651089</v>
      </c>
      <c r="P4677">
        <v>62</v>
      </c>
      <c r="Q4677" t="s">
        <v>9700</v>
      </c>
    </row>
    <row r="4678" spans="1:17" x14ac:dyDescent="0.3">
      <c r="A4678" t="s">
        <v>4729</v>
      </c>
      <c r="B4678" t="str">
        <f>"300891"</f>
        <v>300891</v>
      </c>
      <c r="C4678" t="s">
        <v>9701</v>
      </c>
      <c r="D4678" t="s">
        <v>1474</v>
      </c>
      <c r="F4678">
        <v>1552700560</v>
      </c>
      <c r="G4678">
        <v>954745075</v>
      </c>
      <c r="H4678">
        <v>1002159420</v>
      </c>
      <c r="I4678">
        <v>906469903</v>
      </c>
      <c r="J4678">
        <v>825363098</v>
      </c>
      <c r="K4678">
        <v>628256015</v>
      </c>
      <c r="P4678">
        <v>59</v>
      </c>
      <c r="Q4678" t="s">
        <v>9702</v>
      </c>
    </row>
    <row r="4679" spans="1:17" x14ac:dyDescent="0.3">
      <c r="A4679" t="s">
        <v>4729</v>
      </c>
      <c r="B4679" t="str">
        <f>"300892"</f>
        <v>300892</v>
      </c>
      <c r="C4679" t="s">
        <v>9703</v>
      </c>
      <c r="D4679" t="s">
        <v>131</v>
      </c>
      <c r="F4679">
        <v>1650712098</v>
      </c>
      <c r="G4679">
        <v>1502820565</v>
      </c>
      <c r="H4679">
        <v>1379843874</v>
      </c>
      <c r="I4679">
        <v>1250269122</v>
      </c>
      <c r="J4679">
        <v>1215576943</v>
      </c>
      <c r="K4679">
        <v>1098659665</v>
      </c>
      <c r="P4679">
        <v>99</v>
      </c>
      <c r="Q4679" t="s">
        <v>9704</v>
      </c>
    </row>
    <row r="4680" spans="1:17" x14ac:dyDescent="0.3">
      <c r="A4680" t="s">
        <v>4729</v>
      </c>
      <c r="B4680" t="str">
        <f>"300893"</f>
        <v>300893</v>
      </c>
      <c r="C4680" t="s">
        <v>9705</v>
      </c>
      <c r="D4680" t="s">
        <v>985</v>
      </c>
      <c r="F4680">
        <v>745081899</v>
      </c>
      <c r="G4680">
        <v>535926944</v>
      </c>
      <c r="H4680">
        <v>465004720</v>
      </c>
      <c r="I4680">
        <v>420832471</v>
      </c>
      <c r="J4680">
        <v>426235551</v>
      </c>
      <c r="P4680">
        <v>48</v>
      </c>
      <c r="Q4680" t="s">
        <v>9706</v>
      </c>
    </row>
    <row r="4681" spans="1:17" x14ac:dyDescent="0.3">
      <c r="A4681" t="s">
        <v>4729</v>
      </c>
      <c r="B4681" t="str">
        <f>"300894"</f>
        <v>300894</v>
      </c>
      <c r="C4681" t="s">
        <v>9707</v>
      </c>
      <c r="D4681" t="s">
        <v>3707</v>
      </c>
      <c r="F4681">
        <v>2318682832</v>
      </c>
      <c r="G4681">
        <v>1614119935</v>
      </c>
      <c r="H4681">
        <v>1326162079</v>
      </c>
      <c r="I4681">
        <v>955642685</v>
      </c>
      <c r="J4681">
        <v>700183768</v>
      </c>
      <c r="K4681">
        <v>343503400</v>
      </c>
      <c r="P4681">
        <v>231</v>
      </c>
      <c r="Q4681" t="s">
        <v>9708</v>
      </c>
    </row>
    <row r="4682" spans="1:17" x14ac:dyDescent="0.3">
      <c r="A4682" t="s">
        <v>4729</v>
      </c>
      <c r="B4682" t="str">
        <f>"300895"</f>
        <v>300895</v>
      </c>
      <c r="C4682" t="s">
        <v>9709</v>
      </c>
      <c r="D4682" t="s">
        <v>316</v>
      </c>
      <c r="F4682">
        <v>303952840</v>
      </c>
      <c r="G4682">
        <v>309516959</v>
      </c>
      <c r="H4682">
        <v>262340076</v>
      </c>
      <c r="I4682">
        <v>209270695</v>
      </c>
      <c r="J4682">
        <v>154030568</v>
      </c>
      <c r="K4682">
        <v>132390365</v>
      </c>
      <c r="P4682">
        <v>48</v>
      </c>
      <c r="Q4682" t="s">
        <v>9710</v>
      </c>
    </row>
    <row r="4683" spans="1:17" x14ac:dyDescent="0.3">
      <c r="A4683" t="s">
        <v>4729</v>
      </c>
      <c r="B4683" t="str">
        <f>"300896"</f>
        <v>300896</v>
      </c>
      <c r="C4683" t="s">
        <v>9711</v>
      </c>
      <c r="D4683" t="s">
        <v>4297</v>
      </c>
      <c r="F4683">
        <v>1447872001</v>
      </c>
      <c r="G4683">
        <v>709290197</v>
      </c>
      <c r="H4683">
        <v>557715653</v>
      </c>
      <c r="I4683">
        <v>321011015</v>
      </c>
      <c r="J4683">
        <v>222489964</v>
      </c>
      <c r="K4683">
        <v>140732064</v>
      </c>
      <c r="P4683">
        <v>1330</v>
      </c>
      <c r="Q4683" t="s">
        <v>9712</v>
      </c>
    </row>
    <row r="4684" spans="1:17" x14ac:dyDescent="0.3">
      <c r="A4684" t="s">
        <v>4729</v>
      </c>
      <c r="B4684" t="str">
        <f>"300897"</f>
        <v>300897</v>
      </c>
      <c r="C4684" t="s">
        <v>9713</v>
      </c>
      <c r="D4684" t="s">
        <v>2566</v>
      </c>
      <c r="F4684">
        <v>484032355</v>
      </c>
      <c r="G4684">
        <v>380783301</v>
      </c>
      <c r="H4684">
        <v>320828266</v>
      </c>
      <c r="I4684">
        <v>241689765</v>
      </c>
      <c r="J4684">
        <v>206017496</v>
      </c>
      <c r="K4684">
        <v>154393220</v>
      </c>
      <c r="P4684">
        <v>50</v>
      </c>
      <c r="Q4684" t="s">
        <v>9714</v>
      </c>
    </row>
    <row r="4685" spans="1:17" x14ac:dyDescent="0.3">
      <c r="A4685" t="s">
        <v>4729</v>
      </c>
      <c r="B4685" t="str">
        <f>"300898"</f>
        <v>300898</v>
      </c>
      <c r="C4685" t="s">
        <v>9715</v>
      </c>
      <c r="D4685" t="s">
        <v>900</v>
      </c>
      <c r="F4685">
        <v>856896754</v>
      </c>
      <c r="G4685">
        <v>684345562</v>
      </c>
      <c r="H4685">
        <v>603753104</v>
      </c>
      <c r="I4685">
        <v>601654230</v>
      </c>
      <c r="J4685">
        <v>534019290</v>
      </c>
      <c r="K4685">
        <v>408643600</v>
      </c>
      <c r="P4685">
        <v>73</v>
      </c>
      <c r="Q4685" t="s">
        <v>9716</v>
      </c>
    </row>
    <row r="4686" spans="1:17" x14ac:dyDescent="0.3">
      <c r="A4686" t="s">
        <v>4729</v>
      </c>
      <c r="B4686" t="str">
        <f>"300899"</f>
        <v>300899</v>
      </c>
      <c r="C4686" t="s">
        <v>9717</v>
      </c>
      <c r="D4686" t="s">
        <v>33</v>
      </c>
      <c r="F4686">
        <v>227925970</v>
      </c>
      <c r="G4686">
        <v>189276784</v>
      </c>
      <c r="H4686">
        <v>260760390</v>
      </c>
      <c r="I4686">
        <v>196665738</v>
      </c>
      <c r="J4686">
        <v>119383533</v>
      </c>
      <c r="K4686">
        <v>92787537</v>
      </c>
      <c r="P4686">
        <v>58</v>
      </c>
      <c r="Q4686" t="s">
        <v>9718</v>
      </c>
    </row>
    <row r="4687" spans="1:17" x14ac:dyDescent="0.3">
      <c r="A4687" t="s">
        <v>4729</v>
      </c>
      <c r="B4687" t="str">
        <f>"300900"</f>
        <v>300900</v>
      </c>
      <c r="C4687" t="s">
        <v>9719</v>
      </c>
      <c r="D4687" t="s">
        <v>98</v>
      </c>
      <c r="F4687">
        <v>237396566</v>
      </c>
      <c r="G4687">
        <v>314699979</v>
      </c>
      <c r="H4687">
        <v>268473981</v>
      </c>
      <c r="I4687">
        <v>206394436</v>
      </c>
      <c r="J4687">
        <v>106553484</v>
      </c>
      <c r="K4687">
        <v>89744800</v>
      </c>
      <c r="P4687">
        <v>76</v>
      </c>
      <c r="Q4687" t="s">
        <v>9720</v>
      </c>
    </row>
    <row r="4688" spans="1:17" x14ac:dyDescent="0.3">
      <c r="A4688" t="s">
        <v>4729</v>
      </c>
      <c r="B4688" t="str">
        <f>"300901"</f>
        <v>300901</v>
      </c>
      <c r="C4688" t="s">
        <v>9721</v>
      </c>
      <c r="D4688" t="s">
        <v>255</v>
      </c>
      <c r="F4688">
        <v>581216729</v>
      </c>
      <c r="G4688">
        <v>599295050</v>
      </c>
      <c r="H4688">
        <v>685659386</v>
      </c>
      <c r="I4688">
        <v>624805007</v>
      </c>
      <c r="J4688">
        <v>620781356</v>
      </c>
      <c r="K4688">
        <v>390694718</v>
      </c>
      <c r="P4688">
        <v>45</v>
      </c>
      <c r="Q4688" t="s">
        <v>9722</v>
      </c>
    </row>
    <row r="4689" spans="1:17" x14ac:dyDescent="0.3">
      <c r="A4689" t="s">
        <v>4729</v>
      </c>
      <c r="B4689" t="str">
        <f>"300902"</f>
        <v>300902</v>
      </c>
      <c r="C4689" t="s">
        <v>9723</v>
      </c>
      <c r="D4689" t="s">
        <v>741</v>
      </c>
      <c r="F4689">
        <v>253589490</v>
      </c>
      <c r="G4689">
        <v>275789560</v>
      </c>
      <c r="H4689">
        <v>277362581</v>
      </c>
      <c r="I4689">
        <v>233887650</v>
      </c>
      <c r="J4689">
        <v>191950610</v>
      </c>
      <c r="K4689">
        <v>168728315</v>
      </c>
      <c r="P4689">
        <v>40</v>
      </c>
      <c r="Q4689" t="s">
        <v>9724</v>
      </c>
    </row>
    <row r="4690" spans="1:17" x14ac:dyDescent="0.3">
      <c r="A4690" t="s">
        <v>4729</v>
      </c>
      <c r="B4690" t="str">
        <f>"300903"</f>
        <v>300903</v>
      </c>
      <c r="C4690" t="s">
        <v>9725</v>
      </c>
      <c r="D4690" t="s">
        <v>425</v>
      </c>
      <c r="F4690">
        <v>2252597521</v>
      </c>
      <c r="G4690">
        <v>1602150265</v>
      </c>
      <c r="H4690">
        <v>1328450635</v>
      </c>
      <c r="I4690">
        <v>1197370348</v>
      </c>
      <c r="J4690">
        <v>1137576082</v>
      </c>
      <c r="K4690">
        <v>937790140</v>
      </c>
      <c r="P4690">
        <v>61</v>
      </c>
      <c r="Q4690" t="s">
        <v>9726</v>
      </c>
    </row>
    <row r="4691" spans="1:17" x14ac:dyDescent="0.3">
      <c r="A4691" t="s">
        <v>4729</v>
      </c>
      <c r="B4691" t="str">
        <f>"300905"</f>
        <v>300905</v>
      </c>
      <c r="C4691" t="s">
        <v>9727</v>
      </c>
      <c r="D4691" t="s">
        <v>779</v>
      </c>
      <c r="F4691">
        <v>772426331</v>
      </c>
      <c r="G4691">
        <v>671281714</v>
      </c>
      <c r="H4691">
        <v>712049274</v>
      </c>
      <c r="I4691">
        <v>617069467</v>
      </c>
      <c r="J4691">
        <v>493399466</v>
      </c>
      <c r="K4691">
        <v>442467989</v>
      </c>
      <c r="P4691">
        <v>54</v>
      </c>
      <c r="Q4691" t="s">
        <v>9728</v>
      </c>
    </row>
    <row r="4692" spans="1:17" x14ac:dyDescent="0.3">
      <c r="A4692" t="s">
        <v>4729</v>
      </c>
      <c r="B4692" t="str">
        <f>"300906"</f>
        <v>300906</v>
      </c>
      <c r="C4692" t="s">
        <v>9729</v>
      </c>
      <c r="D4692" t="s">
        <v>2566</v>
      </c>
      <c r="F4692">
        <v>123250891</v>
      </c>
      <c r="G4692">
        <v>116427629</v>
      </c>
      <c r="H4692">
        <v>152838168</v>
      </c>
      <c r="I4692">
        <v>125622231</v>
      </c>
      <c r="J4692">
        <v>105321898</v>
      </c>
      <c r="K4692">
        <v>89161165</v>
      </c>
      <c r="P4692">
        <v>60</v>
      </c>
      <c r="Q4692" t="s">
        <v>9730</v>
      </c>
    </row>
    <row r="4693" spans="1:17" x14ac:dyDescent="0.3">
      <c r="A4693" t="s">
        <v>4729</v>
      </c>
      <c r="B4693" t="str">
        <f>"300907"</f>
        <v>300907</v>
      </c>
      <c r="C4693" t="s">
        <v>9731</v>
      </c>
      <c r="D4693" t="s">
        <v>1171</v>
      </c>
      <c r="F4693">
        <v>1153452632</v>
      </c>
      <c r="G4693">
        <v>834616886</v>
      </c>
      <c r="H4693">
        <v>606402667</v>
      </c>
      <c r="I4693">
        <v>586329656</v>
      </c>
      <c r="J4693">
        <v>566929551</v>
      </c>
      <c r="K4693">
        <v>579958200</v>
      </c>
      <c r="P4693">
        <v>36</v>
      </c>
      <c r="Q4693" t="s">
        <v>9732</v>
      </c>
    </row>
    <row r="4694" spans="1:17" x14ac:dyDescent="0.3">
      <c r="A4694" t="s">
        <v>4729</v>
      </c>
      <c r="B4694" t="str">
        <f>"300908"</f>
        <v>300908</v>
      </c>
      <c r="C4694" t="s">
        <v>9733</v>
      </c>
      <c r="D4694" t="s">
        <v>433</v>
      </c>
      <c r="F4694">
        <v>806241308</v>
      </c>
      <c r="G4694">
        <v>726669232</v>
      </c>
      <c r="H4694">
        <v>628190864</v>
      </c>
      <c r="I4694">
        <v>529610337</v>
      </c>
      <c r="J4694">
        <v>516736006</v>
      </c>
      <c r="K4694">
        <v>476845591</v>
      </c>
      <c r="P4694">
        <v>173</v>
      </c>
      <c r="Q4694" t="s">
        <v>9734</v>
      </c>
    </row>
    <row r="4695" spans="1:17" x14ac:dyDescent="0.3">
      <c r="A4695" t="s">
        <v>4729</v>
      </c>
      <c r="B4695" t="str">
        <f>"300909"</f>
        <v>300909</v>
      </c>
      <c r="C4695" t="s">
        <v>9735</v>
      </c>
      <c r="D4695" t="s">
        <v>1117</v>
      </c>
      <c r="F4695">
        <v>827204571</v>
      </c>
      <c r="G4695">
        <v>608699349</v>
      </c>
      <c r="H4695">
        <v>406902256</v>
      </c>
      <c r="I4695">
        <v>302957175</v>
      </c>
      <c r="J4695">
        <v>255647255</v>
      </c>
      <c r="K4695">
        <v>176269415</v>
      </c>
      <c r="P4695">
        <v>65</v>
      </c>
      <c r="Q4695" t="s">
        <v>9736</v>
      </c>
    </row>
    <row r="4696" spans="1:17" x14ac:dyDescent="0.3">
      <c r="A4696" t="s">
        <v>4729</v>
      </c>
      <c r="B4696" t="str">
        <f>"300910"</f>
        <v>300910</v>
      </c>
      <c r="C4696" t="s">
        <v>9737</v>
      </c>
      <c r="D4696" t="s">
        <v>386</v>
      </c>
      <c r="F4696">
        <v>1081101500</v>
      </c>
      <c r="G4696">
        <v>860855364</v>
      </c>
      <c r="H4696">
        <v>656707640</v>
      </c>
      <c r="I4696">
        <v>530466065</v>
      </c>
      <c r="J4696">
        <v>465790377</v>
      </c>
      <c r="K4696">
        <v>318088300</v>
      </c>
      <c r="P4696">
        <v>116</v>
      </c>
      <c r="Q4696" t="s">
        <v>9738</v>
      </c>
    </row>
    <row r="4697" spans="1:17" x14ac:dyDescent="0.3">
      <c r="A4697" t="s">
        <v>4729</v>
      </c>
      <c r="B4697" t="str">
        <f>"300911"</f>
        <v>300911</v>
      </c>
      <c r="C4697" t="s">
        <v>9739</v>
      </c>
      <c r="D4697" t="s">
        <v>3707</v>
      </c>
      <c r="F4697">
        <v>1229657233</v>
      </c>
      <c r="G4697">
        <v>716349408</v>
      </c>
      <c r="H4697">
        <v>654940632</v>
      </c>
      <c r="I4697">
        <v>614459131</v>
      </c>
      <c r="J4697">
        <v>479238875</v>
      </c>
      <c r="K4697">
        <v>331896905</v>
      </c>
      <c r="P4697">
        <v>153</v>
      </c>
      <c r="Q4697" t="s">
        <v>9740</v>
      </c>
    </row>
    <row r="4698" spans="1:17" x14ac:dyDescent="0.3">
      <c r="A4698" t="s">
        <v>4729</v>
      </c>
      <c r="B4698" t="str">
        <f>"300912"</f>
        <v>300912</v>
      </c>
      <c r="C4698" t="s">
        <v>9741</v>
      </c>
      <c r="D4698" t="s">
        <v>985</v>
      </c>
      <c r="F4698">
        <v>828268096</v>
      </c>
      <c r="G4698">
        <v>1123182896</v>
      </c>
      <c r="H4698">
        <v>1066703125</v>
      </c>
      <c r="I4698">
        <v>1160918637</v>
      </c>
      <c r="J4698">
        <v>1119165913</v>
      </c>
      <c r="K4698">
        <v>610431934</v>
      </c>
      <c r="P4698">
        <v>39</v>
      </c>
      <c r="Q4698" t="s">
        <v>9742</v>
      </c>
    </row>
    <row r="4699" spans="1:17" x14ac:dyDescent="0.3">
      <c r="A4699" t="s">
        <v>4729</v>
      </c>
      <c r="B4699" t="str">
        <f>"300913"</f>
        <v>300913</v>
      </c>
      <c r="C4699" t="s">
        <v>9743</v>
      </c>
      <c r="D4699" t="s">
        <v>250</v>
      </c>
      <c r="F4699">
        <v>1464949912</v>
      </c>
      <c r="G4699">
        <v>1161196944</v>
      </c>
      <c r="H4699">
        <v>1096661213</v>
      </c>
      <c r="I4699">
        <v>1149548420</v>
      </c>
      <c r="J4699">
        <v>944435803</v>
      </c>
      <c r="K4699">
        <v>710541087</v>
      </c>
      <c r="P4699">
        <v>33</v>
      </c>
      <c r="Q4699" t="s">
        <v>9744</v>
      </c>
    </row>
    <row r="4700" spans="1:17" x14ac:dyDescent="0.3">
      <c r="A4700" t="s">
        <v>4729</v>
      </c>
      <c r="B4700" t="str">
        <f>"300915"</f>
        <v>300915</v>
      </c>
      <c r="C4700" t="s">
        <v>9745</v>
      </c>
      <c r="D4700" t="s">
        <v>900</v>
      </c>
      <c r="F4700">
        <v>746934444</v>
      </c>
      <c r="G4700">
        <v>571653494</v>
      </c>
      <c r="H4700">
        <v>583571843</v>
      </c>
      <c r="I4700">
        <v>541063515</v>
      </c>
      <c r="J4700">
        <v>471244908</v>
      </c>
      <c r="K4700">
        <v>411575866</v>
      </c>
      <c r="P4700">
        <v>101</v>
      </c>
      <c r="Q4700" t="s">
        <v>9746</v>
      </c>
    </row>
    <row r="4701" spans="1:17" x14ac:dyDescent="0.3">
      <c r="A4701" t="s">
        <v>4729</v>
      </c>
      <c r="B4701" t="str">
        <f>"300916"</f>
        <v>300916</v>
      </c>
      <c r="C4701" t="s">
        <v>9747</v>
      </c>
      <c r="D4701" t="s">
        <v>313</v>
      </c>
      <c r="F4701">
        <v>960030640</v>
      </c>
      <c r="G4701">
        <v>774427446</v>
      </c>
      <c r="H4701">
        <v>569188224</v>
      </c>
      <c r="I4701">
        <v>518570106</v>
      </c>
      <c r="J4701">
        <v>491204632</v>
      </c>
      <c r="K4701">
        <v>333877574</v>
      </c>
      <c r="P4701">
        <v>79</v>
      </c>
      <c r="Q4701" t="s">
        <v>9748</v>
      </c>
    </row>
    <row r="4702" spans="1:17" x14ac:dyDescent="0.3">
      <c r="A4702" t="s">
        <v>4729</v>
      </c>
      <c r="B4702" t="str">
        <f>"300917"</f>
        <v>300917</v>
      </c>
      <c r="C4702" t="s">
        <v>9749</v>
      </c>
      <c r="D4702" t="s">
        <v>2975</v>
      </c>
      <c r="F4702">
        <v>1691108942</v>
      </c>
      <c r="G4702">
        <v>1108659814</v>
      </c>
      <c r="H4702">
        <v>891219944</v>
      </c>
      <c r="I4702">
        <v>699014995</v>
      </c>
      <c r="J4702">
        <v>507595987</v>
      </c>
      <c r="K4702">
        <v>369939605</v>
      </c>
      <c r="P4702">
        <v>81</v>
      </c>
      <c r="Q4702" t="s">
        <v>9750</v>
      </c>
    </row>
    <row r="4703" spans="1:17" x14ac:dyDescent="0.3">
      <c r="A4703" t="s">
        <v>4729</v>
      </c>
      <c r="B4703" t="str">
        <f>"300918"</f>
        <v>300918</v>
      </c>
      <c r="C4703" t="s">
        <v>9751</v>
      </c>
      <c r="D4703" t="s">
        <v>366</v>
      </c>
      <c r="F4703">
        <v>1491995954</v>
      </c>
      <c r="G4703">
        <v>1357787459</v>
      </c>
      <c r="H4703">
        <v>1770830625</v>
      </c>
      <c r="I4703">
        <v>1997388922</v>
      </c>
      <c r="J4703">
        <v>1664031824</v>
      </c>
      <c r="K4703">
        <v>1559005637</v>
      </c>
      <c r="P4703">
        <v>38</v>
      </c>
      <c r="Q4703" t="s">
        <v>9752</v>
      </c>
    </row>
    <row r="4704" spans="1:17" x14ac:dyDescent="0.3">
      <c r="A4704" t="s">
        <v>4729</v>
      </c>
      <c r="B4704" t="str">
        <f>"300919"</f>
        <v>300919</v>
      </c>
      <c r="C4704" t="s">
        <v>9753</v>
      </c>
      <c r="D4704" t="s">
        <v>1790</v>
      </c>
      <c r="F4704">
        <v>20072491323</v>
      </c>
      <c r="G4704">
        <v>7439624072</v>
      </c>
      <c r="H4704">
        <v>5311212820</v>
      </c>
      <c r="I4704">
        <v>3068216394</v>
      </c>
      <c r="J4704">
        <v>1861611887</v>
      </c>
      <c r="P4704">
        <v>175</v>
      </c>
      <c r="Q4704" t="s">
        <v>9754</v>
      </c>
    </row>
    <row r="4705" spans="1:17" x14ac:dyDescent="0.3">
      <c r="A4705" t="s">
        <v>4729</v>
      </c>
      <c r="B4705" t="str">
        <f>"300920"</f>
        <v>300920</v>
      </c>
      <c r="C4705" t="s">
        <v>9755</v>
      </c>
      <c r="D4705" t="s">
        <v>1192</v>
      </c>
      <c r="F4705">
        <v>501501739</v>
      </c>
      <c r="G4705">
        <v>434124747</v>
      </c>
      <c r="H4705">
        <v>364968021</v>
      </c>
      <c r="I4705">
        <v>324820580</v>
      </c>
      <c r="J4705">
        <v>168365291</v>
      </c>
      <c r="K4705">
        <v>57277300</v>
      </c>
      <c r="P4705">
        <v>46</v>
      </c>
      <c r="Q4705" t="s">
        <v>9756</v>
      </c>
    </row>
    <row r="4706" spans="1:17" x14ac:dyDescent="0.3">
      <c r="A4706" t="s">
        <v>4729</v>
      </c>
      <c r="B4706" t="str">
        <f>"300921"</f>
        <v>300921</v>
      </c>
      <c r="C4706" t="s">
        <v>9757</v>
      </c>
      <c r="D4706" t="s">
        <v>5670</v>
      </c>
      <c r="F4706">
        <v>576734830</v>
      </c>
      <c r="G4706">
        <v>495037519</v>
      </c>
      <c r="H4706">
        <v>502177651</v>
      </c>
      <c r="I4706">
        <v>420861636</v>
      </c>
      <c r="J4706">
        <v>381909527</v>
      </c>
      <c r="K4706">
        <v>356720900</v>
      </c>
      <c r="P4706">
        <v>39</v>
      </c>
      <c r="Q4706" t="s">
        <v>9758</v>
      </c>
    </row>
    <row r="4707" spans="1:17" x14ac:dyDescent="0.3">
      <c r="A4707" t="s">
        <v>4729</v>
      </c>
      <c r="B4707" t="str">
        <f>"300922"</f>
        <v>300922</v>
      </c>
      <c r="C4707" t="s">
        <v>9759</v>
      </c>
      <c r="D4707" t="s">
        <v>428</v>
      </c>
      <c r="F4707">
        <v>241024188</v>
      </c>
      <c r="G4707">
        <v>230188147</v>
      </c>
      <c r="H4707">
        <v>212750231</v>
      </c>
      <c r="I4707">
        <v>222337057</v>
      </c>
      <c r="J4707">
        <v>169579893</v>
      </c>
      <c r="K4707">
        <v>138120424</v>
      </c>
      <c r="P4707">
        <v>83</v>
      </c>
      <c r="Q4707" t="s">
        <v>9760</v>
      </c>
    </row>
    <row r="4708" spans="1:17" x14ac:dyDescent="0.3">
      <c r="A4708" t="s">
        <v>4729</v>
      </c>
      <c r="B4708" t="str">
        <f>"300923"</f>
        <v>300923</v>
      </c>
      <c r="C4708" t="s">
        <v>9761</v>
      </c>
      <c r="D4708" t="s">
        <v>1012</v>
      </c>
      <c r="F4708">
        <v>408708896</v>
      </c>
      <c r="G4708">
        <v>349144416</v>
      </c>
      <c r="H4708">
        <v>370886754</v>
      </c>
      <c r="I4708">
        <v>349772228</v>
      </c>
      <c r="J4708">
        <v>365116161</v>
      </c>
      <c r="K4708">
        <v>351155054</v>
      </c>
      <c r="P4708">
        <v>28</v>
      </c>
      <c r="Q4708" t="s">
        <v>9762</v>
      </c>
    </row>
    <row r="4709" spans="1:17" x14ac:dyDescent="0.3">
      <c r="A4709" t="s">
        <v>4729</v>
      </c>
      <c r="B4709" t="str">
        <f>"300925"</f>
        <v>300925</v>
      </c>
      <c r="C4709" t="s">
        <v>9763</v>
      </c>
      <c r="D4709" t="s">
        <v>945</v>
      </c>
      <c r="F4709">
        <v>3088227504</v>
      </c>
      <c r="G4709">
        <v>1947737520</v>
      </c>
      <c r="H4709">
        <v>1306692344</v>
      </c>
      <c r="I4709">
        <v>782391109</v>
      </c>
      <c r="J4709">
        <v>431566377</v>
      </c>
      <c r="K4709">
        <v>293283170</v>
      </c>
      <c r="P4709">
        <v>72</v>
      </c>
      <c r="Q4709" t="s">
        <v>9764</v>
      </c>
    </row>
    <row r="4710" spans="1:17" x14ac:dyDescent="0.3">
      <c r="A4710" t="s">
        <v>4729</v>
      </c>
      <c r="B4710" t="str">
        <f>"300926"</f>
        <v>300926</v>
      </c>
      <c r="C4710" t="s">
        <v>9765</v>
      </c>
      <c r="D4710" t="s">
        <v>985</v>
      </c>
      <c r="F4710">
        <v>805505808</v>
      </c>
      <c r="G4710">
        <v>548766673</v>
      </c>
      <c r="H4710">
        <v>521879337</v>
      </c>
      <c r="I4710">
        <v>476040189</v>
      </c>
      <c r="J4710">
        <v>439447486</v>
      </c>
      <c r="K4710">
        <v>394163602</v>
      </c>
      <c r="P4710">
        <v>45</v>
      </c>
      <c r="Q4710" t="s">
        <v>9766</v>
      </c>
    </row>
    <row r="4711" spans="1:17" x14ac:dyDescent="0.3">
      <c r="A4711" t="s">
        <v>4729</v>
      </c>
      <c r="B4711" t="str">
        <f>"300927"</f>
        <v>300927</v>
      </c>
      <c r="C4711" t="s">
        <v>9767</v>
      </c>
      <c r="D4711" t="s">
        <v>1233</v>
      </c>
      <c r="F4711">
        <v>709974755</v>
      </c>
      <c r="G4711">
        <v>437705981</v>
      </c>
      <c r="H4711">
        <v>499997158</v>
      </c>
      <c r="I4711">
        <v>610915532</v>
      </c>
      <c r="J4711">
        <v>495935080</v>
      </c>
      <c r="K4711">
        <v>353995713</v>
      </c>
      <c r="P4711">
        <v>44</v>
      </c>
      <c r="Q4711" t="s">
        <v>9768</v>
      </c>
    </row>
    <row r="4712" spans="1:17" x14ac:dyDescent="0.3">
      <c r="A4712" t="s">
        <v>4729</v>
      </c>
      <c r="B4712" t="str">
        <f>"300928"</f>
        <v>300928</v>
      </c>
      <c r="C4712" t="s">
        <v>9769</v>
      </c>
      <c r="D4712" t="s">
        <v>1415</v>
      </c>
      <c r="F4712">
        <v>724960619</v>
      </c>
      <c r="G4712">
        <v>900870236</v>
      </c>
      <c r="H4712">
        <v>856013372</v>
      </c>
      <c r="I4712">
        <v>862911018</v>
      </c>
      <c r="J4712">
        <v>835004421</v>
      </c>
      <c r="K4712">
        <v>664480823</v>
      </c>
      <c r="P4712">
        <v>27</v>
      </c>
      <c r="Q4712" t="s">
        <v>9770</v>
      </c>
    </row>
    <row r="4713" spans="1:17" x14ac:dyDescent="0.3">
      <c r="A4713" t="s">
        <v>4729</v>
      </c>
      <c r="B4713" t="str">
        <f>"300929"</f>
        <v>300929</v>
      </c>
      <c r="C4713" t="s">
        <v>9771</v>
      </c>
      <c r="D4713" t="s">
        <v>33</v>
      </c>
      <c r="F4713">
        <v>634604034</v>
      </c>
      <c r="G4713">
        <v>587458169</v>
      </c>
      <c r="H4713">
        <v>553178409</v>
      </c>
      <c r="I4713">
        <v>525508859</v>
      </c>
      <c r="J4713">
        <v>337917615</v>
      </c>
      <c r="K4713">
        <v>172286460</v>
      </c>
      <c r="P4713">
        <v>48</v>
      </c>
      <c r="Q4713" t="s">
        <v>9772</v>
      </c>
    </row>
    <row r="4714" spans="1:17" x14ac:dyDescent="0.3">
      <c r="A4714" t="s">
        <v>4729</v>
      </c>
      <c r="B4714" t="str">
        <f>"300930"</f>
        <v>300930</v>
      </c>
      <c r="C4714" t="s">
        <v>9773</v>
      </c>
      <c r="D4714" t="s">
        <v>581</v>
      </c>
      <c r="F4714">
        <v>521969563</v>
      </c>
      <c r="G4714">
        <v>339338816</v>
      </c>
      <c r="H4714">
        <v>305515551</v>
      </c>
      <c r="I4714">
        <v>309279551</v>
      </c>
      <c r="J4714">
        <v>254306094</v>
      </c>
      <c r="K4714">
        <v>131364020</v>
      </c>
      <c r="P4714">
        <v>75</v>
      </c>
      <c r="Q4714" t="s">
        <v>9774</v>
      </c>
    </row>
    <row r="4715" spans="1:17" x14ac:dyDescent="0.3">
      <c r="A4715" t="s">
        <v>4729</v>
      </c>
      <c r="B4715" t="str">
        <f>"300931"</f>
        <v>300931</v>
      </c>
      <c r="C4715" t="s">
        <v>9775</v>
      </c>
      <c r="D4715" t="s">
        <v>1691</v>
      </c>
      <c r="F4715">
        <v>471870849</v>
      </c>
      <c r="G4715">
        <v>452129381</v>
      </c>
      <c r="H4715">
        <v>456001976</v>
      </c>
      <c r="I4715">
        <v>479065750</v>
      </c>
      <c r="J4715">
        <v>389980248</v>
      </c>
      <c r="K4715">
        <v>377913754</v>
      </c>
      <c r="P4715">
        <v>31</v>
      </c>
      <c r="Q4715" t="s">
        <v>9776</v>
      </c>
    </row>
    <row r="4716" spans="1:17" x14ac:dyDescent="0.3">
      <c r="A4716" t="s">
        <v>4729</v>
      </c>
      <c r="B4716" t="str">
        <f>"300932"</f>
        <v>300932</v>
      </c>
      <c r="C4716" t="s">
        <v>9777</v>
      </c>
      <c r="D4716" t="s">
        <v>657</v>
      </c>
      <c r="F4716">
        <v>1692380765</v>
      </c>
      <c r="G4716">
        <v>1311609534</v>
      </c>
      <c r="H4716">
        <v>1108843802</v>
      </c>
      <c r="I4716">
        <v>942695745</v>
      </c>
      <c r="J4716">
        <v>894730135</v>
      </c>
      <c r="K4716">
        <v>702865383</v>
      </c>
      <c r="P4716">
        <v>29</v>
      </c>
      <c r="Q4716" t="s">
        <v>9778</v>
      </c>
    </row>
    <row r="4717" spans="1:17" x14ac:dyDescent="0.3">
      <c r="A4717" t="s">
        <v>4729</v>
      </c>
      <c r="B4717" t="str">
        <f>"300933"</f>
        <v>300933</v>
      </c>
      <c r="C4717" t="s">
        <v>9779</v>
      </c>
      <c r="D4717" t="s">
        <v>1164</v>
      </c>
      <c r="F4717">
        <v>2530793749</v>
      </c>
      <c r="G4717">
        <v>2054244736</v>
      </c>
      <c r="H4717">
        <v>2094098985</v>
      </c>
      <c r="I4717">
        <v>1901545539</v>
      </c>
      <c r="J4717">
        <v>1952067308</v>
      </c>
      <c r="K4717">
        <v>1464428195</v>
      </c>
      <c r="P4717">
        <v>30</v>
      </c>
      <c r="Q4717" t="s">
        <v>9780</v>
      </c>
    </row>
    <row r="4718" spans="1:17" x14ac:dyDescent="0.3">
      <c r="A4718" t="s">
        <v>4729</v>
      </c>
      <c r="B4718" t="str">
        <f>"300935"</f>
        <v>300935</v>
      </c>
      <c r="C4718" t="s">
        <v>9781</v>
      </c>
      <c r="D4718" t="s">
        <v>945</v>
      </c>
      <c r="F4718">
        <v>230796083</v>
      </c>
      <c r="G4718">
        <v>150249750</v>
      </c>
      <c r="H4718">
        <v>171631520</v>
      </c>
      <c r="I4718">
        <v>139276955</v>
      </c>
      <c r="J4718">
        <v>108614172</v>
      </c>
      <c r="K4718">
        <v>80294300</v>
      </c>
      <c r="P4718">
        <v>55</v>
      </c>
      <c r="Q4718" t="s">
        <v>9782</v>
      </c>
    </row>
    <row r="4719" spans="1:17" x14ac:dyDescent="0.3">
      <c r="A4719" t="s">
        <v>4729</v>
      </c>
      <c r="B4719" t="str">
        <f>"300936"</f>
        <v>300936</v>
      </c>
      <c r="C4719" t="s">
        <v>9783</v>
      </c>
      <c r="D4719" t="s">
        <v>425</v>
      </c>
      <c r="F4719">
        <v>217614424</v>
      </c>
      <c r="G4719">
        <v>210439048</v>
      </c>
      <c r="H4719">
        <v>176486077</v>
      </c>
      <c r="I4719">
        <v>174848428</v>
      </c>
      <c r="J4719">
        <v>145385995</v>
      </c>
      <c r="K4719">
        <v>114238264</v>
      </c>
      <c r="P4719">
        <v>54</v>
      </c>
      <c r="Q4719" t="s">
        <v>9784</v>
      </c>
    </row>
    <row r="4720" spans="1:17" x14ac:dyDescent="0.3">
      <c r="A4720" t="s">
        <v>4729</v>
      </c>
      <c r="B4720" t="str">
        <f>"300937"</f>
        <v>300937</v>
      </c>
      <c r="C4720" t="s">
        <v>9785</v>
      </c>
      <c r="D4720" t="s">
        <v>125</v>
      </c>
      <c r="F4720">
        <v>3400580726</v>
      </c>
      <c r="G4720">
        <v>2790133940</v>
      </c>
      <c r="H4720">
        <v>2289374798</v>
      </c>
      <c r="I4720">
        <v>2023988594</v>
      </c>
      <c r="J4720">
        <v>1586780039</v>
      </c>
      <c r="P4720">
        <v>35</v>
      </c>
      <c r="Q4720" t="s">
        <v>9786</v>
      </c>
    </row>
    <row r="4721" spans="1:17" x14ac:dyDescent="0.3">
      <c r="A4721" t="s">
        <v>4729</v>
      </c>
      <c r="B4721" t="str">
        <f>"300938"</f>
        <v>300938</v>
      </c>
      <c r="C4721" t="s">
        <v>9787</v>
      </c>
      <c r="D4721" t="s">
        <v>2510</v>
      </c>
      <c r="F4721">
        <v>394704753</v>
      </c>
      <c r="G4721">
        <v>286932934</v>
      </c>
      <c r="H4721">
        <v>300701301</v>
      </c>
      <c r="I4721">
        <v>266661897</v>
      </c>
      <c r="J4721">
        <v>214557254</v>
      </c>
      <c r="K4721">
        <v>191659600</v>
      </c>
      <c r="P4721">
        <v>43</v>
      </c>
      <c r="Q4721" t="s">
        <v>9788</v>
      </c>
    </row>
    <row r="4722" spans="1:17" x14ac:dyDescent="0.3">
      <c r="A4722" t="s">
        <v>4729</v>
      </c>
      <c r="B4722" t="str">
        <f>"300939"</f>
        <v>300939</v>
      </c>
      <c r="C4722" t="s">
        <v>9789</v>
      </c>
      <c r="D4722" t="s">
        <v>1117</v>
      </c>
      <c r="F4722">
        <v>1111485304</v>
      </c>
      <c r="G4722">
        <v>824064139</v>
      </c>
      <c r="H4722">
        <v>801254948</v>
      </c>
      <c r="I4722">
        <v>791178381</v>
      </c>
      <c r="J4722">
        <v>669672551</v>
      </c>
      <c r="K4722">
        <v>545056900</v>
      </c>
      <c r="P4722">
        <v>31</v>
      </c>
      <c r="Q4722" t="s">
        <v>9790</v>
      </c>
    </row>
    <row r="4723" spans="1:17" x14ac:dyDescent="0.3">
      <c r="A4723" t="s">
        <v>4729</v>
      </c>
      <c r="B4723" t="str">
        <f>"300940"</f>
        <v>300940</v>
      </c>
      <c r="C4723" t="s">
        <v>9791</v>
      </c>
      <c r="D4723" t="s">
        <v>803</v>
      </c>
      <c r="F4723">
        <v>942759605</v>
      </c>
      <c r="G4723">
        <v>1058114321</v>
      </c>
      <c r="H4723">
        <v>994411328</v>
      </c>
      <c r="I4723">
        <v>778098785</v>
      </c>
      <c r="J4723">
        <v>562351055</v>
      </c>
      <c r="K4723">
        <v>581784231</v>
      </c>
      <c r="P4723">
        <v>39</v>
      </c>
      <c r="Q4723" t="s">
        <v>9792</v>
      </c>
    </row>
    <row r="4724" spans="1:17" x14ac:dyDescent="0.3">
      <c r="A4724" t="s">
        <v>4729</v>
      </c>
      <c r="B4724" t="str">
        <f>"300941"</f>
        <v>300941</v>
      </c>
      <c r="C4724" t="s">
        <v>9793</v>
      </c>
      <c r="D4724" t="s">
        <v>236</v>
      </c>
      <c r="F4724">
        <v>420365425</v>
      </c>
      <c r="G4724">
        <v>613870534</v>
      </c>
      <c r="H4724">
        <v>542116698</v>
      </c>
      <c r="I4724">
        <v>407263504</v>
      </c>
      <c r="J4724">
        <v>306619032</v>
      </c>
      <c r="K4724">
        <v>146895436</v>
      </c>
      <c r="P4724">
        <v>69</v>
      </c>
      <c r="Q4724" t="s">
        <v>9794</v>
      </c>
    </row>
    <row r="4725" spans="1:17" x14ac:dyDescent="0.3">
      <c r="A4725" t="s">
        <v>4729</v>
      </c>
      <c r="B4725" t="str">
        <f>"300942"</f>
        <v>300942</v>
      </c>
      <c r="C4725" t="s">
        <v>9795</v>
      </c>
      <c r="D4725" t="s">
        <v>1305</v>
      </c>
      <c r="F4725">
        <v>597539623</v>
      </c>
      <c r="G4725">
        <v>258455672</v>
      </c>
      <c r="H4725">
        <v>239178002</v>
      </c>
      <c r="I4725">
        <v>204933432</v>
      </c>
      <c r="J4725">
        <v>137887789</v>
      </c>
      <c r="K4725">
        <v>87046832</v>
      </c>
      <c r="P4725">
        <v>98</v>
      </c>
      <c r="Q4725" t="s">
        <v>9796</v>
      </c>
    </row>
    <row r="4726" spans="1:17" x14ac:dyDescent="0.3">
      <c r="A4726" t="s">
        <v>4729</v>
      </c>
      <c r="B4726" t="str">
        <f>"300943"</f>
        <v>300943</v>
      </c>
      <c r="C4726" t="s">
        <v>9797</v>
      </c>
      <c r="D4726" t="s">
        <v>274</v>
      </c>
      <c r="F4726">
        <v>530802679</v>
      </c>
      <c r="G4726">
        <v>511661042</v>
      </c>
      <c r="H4726">
        <v>502763307</v>
      </c>
      <c r="I4726">
        <v>581438732</v>
      </c>
      <c r="J4726">
        <v>620627026</v>
      </c>
      <c r="P4726">
        <v>35</v>
      </c>
      <c r="Q4726" t="s">
        <v>9798</v>
      </c>
    </row>
    <row r="4727" spans="1:17" x14ac:dyDescent="0.3">
      <c r="A4727" t="s">
        <v>4729</v>
      </c>
      <c r="B4727" t="str">
        <f>"300945"</f>
        <v>300945</v>
      </c>
      <c r="C4727" t="s">
        <v>9799</v>
      </c>
      <c r="D4727" t="s">
        <v>1238</v>
      </c>
      <c r="F4727">
        <v>1252538807</v>
      </c>
      <c r="G4727">
        <v>808635447</v>
      </c>
      <c r="H4727">
        <v>896602105</v>
      </c>
      <c r="I4727">
        <v>919672119</v>
      </c>
      <c r="J4727">
        <v>837406174</v>
      </c>
      <c r="K4727">
        <v>749759526</v>
      </c>
      <c r="P4727">
        <v>36</v>
      </c>
      <c r="Q4727" t="s">
        <v>9800</v>
      </c>
    </row>
    <row r="4728" spans="1:17" x14ac:dyDescent="0.3">
      <c r="A4728" t="s">
        <v>4729</v>
      </c>
      <c r="B4728" t="str">
        <f>"300946"</f>
        <v>300946</v>
      </c>
      <c r="C4728" t="s">
        <v>9801</v>
      </c>
      <c r="D4728" t="s">
        <v>274</v>
      </c>
      <c r="F4728">
        <v>455406142</v>
      </c>
      <c r="G4728">
        <v>380377950</v>
      </c>
      <c r="H4728">
        <v>376907544</v>
      </c>
      <c r="I4728">
        <v>362400045</v>
      </c>
      <c r="J4728">
        <v>312341633</v>
      </c>
      <c r="P4728">
        <v>75</v>
      </c>
      <c r="Q4728" t="s">
        <v>9802</v>
      </c>
    </row>
    <row r="4729" spans="1:17" x14ac:dyDescent="0.3">
      <c r="A4729" t="s">
        <v>4729</v>
      </c>
      <c r="B4729" t="str">
        <f>"300947"</f>
        <v>300947</v>
      </c>
      <c r="C4729" t="s">
        <v>9803</v>
      </c>
      <c r="D4729" t="s">
        <v>271</v>
      </c>
      <c r="F4729">
        <v>954893301</v>
      </c>
      <c r="G4729">
        <v>833365723</v>
      </c>
      <c r="H4729">
        <v>910031585</v>
      </c>
      <c r="I4729">
        <v>771560516</v>
      </c>
      <c r="J4729">
        <v>605973229</v>
      </c>
      <c r="K4729">
        <v>505102774</v>
      </c>
      <c r="P4729">
        <v>28</v>
      </c>
      <c r="Q4729" t="s">
        <v>9804</v>
      </c>
    </row>
    <row r="4730" spans="1:17" x14ac:dyDescent="0.3">
      <c r="A4730" t="s">
        <v>4729</v>
      </c>
      <c r="B4730" t="str">
        <f>"300948"</f>
        <v>300948</v>
      </c>
      <c r="C4730" t="s">
        <v>9805</v>
      </c>
      <c r="D4730" t="s">
        <v>2417</v>
      </c>
      <c r="F4730">
        <v>402028963</v>
      </c>
      <c r="G4730">
        <v>292036715</v>
      </c>
      <c r="H4730">
        <v>278036712</v>
      </c>
      <c r="I4730">
        <v>323645945</v>
      </c>
      <c r="J4730">
        <v>191388535</v>
      </c>
      <c r="K4730">
        <v>150733503</v>
      </c>
      <c r="P4730">
        <v>38</v>
      </c>
      <c r="Q4730" t="s">
        <v>9806</v>
      </c>
    </row>
    <row r="4731" spans="1:17" x14ac:dyDescent="0.3">
      <c r="A4731" t="s">
        <v>4729</v>
      </c>
      <c r="B4731" t="str">
        <f>"300949"</f>
        <v>300949</v>
      </c>
      <c r="C4731" t="s">
        <v>9807</v>
      </c>
      <c r="D4731" t="s">
        <v>2417</v>
      </c>
      <c r="F4731">
        <v>611752695</v>
      </c>
      <c r="G4731">
        <v>491441002</v>
      </c>
      <c r="H4731">
        <v>517596107</v>
      </c>
      <c r="I4731">
        <v>380708454</v>
      </c>
      <c r="J4731">
        <v>273270283</v>
      </c>
      <c r="K4731">
        <v>191644630</v>
      </c>
      <c r="P4731">
        <v>39</v>
      </c>
      <c r="Q4731" t="s">
        <v>9808</v>
      </c>
    </row>
    <row r="4732" spans="1:17" x14ac:dyDescent="0.3">
      <c r="A4732" t="s">
        <v>4729</v>
      </c>
      <c r="B4732" t="str">
        <f>"300950"</f>
        <v>300950</v>
      </c>
      <c r="C4732" t="s">
        <v>9809</v>
      </c>
      <c r="D4732" t="s">
        <v>395</v>
      </c>
      <c r="F4732">
        <v>294547361</v>
      </c>
      <c r="G4732">
        <v>250530549</v>
      </c>
      <c r="H4732">
        <v>264027133</v>
      </c>
      <c r="I4732">
        <v>235738463</v>
      </c>
      <c r="J4732">
        <v>217977487</v>
      </c>
      <c r="K4732">
        <v>163299082</v>
      </c>
      <c r="P4732">
        <v>58</v>
      </c>
      <c r="Q4732" t="s">
        <v>9810</v>
      </c>
    </row>
    <row r="4733" spans="1:17" x14ac:dyDescent="0.3">
      <c r="A4733" t="s">
        <v>4729</v>
      </c>
      <c r="B4733" t="str">
        <f>"300951"</f>
        <v>300951</v>
      </c>
      <c r="C4733" t="s">
        <v>9811</v>
      </c>
      <c r="D4733" t="s">
        <v>313</v>
      </c>
      <c r="F4733">
        <v>835920994</v>
      </c>
      <c r="G4733">
        <v>686402214</v>
      </c>
      <c r="H4733">
        <v>505038947</v>
      </c>
      <c r="I4733">
        <v>392323319</v>
      </c>
      <c r="J4733">
        <v>281395318</v>
      </c>
      <c r="P4733">
        <v>67</v>
      </c>
      <c r="Q4733" t="s">
        <v>9812</v>
      </c>
    </row>
    <row r="4734" spans="1:17" x14ac:dyDescent="0.3">
      <c r="A4734" t="s">
        <v>4729</v>
      </c>
      <c r="B4734" t="str">
        <f>"300952"</f>
        <v>300952</v>
      </c>
      <c r="C4734" t="s">
        <v>9813</v>
      </c>
      <c r="D4734" t="s">
        <v>330</v>
      </c>
      <c r="F4734">
        <v>949516260</v>
      </c>
      <c r="G4734">
        <v>829260359</v>
      </c>
      <c r="H4734">
        <v>597179267</v>
      </c>
      <c r="I4734">
        <v>511179532</v>
      </c>
      <c r="J4734">
        <v>447835548</v>
      </c>
      <c r="K4734">
        <v>304843931</v>
      </c>
      <c r="P4734">
        <v>38</v>
      </c>
      <c r="Q4734" t="s">
        <v>9814</v>
      </c>
    </row>
    <row r="4735" spans="1:17" x14ac:dyDescent="0.3">
      <c r="A4735" t="s">
        <v>4729</v>
      </c>
      <c r="B4735" t="str">
        <f>"300953"</f>
        <v>300953</v>
      </c>
      <c r="C4735" t="s">
        <v>9815</v>
      </c>
      <c r="D4735" t="s">
        <v>274</v>
      </c>
      <c r="F4735">
        <v>3034118648</v>
      </c>
      <c r="G4735">
        <v>1192781434</v>
      </c>
      <c r="H4735">
        <v>749534546</v>
      </c>
      <c r="I4735">
        <v>597168462</v>
      </c>
      <c r="J4735">
        <v>305137686</v>
      </c>
      <c r="K4735">
        <v>224183889</v>
      </c>
      <c r="P4735">
        <v>84</v>
      </c>
      <c r="Q4735" t="s">
        <v>9816</v>
      </c>
    </row>
    <row r="4736" spans="1:17" x14ac:dyDescent="0.3">
      <c r="A4736" t="s">
        <v>4729</v>
      </c>
      <c r="B4736" t="str">
        <f>"300955"</f>
        <v>300955</v>
      </c>
      <c r="C4736" t="s">
        <v>9817</v>
      </c>
      <c r="D4736" t="s">
        <v>5979</v>
      </c>
      <c r="F4736">
        <v>1161295193</v>
      </c>
      <c r="G4736">
        <v>968606344</v>
      </c>
      <c r="H4736">
        <v>785658607</v>
      </c>
      <c r="I4736">
        <v>718013026</v>
      </c>
      <c r="J4736">
        <v>532973995</v>
      </c>
      <c r="P4736">
        <v>42</v>
      </c>
      <c r="Q4736" t="s">
        <v>9818</v>
      </c>
    </row>
    <row r="4737" spans="1:17" x14ac:dyDescent="0.3">
      <c r="A4737" t="s">
        <v>4729</v>
      </c>
      <c r="B4737" t="str">
        <f>"300956"</f>
        <v>300956</v>
      </c>
      <c r="C4737" t="s">
        <v>9819</v>
      </c>
      <c r="D4737" t="s">
        <v>313</v>
      </c>
      <c r="F4737">
        <v>1689629855</v>
      </c>
      <c r="G4737">
        <v>1512171256</v>
      </c>
      <c r="H4737">
        <v>1262217643</v>
      </c>
      <c r="I4737">
        <v>1037507675</v>
      </c>
      <c r="J4737">
        <v>740368494</v>
      </c>
      <c r="P4737">
        <v>45</v>
      </c>
      <c r="Q4737" t="s">
        <v>9820</v>
      </c>
    </row>
    <row r="4738" spans="1:17" x14ac:dyDescent="0.3">
      <c r="A4738" t="s">
        <v>4729</v>
      </c>
      <c r="B4738" t="str">
        <f>"300957"</f>
        <v>300957</v>
      </c>
      <c r="C4738" t="s">
        <v>9821</v>
      </c>
      <c r="D4738" t="s">
        <v>709</v>
      </c>
      <c r="F4738">
        <v>4022403432</v>
      </c>
      <c r="G4738">
        <v>2636488348</v>
      </c>
      <c r="H4738">
        <v>1943745541</v>
      </c>
      <c r="I4738">
        <v>1240490198</v>
      </c>
      <c r="J4738">
        <v>798044166</v>
      </c>
      <c r="P4738">
        <v>350</v>
      </c>
      <c r="Q4738" t="s">
        <v>9822</v>
      </c>
    </row>
    <row r="4739" spans="1:17" x14ac:dyDescent="0.3">
      <c r="A4739" t="s">
        <v>4729</v>
      </c>
      <c r="B4739" t="str">
        <f>"300958"</f>
        <v>300958</v>
      </c>
      <c r="C4739" t="s">
        <v>9823</v>
      </c>
      <c r="D4739" t="s">
        <v>3575</v>
      </c>
      <c r="F4739">
        <v>1080654446</v>
      </c>
      <c r="G4739">
        <v>1038313712</v>
      </c>
      <c r="H4739">
        <v>1118707239</v>
      </c>
      <c r="I4739">
        <v>1022250755</v>
      </c>
      <c r="J4739">
        <v>814235680</v>
      </c>
      <c r="P4739">
        <v>28</v>
      </c>
      <c r="Q4739" t="s">
        <v>9824</v>
      </c>
    </row>
    <row r="4740" spans="1:17" x14ac:dyDescent="0.3">
      <c r="A4740" t="s">
        <v>4729</v>
      </c>
      <c r="B4740" t="str">
        <f>"300959"</f>
        <v>300959</v>
      </c>
      <c r="C4740" t="s">
        <v>9825</v>
      </c>
      <c r="D4740" t="s">
        <v>5670</v>
      </c>
      <c r="F4740">
        <v>1294606483</v>
      </c>
      <c r="G4740">
        <v>1102018653</v>
      </c>
      <c r="H4740">
        <v>532340826</v>
      </c>
      <c r="I4740">
        <v>458751687</v>
      </c>
      <c r="J4740">
        <v>276023043</v>
      </c>
      <c r="K4740">
        <v>161177024</v>
      </c>
      <c r="P4740">
        <v>31</v>
      </c>
      <c r="Q4740" t="s">
        <v>9826</v>
      </c>
    </row>
    <row r="4741" spans="1:17" x14ac:dyDescent="0.3">
      <c r="A4741" t="s">
        <v>4729</v>
      </c>
      <c r="B4741" t="str">
        <f>"300960"</f>
        <v>300960</v>
      </c>
      <c r="C4741" t="s">
        <v>9827</v>
      </c>
      <c r="D4741" t="s">
        <v>1012</v>
      </c>
      <c r="F4741">
        <v>294389353</v>
      </c>
      <c r="G4741">
        <v>317786359</v>
      </c>
      <c r="H4741">
        <v>389284496</v>
      </c>
      <c r="I4741">
        <v>359562011</v>
      </c>
      <c r="J4741">
        <v>311595214</v>
      </c>
      <c r="K4741">
        <v>257397667</v>
      </c>
      <c r="P4741">
        <v>26</v>
      </c>
      <c r="Q4741" t="s">
        <v>9828</v>
      </c>
    </row>
    <row r="4742" spans="1:17" x14ac:dyDescent="0.3">
      <c r="A4742" t="s">
        <v>4729</v>
      </c>
      <c r="B4742" t="str">
        <f>"300961"</f>
        <v>300961</v>
      </c>
      <c r="C4742" t="s">
        <v>9829</v>
      </c>
      <c r="D4742" t="s">
        <v>33</v>
      </c>
      <c r="F4742">
        <v>548950479</v>
      </c>
      <c r="G4742">
        <v>565554979</v>
      </c>
      <c r="H4742">
        <v>564274753</v>
      </c>
      <c r="I4742">
        <v>395312214</v>
      </c>
      <c r="J4742">
        <v>265966956</v>
      </c>
      <c r="K4742">
        <v>192328370</v>
      </c>
      <c r="P4742">
        <v>27</v>
      </c>
      <c r="Q4742" t="s">
        <v>9830</v>
      </c>
    </row>
    <row r="4743" spans="1:17" x14ac:dyDescent="0.3">
      <c r="A4743" t="s">
        <v>4729</v>
      </c>
      <c r="B4743" t="str">
        <f>"300962"</f>
        <v>300962</v>
      </c>
      <c r="C4743" t="s">
        <v>9831</v>
      </c>
      <c r="D4743" t="s">
        <v>9832</v>
      </c>
      <c r="F4743">
        <v>309072019</v>
      </c>
      <c r="G4743">
        <v>255963221</v>
      </c>
      <c r="H4743">
        <v>253259662</v>
      </c>
      <c r="I4743">
        <v>243689428</v>
      </c>
      <c r="J4743">
        <v>214210348</v>
      </c>
      <c r="K4743">
        <v>206782586</v>
      </c>
      <c r="P4743">
        <v>32</v>
      </c>
      <c r="Q4743" t="s">
        <v>9833</v>
      </c>
    </row>
    <row r="4744" spans="1:17" x14ac:dyDescent="0.3">
      <c r="A4744" t="s">
        <v>4729</v>
      </c>
      <c r="B4744" t="str">
        <f>"300963"</f>
        <v>300963</v>
      </c>
      <c r="C4744" t="s">
        <v>9834</v>
      </c>
      <c r="D4744" t="s">
        <v>581</v>
      </c>
      <c r="F4744">
        <v>684871623</v>
      </c>
      <c r="G4744">
        <v>600278421</v>
      </c>
      <c r="H4744">
        <v>632044302</v>
      </c>
      <c r="I4744">
        <v>593550413</v>
      </c>
      <c r="J4744">
        <v>420477526</v>
      </c>
      <c r="K4744">
        <v>352469452</v>
      </c>
      <c r="P4744">
        <v>35</v>
      </c>
      <c r="Q4744" t="s">
        <v>9835</v>
      </c>
    </row>
    <row r="4745" spans="1:17" x14ac:dyDescent="0.3">
      <c r="A4745" t="s">
        <v>4729</v>
      </c>
      <c r="B4745" t="str">
        <f>"300964"</f>
        <v>300964</v>
      </c>
      <c r="C4745" t="s">
        <v>9836</v>
      </c>
      <c r="D4745" t="s">
        <v>425</v>
      </c>
      <c r="F4745">
        <v>554048760</v>
      </c>
      <c r="G4745">
        <v>437483587</v>
      </c>
      <c r="H4745">
        <v>465510511</v>
      </c>
      <c r="I4745">
        <v>372379553</v>
      </c>
      <c r="J4745">
        <v>299587701</v>
      </c>
      <c r="P4745">
        <v>20</v>
      </c>
      <c r="Q4745" t="s">
        <v>9837</v>
      </c>
    </row>
    <row r="4746" spans="1:17" x14ac:dyDescent="0.3">
      <c r="A4746" t="s">
        <v>4729</v>
      </c>
      <c r="B4746" t="str">
        <f>"300965"</f>
        <v>300965</v>
      </c>
      <c r="C4746" t="s">
        <v>9838</v>
      </c>
      <c r="D4746" t="s">
        <v>98</v>
      </c>
      <c r="F4746">
        <v>190958988</v>
      </c>
      <c r="G4746">
        <v>213710100</v>
      </c>
      <c r="H4746">
        <v>190435668</v>
      </c>
      <c r="I4746">
        <v>134815204</v>
      </c>
      <c r="J4746">
        <v>156126200</v>
      </c>
      <c r="K4746">
        <v>146439500</v>
      </c>
      <c r="P4746">
        <v>31</v>
      </c>
      <c r="Q4746" t="s">
        <v>9839</v>
      </c>
    </row>
    <row r="4747" spans="1:17" x14ac:dyDescent="0.3">
      <c r="A4747" t="s">
        <v>4729</v>
      </c>
      <c r="B4747" t="str">
        <f>"300966"</f>
        <v>300966</v>
      </c>
      <c r="C4747" t="s">
        <v>9840</v>
      </c>
      <c r="D4747" t="s">
        <v>496</v>
      </c>
      <c r="F4747">
        <v>590885338</v>
      </c>
      <c r="G4747">
        <v>468117264</v>
      </c>
      <c r="H4747">
        <v>464801920</v>
      </c>
      <c r="I4747">
        <v>437301669</v>
      </c>
      <c r="J4747">
        <v>333692153</v>
      </c>
      <c r="P4747">
        <v>32</v>
      </c>
      <c r="Q4747" t="s">
        <v>9841</v>
      </c>
    </row>
    <row r="4748" spans="1:17" x14ac:dyDescent="0.3">
      <c r="A4748" t="s">
        <v>4729</v>
      </c>
      <c r="B4748" t="str">
        <f>"300967"</f>
        <v>300967</v>
      </c>
      <c r="C4748" t="s">
        <v>9842</v>
      </c>
      <c r="D4748" t="s">
        <v>6260</v>
      </c>
      <c r="F4748">
        <v>714367715</v>
      </c>
      <c r="G4748">
        <v>540018818</v>
      </c>
      <c r="H4748">
        <v>539410879</v>
      </c>
      <c r="I4748">
        <v>383666660</v>
      </c>
      <c r="J4748">
        <v>283394864</v>
      </c>
      <c r="P4748">
        <v>34</v>
      </c>
      <c r="Q4748" t="s">
        <v>9843</v>
      </c>
    </row>
    <row r="4749" spans="1:17" x14ac:dyDescent="0.3">
      <c r="A4749" t="s">
        <v>4729</v>
      </c>
      <c r="B4749" t="str">
        <f>"300968"</f>
        <v>300968</v>
      </c>
      <c r="C4749" t="s">
        <v>9844</v>
      </c>
      <c r="D4749" t="s">
        <v>313</v>
      </c>
      <c r="F4749">
        <v>1423332414</v>
      </c>
      <c r="G4749">
        <v>1758288441</v>
      </c>
      <c r="H4749">
        <v>1233451030</v>
      </c>
      <c r="I4749">
        <v>1065895380</v>
      </c>
      <c r="J4749">
        <v>1273789443</v>
      </c>
      <c r="K4749">
        <v>1195291837</v>
      </c>
      <c r="P4749">
        <v>31</v>
      </c>
      <c r="Q4749" t="s">
        <v>9845</v>
      </c>
    </row>
    <row r="4750" spans="1:17" x14ac:dyDescent="0.3">
      <c r="A4750" t="s">
        <v>4729</v>
      </c>
      <c r="B4750" t="str">
        <f>"300969"</f>
        <v>300969</v>
      </c>
      <c r="C4750" t="s">
        <v>9846</v>
      </c>
      <c r="D4750" t="s">
        <v>191</v>
      </c>
      <c r="F4750">
        <v>584449548</v>
      </c>
      <c r="G4750">
        <v>341122319</v>
      </c>
      <c r="H4750">
        <v>330985179</v>
      </c>
      <c r="I4750">
        <v>321990746</v>
      </c>
      <c r="J4750">
        <v>300928709</v>
      </c>
      <c r="P4750">
        <v>42</v>
      </c>
      <c r="Q4750" t="s">
        <v>9847</v>
      </c>
    </row>
    <row r="4751" spans="1:17" x14ac:dyDescent="0.3">
      <c r="A4751" t="s">
        <v>4729</v>
      </c>
      <c r="B4751" t="str">
        <f>"300970"</f>
        <v>300970</v>
      </c>
      <c r="C4751" t="s">
        <v>9848</v>
      </c>
      <c r="D4751" t="s">
        <v>7331</v>
      </c>
      <c r="F4751">
        <v>578088209</v>
      </c>
      <c r="G4751">
        <v>609398495</v>
      </c>
      <c r="H4751">
        <v>575423257</v>
      </c>
      <c r="I4751">
        <v>394164107</v>
      </c>
      <c r="J4751">
        <v>347913479</v>
      </c>
      <c r="K4751">
        <v>265925714</v>
      </c>
      <c r="P4751">
        <v>25</v>
      </c>
      <c r="Q4751" t="s">
        <v>9849</v>
      </c>
    </row>
    <row r="4752" spans="1:17" x14ac:dyDescent="0.3">
      <c r="A4752" t="s">
        <v>4729</v>
      </c>
      <c r="B4752" t="str">
        <f>"300971"</f>
        <v>300971</v>
      </c>
      <c r="C4752" t="s">
        <v>9850</v>
      </c>
      <c r="D4752" t="s">
        <v>741</v>
      </c>
      <c r="F4752">
        <v>392494178</v>
      </c>
      <c r="G4752">
        <v>364147929</v>
      </c>
      <c r="H4752">
        <v>295621646</v>
      </c>
      <c r="I4752">
        <v>265418232</v>
      </c>
      <c r="J4752">
        <v>236483910</v>
      </c>
      <c r="P4752">
        <v>39</v>
      </c>
      <c r="Q4752" t="s">
        <v>9851</v>
      </c>
    </row>
    <row r="4753" spans="1:17" x14ac:dyDescent="0.3">
      <c r="A4753" t="s">
        <v>4729</v>
      </c>
      <c r="B4753" t="str">
        <f>"300972"</f>
        <v>300972</v>
      </c>
      <c r="C4753" t="s">
        <v>9852</v>
      </c>
      <c r="D4753" t="s">
        <v>7331</v>
      </c>
      <c r="F4753">
        <v>425520718</v>
      </c>
      <c r="G4753">
        <v>449983599</v>
      </c>
      <c r="H4753">
        <v>450909279</v>
      </c>
      <c r="I4753">
        <v>342722302</v>
      </c>
      <c r="J4753">
        <v>246715366</v>
      </c>
      <c r="P4753">
        <v>22</v>
      </c>
      <c r="Q4753" t="s">
        <v>9853</v>
      </c>
    </row>
    <row r="4754" spans="1:17" x14ac:dyDescent="0.3">
      <c r="A4754" t="s">
        <v>4729</v>
      </c>
      <c r="B4754" t="str">
        <f>"300973"</f>
        <v>300973</v>
      </c>
      <c r="C4754" t="s">
        <v>9854</v>
      </c>
      <c r="D4754" t="s">
        <v>2488</v>
      </c>
      <c r="F4754">
        <v>2816982965</v>
      </c>
      <c r="G4754">
        <v>1809690091</v>
      </c>
      <c r="H4754">
        <v>1583729455</v>
      </c>
      <c r="I4754">
        <v>1313452993</v>
      </c>
      <c r="J4754">
        <v>955991514</v>
      </c>
      <c r="P4754">
        <v>140</v>
      </c>
      <c r="Q4754" t="s">
        <v>9855</v>
      </c>
    </row>
    <row r="4755" spans="1:17" x14ac:dyDescent="0.3">
      <c r="A4755" t="s">
        <v>4729</v>
      </c>
      <c r="B4755" t="str">
        <f>"300975"</f>
        <v>300975</v>
      </c>
      <c r="C4755" t="s">
        <v>9856</v>
      </c>
      <c r="D4755" t="s">
        <v>651</v>
      </c>
      <c r="F4755">
        <v>5362804515</v>
      </c>
      <c r="G4755">
        <v>3118957465</v>
      </c>
      <c r="H4755">
        <v>2068426391</v>
      </c>
      <c r="I4755">
        <v>2992733252</v>
      </c>
      <c r="J4755">
        <v>1675849799</v>
      </c>
      <c r="P4755">
        <v>30</v>
      </c>
      <c r="Q4755" t="s">
        <v>9857</v>
      </c>
    </row>
    <row r="4756" spans="1:17" x14ac:dyDescent="0.3">
      <c r="A4756" t="s">
        <v>4729</v>
      </c>
      <c r="B4756" t="str">
        <f>"300976"</f>
        <v>300976</v>
      </c>
      <c r="C4756" t="s">
        <v>9858</v>
      </c>
      <c r="D4756" t="s">
        <v>313</v>
      </c>
      <c r="F4756">
        <v>1214166196</v>
      </c>
      <c r="G4756">
        <v>959479778</v>
      </c>
      <c r="H4756">
        <v>866784611</v>
      </c>
      <c r="I4756">
        <v>607063710</v>
      </c>
      <c r="J4756">
        <v>366099271</v>
      </c>
      <c r="P4756">
        <v>35</v>
      </c>
      <c r="Q4756" t="s">
        <v>9859</v>
      </c>
    </row>
    <row r="4757" spans="1:17" x14ac:dyDescent="0.3">
      <c r="A4757" t="s">
        <v>4729</v>
      </c>
      <c r="B4757" t="str">
        <f>"300977"</f>
        <v>300977</v>
      </c>
      <c r="C4757" t="s">
        <v>9860</v>
      </c>
      <c r="D4757" t="s">
        <v>1272</v>
      </c>
      <c r="F4757">
        <v>778212060</v>
      </c>
      <c r="G4757">
        <v>572670803</v>
      </c>
      <c r="H4757">
        <v>496476637</v>
      </c>
      <c r="I4757">
        <v>310389818</v>
      </c>
      <c r="J4757">
        <v>173947318</v>
      </c>
      <c r="K4757">
        <v>114693338</v>
      </c>
      <c r="P4757">
        <v>46</v>
      </c>
      <c r="Q4757" t="s">
        <v>9861</v>
      </c>
    </row>
    <row r="4758" spans="1:17" x14ac:dyDescent="0.3">
      <c r="A4758" t="s">
        <v>4729</v>
      </c>
      <c r="B4758" t="str">
        <f>"300978"</f>
        <v>300978</v>
      </c>
      <c r="C4758" t="s">
        <v>9862</v>
      </c>
      <c r="D4758" t="s">
        <v>191</v>
      </c>
      <c r="F4758">
        <v>1636316359</v>
      </c>
      <c r="G4758">
        <v>1475252250</v>
      </c>
      <c r="H4758">
        <v>1565595935</v>
      </c>
      <c r="I4758">
        <v>1614153111</v>
      </c>
      <c r="J4758">
        <v>1513172378</v>
      </c>
      <c r="K4758">
        <v>1330899820</v>
      </c>
      <c r="P4758">
        <v>37</v>
      </c>
      <c r="Q4758" t="s">
        <v>9863</v>
      </c>
    </row>
    <row r="4759" spans="1:17" x14ac:dyDescent="0.3">
      <c r="A4759" t="s">
        <v>4729</v>
      </c>
      <c r="B4759" t="str">
        <f>"300979"</f>
        <v>300979</v>
      </c>
      <c r="C4759" t="s">
        <v>9864</v>
      </c>
      <c r="D4759" t="s">
        <v>9865</v>
      </c>
      <c r="F4759">
        <v>17469576229</v>
      </c>
      <c r="G4759">
        <v>13931137967</v>
      </c>
      <c r="H4759">
        <v>15165661300</v>
      </c>
      <c r="I4759">
        <v>12388480166</v>
      </c>
      <c r="J4759">
        <v>10009183924</v>
      </c>
      <c r="P4759">
        <v>93</v>
      </c>
      <c r="Q4759" t="s">
        <v>9866</v>
      </c>
    </row>
    <row r="4760" spans="1:17" x14ac:dyDescent="0.3">
      <c r="A4760" t="s">
        <v>4729</v>
      </c>
      <c r="B4760" t="str">
        <f>"300980"</f>
        <v>300980</v>
      </c>
      <c r="C4760" t="s">
        <v>9867</v>
      </c>
      <c r="D4760" t="s">
        <v>1192</v>
      </c>
      <c r="F4760">
        <v>457445464</v>
      </c>
      <c r="G4760">
        <v>316692309</v>
      </c>
      <c r="H4760">
        <v>284276352</v>
      </c>
      <c r="I4760">
        <v>215617152</v>
      </c>
      <c r="J4760">
        <v>152393139</v>
      </c>
      <c r="P4760">
        <v>77</v>
      </c>
      <c r="Q4760" t="s">
        <v>9868</v>
      </c>
    </row>
    <row r="4761" spans="1:17" x14ac:dyDescent="0.3">
      <c r="A4761" t="s">
        <v>4729</v>
      </c>
      <c r="B4761" t="str">
        <f>"300981"</f>
        <v>300981</v>
      </c>
      <c r="C4761" t="s">
        <v>9869</v>
      </c>
      <c r="D4761" t="s">
        <v>1077</v>
      </c>
      <c r="F4761">
        <v>4909310937</v>
      </c>
      <c r="G4761">
        <v>4778406872</v>
      </c>
      <c r="H4761">
        <v>1170814040</v>
      </c>
      <c r="I4761">
        <v>967534128</v>
      </c>
      <c r="J4761">
        <v>951153299</v>
      </c>
      <c r="P4761">
        <v>127</v>
      </c>
      <c r="Q4761" t="s">
        <v>9870</v>
      </c>
    </row>
    <row r="4762" spans="1:17" x14ac:dyDescent="0.3">
      <c r="A4762" t="s">
        <v>4729</v>
      </c>
      <c r="B4762" t="str">
        <f>"300982"</f>
        <v>300982</v>
      </c>
      <c r="C4762" t="s">
        <v>9871</v>
      </c>
      <c r="D4762" t="s">
        <v>101</v>
      </c>
      <c r="F4762">
        <v>1855919281</v>
      </c>
      <c r="G4762">
        <v>1368824360</v>
      </c>
      <c r="H4762">
        <v>990429016</v>
      </c>
      <c r="I4762">
        <v>667636673</v>
      </c>
      <c r="J4762">
        <v>471458005</v>
      </c>
      <c r="K4762">
        <v>373333906</v>
      </c>
      <c r="P4762">
        <v>65</v>
      </c>
      <c r="Q4762" t="s">
        <v>9872</v>
      </c>
    </row>
    <row r="4763" spans="1:17" x14ac:dyDescent="0.3">
      <c r="A4763" t="s">
        <v>4729</v>
      </c>
      <c r="B4763" t="str">
        <f>"300983"</f>
        <v>300983</v>
      </c>
      <c r="C4763" t="s">
        <v>9873</v>
      </c>
      <c r="D4763" t="s">
        <v>1272</v>
      </c>
      <c r="F4763">
        <v>955373657</v>
      </c>
      <c r="G4763">
        <v>925560451</v>
      </c>
      <c r="H4763">
        <v>854302316</v>
      </c>
      <c r="I4763">
        <v>729570871</v>
      </c>
      <c r="J4763">
        <v>486440866</v>
      </c>
      <c r="P4763">
        <v>34</v>
      </c>
      <c r="Q4763" t="s">
        <v>9874</v>
      </c>
    </row>
    <row r="4764" spans="1:17" x14ac:dyDescent="0.3">
      <c r="A4764" t="s">
        <v>4729</v>
      </c>
      <c r="B4764" t="str">
        <f>"300984"</f>
        <v>300984</v>
      </c>
      <c r="C4764" t="s">
        <v>9875</v>
      </c>
      <c r="D4764" t="s">
        <v>560</v>
      </c>
      <c r="F4764">
        <v>895591817</v>
      </c>
      <c r="G4764">
        <v>555094119</v>
      </c>
      <c r="H4764">
        <v>571879506</v>
      </c>
      <c r="I4764">
        <v>544369356</v>
      </c>
      <c r="J4764">
        <v>419260320</v>
      </c>
      <c r="P4764">
        <v>18</v>
      </c>
      <c r="Q4764" t="s">
        <v>9876</v>
      </c>
    </row>
    <row r="4765" spans="1:17" x14ac:dyDescent="0.3">
      <c r="A4765" t="s">
        <v>4729</v>
      </c>
      <c r="B4765" t="str">
        <f>"300985"</f>
        <v>300985</v>
      </c>
      <c r="C4765" t="s">
        <v>9877</v>
      </c>
      <c r="D4765" t="s">
        <v>274</v>
      </c>
      <c r="F4765">
        <v>393643829</v>
      </c>
      <c r="G4765">
        <v>1319702116</v>
      </c>
      <c r="H4765">
        <v>797446689</v>
      </c>
      <c r="I4765">
        <v>411003142</v>
      </c>
      <c r="J4765">
        <v>251496077</v>
      </c>
      <c r="P4765">
        <v>32</v>
      </c>
      <c r="Q4765" t="s">
        <v>9878</v>
      </c>
    </row>
    <row r="4766" spans="1:17" x14ac:dyDescent="0.3">
      <c r="A4766" t="s">
        <v>4729</v>
      </c>
      <c r="B4766" t="str">
        <f>"300986"</f>
        <v>300986</v>
      </c>
      <c r="C4766" t="s">
        <v>9879</v>
      </c>
      <c r="D4766" t="s">
        <v>504</v>
      </c>
      <c r="F4766">
        <v>1481170046</v>
      </c>
      <c r="G4766">
        <v>1119579539</v>
      </c>
      <c r="H4766">
        <v>861970640</v>
      </c>
      <c r="I4766">
        <v>559673447</v>
      </c>
      <c r="J4766">
        <v>301133396</v>
      </c>
      <c r="K4766">
        <v>158398500</v>
      </c>
      <c r="P4766">
        <v>34</v>
      </c>
      <c r="Q4766" t="s">
        <v>9880</v>
      </c>
    </row>
    <row r="4767" spans="1:17" x14ac:dyDescent="0.3">
      <c r="A4767" t="s">
        <v>4729</v>
      </c>
      <c r="B4767" t="str">
        <f>"300987"</f>
        <v>300987</v>
      </c>
      <c r="C4767" t="s">
        <v>9881</v>
      </c>
      <c r="D4767" t="s">
        <v>522</v>
      </c>
      <c r="F4767">
        <v>189540956</v>
      </c>
      <c r="G4767">
        <v>194423636</v>
      </c>
      <c r="H4767">
        <v>207498176</v>
      </c>
      <c r="I4767">
        <v>205848760</v>
      </c>
      <c r="J4767">
        <v>167099625</v>
      </c>
      <c r="K4767">
        <v>186473424</v>
      </c>
      <c r="P4767">
        <v>24</v>
      </c>
      <c r="Q4767" t="s">
        <v>9882</v>
      </c>
    </row>
    <row r="4768" spans="1:17" x14ac:dyDescent="0.3">
      <c r="A4768" t="s">
        <v>4729</v>
      </c>
      <c r="B4768" t="str">
        <f>"300988"</f>
        <v>300988</v>
      </c>
      <c r="C4768" t="s">
        <v>9883</v>
      </c>
      <c r="D4768" t="s">
        <v>741</v>
      </c>
      <c r="F4768">
        <v>1341177751</v>
      </c>
      <c r="G4768">
        <v>989538493</v>
      </c>
      <c r="H4768">
        <v>874381760</v>
      </c>
      <c r="I4768">
        <v>863073722</v>
      </c>
      <c r="J4768">
        <v>734894730</v>
      </c>
      <c r="P4768">
        <v>20</v>
      </c>
      <c r="Q4768" t="s">
        <v>9884</v>
      </c>
    </row>
    <row r="4769" spans="1:17" x14ac:dyDescent="0.3">
      <c r="A4769" t="s">
        <v>4729</v>
      </c>
      <c r="B4769" t="str">
        <f>"300989"</f>
        <v>300989</v>
      </c>
      <c r="C4769" t="s">
        <v>9885</v>
      </c>
      <c r="D4769" t="s">
        <v>1272</v>
      </c>
      <c r="F4769">
        <v>525552730</v>
      </c>
      <c r="G4769">
        <v>492579420</v>
      </c>
      <c r="H4769">
        <v>396284995</v>
      </c>
      <c r="I4769">
        <v>329765330</v>
      </c>
      <c r="J4769">
        <v>226298495</v>
      </c>
      <c r="P4769">
        <v>32</v>
      </c>
      <c r="Q4769" t="s">
        <v>9886</v>
      </c>
    </row>
    <row r="4770" spans="1:17" x14ac:dyDescent="0.3">
      <c r="A4770" t="s">
        <v>4729</v>
      </c>
      <c r="B4770" t="str">
        <f>"300990"</f>
        <v>300990</v>
      </c>
      <c r="C4770" t="s">
        <v>9887</v>
      </c>
      <c r="D4770" t="s">
        <v>988</v>
      </c>
      <c r="F4770">
        <v>829432285</v>
      </c>
      <c r="G4770">
        <v>612285638</v>
      </c>
      <c r="H4770">
        <v>418561228</v>
      </c>
      <c r="I4770">
        <v>377815918</v>
      </c>
      <c r="J4770">
        <v>333888281</v>
      </c>
      <c r="P4770">
        <v>42</v>
      </c>
      <c r="Q4770" t="s">
        <v>9888</v>
      </c>
    </row>
    <row r="4771" spans="1:17" x14ac:dyDescent="0.3">
      <c r="A4771" t="s">
        <v>4729</v>
      </c>
      <c r="B4771" t="str">
        <f>"300991"</f>
        <v>300991</v>
      </c>
      <c r="C4771" t="s">
        <v>9889</v>
      </c>
      <c r="D4771" t="s">
        <v>651</v>
      </c>
      <c r="F4771">
        <v>499198727</v>
      </c>
      <c r="G4771">
        <v>461761524</v>
      </c>
      <c r="H4771">
        <v>441141787</v>
      </c>
      <c r="I4771">
        <v>367617350</v>
      </c>
      <c r="J4771">
        <v>281608224</v>
      </c>
      <c r="P4771">
        <v>58</v>
      </c>
      <c r="Q4771" t="s">
        <v>9890</v>
      </c>
    </row>
    <row r="4772" spans="1:17" x14ac:dyDescent="0.3">
      <c r="A4772" t="s">
        <v>4729</v>
      </c>
      <c r="B4772" t="str">
        <f>"300992"</f>
        <v>300992</v>
      </c>
      <c r="C4772" t="s">
        <v>9891</v>
      </c>
      <c r="D4772" t="s">
        <v>560</v>
      </c>
      <c r="F4772">
        <v>561326186</v>
      </c>
      <c r="G4772">
        <v>423583670</v>
      </c>
      <c r="H4772">
        <v>386426682</v>
      </c>
      <c r="I4772">
        <v>294095924</v>
      </c>
      <c r="J4772">
        <v>301402587</v>
      </c>
      <c r="P4772">
        <v>26</v>
      </c>
      <c r="Q4772" t="s">
        <v>9892</v>
      </c>
    </row>
    <row r="4773" spans="1:17" x14ac:dyDescent="0.3">
      <c r="A4773" t="s">
        <v>4729</v>
      </c>
      <c r="B4773" t="str">
        <f>"300993"</f>
        <v>300993</v>
      </c>
      <c r="C4773" t="s">
        <v>9893</v>
      </c>
      <c r="D4773" t="s">
        <v>2445</v>
      </c>
      <c r="F4773">
        <v>520378482</v>
      </c>
      <c r="G4773">
        <v>385011656</v>
      </c>
      <c r="H4773">
        <v>383586996</v>
      </c>
      <c r="I4773">
        <v>321846114</v>
      </c>
      <c r="J4773">
        <v>256165348</v>
      </c>
      <c r="P4773">
        <v>31</v>
      </c>
      <c r="Q4773" t="s">
        <v>9894</v>
      </c>
    </row>
    <row r="4774" spans="1:17" x14ac:dyDescent="0.3">
      <c r="A4774" t="s">
        <v>4729</v>
      </c>
      <c r="B4774" t="str">
        <f>"300994"</f>
        <v>300994</v>
      </c>
      <c r="C4774" t="s">
        <v>9895</v>
      </c>
      <c r="D4774" t="s">
        <v>233</v>
      </c>
      <c r="F4774">
        <v>3709746100</v>
      </c>
      <c r="G4774">
        <v>2285558693</v>
      </c>
      <c r="H4774">
        <v>1795431425</v>
      </c>
      <c r="I4774">
        <v>1820493259</v>
      </c>
      <c r="J4774">
        <v>1755558729</v>
      </c>
      <c r="P4774">
        <v>21</v>
      </c>
      <c r="Q4774" t="s">
        <v>9896</v>
      </c>
    </row>
    <row r="4775" spans="1:17" x14ac:dyDescent="0.3">
      <c r="A4775" t="s">
        <v>4729</v>
      </c>
      <c r="B4775" t="str">
        <f>"300995"</f>
        <v>300995</v>
      </c>
      <c r="C4775" t="s">
        <v>9897</v>
      </c>
      <c r="D4775" t="s">
        <v>341</v>
      </c>
      <c r="F4775">
        <v>319887134</v>
      </c>
      <c r="G4775">
        <v>360706196</v>
      </c>
      <c r="H4775">
        <v>269305908</v>
      </c>
      <c r="I4775">
        <v>245514243</v>
      </c>
      <c r="J4775">
        <v>219803042</v>
      </c>
      <c r="P4775">
        <v>26</v>
      </c>
      <c r="Q4775" t="s">
        <v>9898</v>
      </c>
    </row>
    <row r="4776" spans="1:17" x14ac:dyDescent="0.3">
      <c r="A4776" t="s">
        <v>4729</v>
      </c>
      <c r="B4776" t="str">
        <f>"300996"</f>
        <v>300996</v>
      </c>
      <c r="C4776" t="s">
        <v>9899</v>
      </c>
      <c r="D4776" t="s">
        <v>945</v>
      </c>
      <c r="F4776">
        <v>581932459</v>
      </c>
      <c r="G4776">
        <v>422103867</v>
      </c>
      <c r="H4776">
        <v>367771594</v>
      </c>
      <c r="I4776">
        <v>293194117</v>
      </c>
      <c r="J4776">
        <v>276962400</v>
      </c>
      <c r="P4776">
        <v>42</v>
      </c>
      <c r="Q4776" t="s">
        <v>9900</v>
      </c>
    </row>
    <row r="4777" spans="1:17" x14ac:dyDescent="0.3">
      <c r="A4777" t="s">
        <v>4729</v>
      </c>
      <c r="B4777" t="str">
        <f>"300997"</f>
        <v>300997</v>
      </c>
      <c r="C4777" t="s">
        <v>9901</v>
      </c>
      <c r="D4777" t="s">
        <v>440</v>
      </c>
      <c r="F4777">
        <v>1472564012</v>
      </c>
      <c r="G4777">
        <v>1246912199</v>
      </c>
      <c r="H4777">
        <v>1424130671</v>
      </c>
      <c r="I4777">
        <v>1354783529</v>
      </c>
      <c r="J4777">
        <v>1194747943</v>
      </c>
      <c r="P4777">
        <v>39</v>
      </c>
      <c r="Q4777" t="s">
        <v>9902</v>
      </c>
    </row>
    <row r="4778" spans="1:17" x14ac:dyDescent="0.3">
      <c r="A4778" t="s">
        <v>4729</v>
      </c>
      <c r="B4778" t="str">
        <f>"300998"</f>
        <v>300998</v>
      </c>
      <c r="C4778" t="s">
        <v>9903</v>
      </c>
      <c r="D4778" t="s">
        <v>985</v>
      </c>
      <c r="F4778">
        <v>701706143</v>
      </c>
      <c r="G4778">
        <v>644713035</v>
      </c>
      <c r="H4778">
        <v>620440100</v>
      </c>
      <c r="I4778">
        <v>547071838</v>
      </c>
      <c r="J4778">
        <v>468557169</v>
      </c>
      <c r="K4778">
        <v>436522692</v>
      </c>
      <c r="P4778">
        <v>26</v>
      </c>
      <c r="Q4778" t="s">
        <v>9904</v>
      </c>
    </row>
    <row r="4779" spans="1:17" x14ac:dyDescent="0.3">
      <c r="A4779" t="s">
        <v>4729</v>
      </c>
      <c r="B4779" t="str">
        <f>"300999"</f>
        <v>300999</v>
      </c>
      <c r="C4779" t="s">
        <v>9905</v>
      </c>
      <c r="D4779" t="s">
        <v>306</v>
      </c>
      <c r="F4779">
        <v>226225162000</v>
      </c>
      <c r="G4779">
        <v>194921555000</v>
      </c>
      <c r="H4779">
        <v>170743420000</v>
      </c>
      <c r="I4779">
        <v>167073521000</v>
      </c>
      <c r="J4779">
        <v>150766281000</v>
      </c>
      <c r="K4779">
        <v>133493710000</v>
      </c>
      <c r="P4779">
        <v>1181</v>
      </c>
      <c r="Q4779" t="s">
        <v>9906</v>
      </c>
    </row>
    <row r="4780" spans="1:17" x14ac:dyDescent="0.3">
      <c r="A4780" t="s">
        <v>4729</v>
      </c>
      <c r="B4780" t="str">
        <f>"301000"</f>
        <v>301000</v>
      </c>
      <c r="C4780" t="s">
        <v>9907</v>
      </c>
      <c r="D4780" t="s">
        <v>985</v>
      </c>
      <c r="F4780">
        <v>584390306</v>
      </c>
      <c r="G4780">
        <v>495057021</v>
      </c>
      <c r="H4780">
        <v>334693607</v>
      </c>
      <c r="I4780">
        <v>295057341</v>
      </c>
      <c r="J4780">
        <v>233307317</v>
      </c>
      <c r="P4780">
        <v>25</v>
      </c>
      <c r="Q4780" t="s">
        <v>9908</v>
      </c>
    </row>
    <row r="4781" spans="1:17" x14ac:dyDescent="0.3">
      <c r="A4781" t="s">
        <v>4729</v>
      </c>
      <c r="B4781" t="str">
        <f>"301001"</f>
        <v>301001</v>
      </c>
      <c r="C4781" t="s">
        <v>9909</v>
      </c>
      <c r="D4781" t="s">
        <v>3617</v>
      </c>
      <c r="F4781">
        <v>830634317</v>
      </c>
      <c r="G4781">
        <v>886601505</v>
      </c>
      <c r="H4781">
        <v>770228579</v>
      </c>
      <c r="I4781">
        <v>748276717</v>
      </c>
      <c r="J4781">
        <v>557701671</v>
      </c>
      <c r="P4781">
        <v>23</v>
      </c>
      <c r="Q4781" t="s">
        <v>9910</v>
      </c>
    </row>
    <row r="4782" spans="1:17" x14ac:dyDescent="0.3">
      <c r="A4782" t="s">
        <v>4729</v>
      </c>
      <c r="B4782" t="str">
        <f>"301002"</f>
        <v>301002</v>
      </c>
      <c r="C4782" t="s">
        <v>9911</v>
      </c>
      <c r="D4782" t="s">
        <v>210</v>
      </c>
      <c r="F4782">
        <v>1100830067</v>
      </c>
      <c r="G4782">
        <v>676420546</v>
      </c>
      <c r="H4782">
        <v>567708501</v>
      </c>
      <c r="I4782">
        <v>438824147</v>
      </c>
      <c r="J4782">
        <v>228091954</v>
      </c>
      <c r="P4782">
        <v>43</v>
      </c>
      <c r="Q4782" t="s">
        <v>9912</v>
      </c>
    </row>
    <row r="4783" spans="1:17" x14ac:dyDescent="0.3">
      <c r="A4783" t="s">
        <v>4729</v>
      </c>
      <c r="B4783" t="str">
        <f>"301003"</f>
        <v>301003</v>
      </c>
      <c r="C4783" t="s">
        <v>9913</v>
      </c>
      <c r="D4783" t="s">
        <v>341</v>
      </c>
      <c r="F4783">
        <v>701552636</v>
      </c>
      <c r="G4783">
        <v>454996428</v>
      </c>
      <c r="H4783">
        <v>381517379</v>
      </c>
      <c r="I4783">
        <v>386144083</v>
      </c>
      <c r="J4783">
        <v>302297332</v>
      </c>
      <c r="P4783">
        <v>31</v>
      </c>
      <c r="Q4783" t="s">
        <v>9914</v>
      </c>
    </row>
    <row r="4784" spans="1:17" x14ac:dyDescent="0.3">
      <c r="A4784" t="s">
        <v>4729</v>
      </c>
      <c r="B4784" t="str">
        <f>"301004"</f>
        <v>301004</v>
      </c>
      <c r="C4784" t="s">
        <v>9915</v>
      </c>
      <c r="D4784" t="s">
        <v>2445</v>
      </c>
      <c r="F4784">
        <v>585628943</v>
      </c>
      <c r="G4784">
        <v>355587529</v>
      </c>
      <c r="H4784">
        <v>404961066</v>
      </c>
      <c r="I4784">
        <v>376448839</v>
      </c>
      <c r="J4784">
        <v>340071551</v>
      </c>
      <c r="P4784">
        <v>25</v>
      </c>
      <c r="Q4784" t="s">
        <v>9916</v>
      </c>
    </row>
    <row r="4785" spans="1:17" x14ac:dyDescent="0.3">
      <c r="A4785" t="s">
        <v>4729</v>
      </c>
      <c r="B4785" t="str">
        <f>"301005"</f>
        <v>301005</v>
      </c>
      <c r="C4785" t="s">
        <v>9917</v>
      </c>
      <c r="D4785" t="s">
        <v>985</v>
      </c>
      <c r="F4785">
        <v>393970781</v>
      </c>
      <c r="G4785">
        <v>344654904</v>
      </c>
      <c r="H4785">
        <v>306502021</v>
      </c>
      <c r="I4785">
        <v>302471486</v>
      </c>
      <c r="J4785">
        <v>277933387</v>
      </c>
      <c r="P4785">
        <v>23</v>
      </c>
      <c r="Q4785" t="s">
        <v>9918</v>
      </c>
    </row>
    <row r="4786" spans="1:17" x14ac:dyDescent="0.3">
      <c r="A4786" t="s">
        <v>4729</v>
      </c>
      <c r="B4786" t="str">
        <f>"301006"</f>
        <v>301006</v>
      </c>
      <c r="C4786" t="s">
        <v>9919</v>
      </c>
      <c r="D4786" t="s">
        <v>2566</v>
      </c>
      <c r="F4786">
        <v>408629729</v>
      </c>
      <c r="G4786">
        <v>420470752</v>
      </c>
      <c r="H4786">
        <v>313896386</v>
      </c>
      <c r="I4786">
        <v>188683850</v>
      </c>
      <c r="J4786">
        <v>121430823</v>
      </c>
      <c r="P4786">
        <v>50</v>
      </c>
      <c r="Q4786" t="s">
        <v>9920</v>
      </c>
    </row>
    <row r="4787" spans="1:17" x14ac:dyDescent="0.3">
      <c r="A4787" t="s">
        <v>4729</v>
      </c>
      <c r="B4787" t="str">
        <f>"301007"</f>
        <v>301007</v>
      </c>
      <c r="C4787" t="s">
        <v>9921</v>
      </c>
      <c r="D4787" t="s">
        <v>348</v>
      </c>
      <c r="F4787">
        <v>512151997</v>
      </c>
      <c r="G4787">
        <v>443875067</v>
      </c>
      <c r="H4787">
        <v>409162577</v>
      </c>
      <c r="I4787">
        <v>388162887</v>
      </c>
      <c r="J4787">
        <v>352304478</v>
      </c>
      <c r="K4787">
        <v>311616750</v>
      </c>
      <c r="P4787">
        <v>44</v>
      </c>
      <c r="Q4787" t="s">
        <v>9922</v>
      </c>
    </row>
    <row r="4788" spans="1:17" x14ac:dyDescent="0.3">
      <c r="A4788" t="s">
        <v>4729</v>
      </c>
      <c r="B4788" t="str">
        <f>"301008"</f>
        <v>301008</v>
      </c>
      <c r="C4788" t="s">
        <v>9923</v>
      </c>
      <c r="D4788" t="s">
        <v>1253</v>
      </c>
      <c r="F4788">
        <v>767823526</v>
      </c>
      <c r="G4788">
        <v>577004366</v>
      </c>
      <c r="H4788">
        <v>506101625</v>
      </c>
      <c r="I4788">
        <v>385092100</v>
      </c>
      <c r="J4788">
        <v>316154345</v>
      </c>
      <c r="P4788">
        <v>36</v>
      </c>
      <c r="Q4788" t="s">
        <v>9924</v>
      </c>
    </row>
    <row r="4789" spans="1:17" x14ac:dyDescent="0.3">
      <c r="A4789" t="s">
        <v>4729</v>
      </c>
      <c r="B4789" t="str">
        <f>"301009"</f>
        <v>301009</v>
      </c>
      <c r="C4789" t="s">
        <v>9925</v>
      </c>
      <c r="D4789" t="s">
        <v>2751</v>
      </c>
      <c r="F4789">
        <v>1186403783</v>
      </c>
      <c r="G4789">
        <v>1635131559</v>
      </c>
      <c r="H4789">
        <v>1173726342</v>
      </c>
      <c r="I4789">
        <v>906241508</v>
      </c>
      <c r="J4789">
        <v>786937849</v>
      </c>
      <c r="P4789">
        <v>59</v>
      </c>
      <c r="Q4789" t="s">
        <v>9926</v>
      </c>
    </row>
    <row r="4790" spans="1:17" x14ac:dyDescent="0.3">
      <c r="A4790" t="s">
        <v>4729</v>
      </c>
      <c r="B4790" t="str">
        <f>"301010"</f>
        <v>301010</v>
      </c>
      <c r="C4790" t="s">
        <v>9927</v>
      </c>
      <c r="D4790" t="s">
        <v>722</v>
      </c>
      <c r="F4790">
        <v>914019079</v>
      </c>
      <c r="G4790">
        <v>772785891</v>
      </c>
      <c r="H4790">
        <v>653705124</v>
      </c>
      <c r="I4790">
        <v>595393787</v>
      </c>
      <c r="J4790">
        <v>542827091</v>
      </c>
      <c r="K4790">
        <v>508090922</v>
      </c>
      <c r="P4790">
        <v>33</v>
      </c>
      <c r="Q4790" t="s">
        <v>9928</v>
      </c>
    </row>
    <row r="4791" spans="1:17" x14ac:dyDescent="0.3">
      <c r="A4791" t="s">
        <v>4729</v>
      </c>
      <c r="B4791" t="str">
        <f>"301011"</f>
        <v>301011</v>
      </c>
      <c r="C4791" t="s">
        <v>9929</v>
      </c>
      <c r="D4791" t="s">
        <v>741</v>
      </c>
      <c r="F4791">
        <v>627024707</v>
      </c>
      <c r="G4791">
        <v>424947691</v>
      </c>
      <c r="H4791">
        <v>498184022</v>
      </c>
      <c r="I4791">
        <v>448242173</v>
      </c>
      <c r="J4791">
        <v>386577491</v>
      </c>
      <c r="P4791">
        <v>28</v>
      </c>
      <c r="Q4791" t="s">
        <v>9930</v>
      </c>
    </row>
    <row r="4792" spans="1:17" x14ac:dyDescent="0.3">
      <c r="A4792" t="s">
        <v>4729</v>
      </c>
      <c r="B4792" t="str">
        <f>"301012"</f>
        <v>301012</v>
      </c>
      <c r="C4792" t="s">
        <v>9931</v>
      </c>
      <c r="D4792" t="s">
        <v>210</v>
      </c>
      <c r="F4792">
        <v>511640831</v>
      </c>
      <c r="G4792">
        <v>438111687</v>
      </c>
      <c r="H4792">
        <v>509796410</v>
      </c>
      <c r="I4792">
        <v>582530840</v>
      </c>
      <c r="J4792">
        <v>517586258</v>
      </c>
      <c r="P4792">
        <v>23</v>
      </c>
      <c r="Q4792" t="s">
        <v>9932</v>
      </c>
    </row>
    <row r="4793" spans="1:17" x14ac:dyDescent="0.3">
      <c r="A4793" t="s">
        <v>4729</v>
      </c>
      <c r="B4793" t="str">
        <f>"301013"</f>
        <v>301013</v>
      </c>
      <c r="C4793" t="s">
        <v>9933</v>
      </c>
      <c r="D4793" t="s">
        <v>741</v>
      </c>
      <c r="F4793">
        <v>433303369</v>
      </c>
      <c r="G4793">
        <v>474329472</v>
      </c>
      <c r="H4793">
        <v>557843056</v>
      </c>
      <c r="I4793">
        <v>408243389</v>
      </c>
      <c r="J4793">
        <v>254280650</v>
      </c>
      <c r="P4793">
        <v>20</v>
      </c>
      <c r="Q4793" t="s">
        <v>9934</v>
      </c>
    </row>
    <row r="4794" spans="1:17" x14ac:dyDescent="0.3">
      <c r="A4794" t="s">
        <v>4729</v>
      </c>
      <c r="B4794" t="str">
        <f>"301015"</f>
        <v>301015</v>
      </c>
      <c r="C4794" t="s">
        <v>9935</v>
      </c>
      <c r="D4794" t="s">
        <v>125</v>
      </c>
      <c r="F4794">
        <v>7051567225</v>
      </c>
      <c r="G4794">
        <v>5879322863</v>
      </c>
      <c r="H4794">
        <v>4848663512</v>
      </c>
      <c r="I4794">
        <v>3652461659</v>
      </c>
      <c r="J4794">
        <v>3095543389</v>
      </c>
      <c r="P4794">
        <v>45</v>
      </c>
      <c r="Q4794" t="s">
        <v>9936</v>
      </c>
    </row>
    <row r="4795" spans="1:17" x14ac:dyDescent="0.3">
      <c r="A4795" t="s">
        <v>4729</v>
      </c>
      <c r="B4795" t="str">
        <f>"301016"</f>
        <v>301016</v>
      </c>
      <c r="C4795" t="s">
        <v>9937</v>
      </c>
      <c r="D4795" t="s">
        <v>1012</v>
      </c>
      <c r="F4795">
        <v>510230073</v>
      </c>
      <c r="G4795">
        <v>466864574</v>
      </c>
      <c r="H4795">
        <v>370631318</v>
      </c>
      <c r="I4795">
        <v>261250885</v>
      </c>
      <c r="J4795">
        <v>201632881</v>
      </c>
      <c r="P4795">
        <v>35</v>
      </c>
      <c r="Q4795" t="s">
        <v>9938</v>
      </c>
    </row>
    <row r="4796" spans="1:17" x14ac:dyDescent="0.3">
      <c r="A4796" t="s">
        <v>4729</v>
      </c>
      <c r="B4796" t="str">
        <f>"301017"</f>
        <v>301017</v>
      </c>
      <c r="C4796" t="s">
        <v>9939</v>
      </c>
      <c r="D4796" t="s">
        <v>1686</v>
      </c>
      <c r="F4796">
        <v>5321639205</v>
      </c>
      <c r="G4796">
        <v>4639809187</v>
      </c>
      <c r="H4796">
        <v>3466803446</v>
      </c>
      <c r="I4796">
        <v>2887740849</v>
      </c>
      <c r="J4796">
        <v>2483111197</v>
      </c>
      <c r="P4796">
        <v>36</v>
      </c>
      <c r="Q4796" t="s">
        <v>9940</v>
      </c>
    </row>
    <row r="4797" spans="1:17" x14ac:dyDescent="0.3">
      <c r="A4797" t="s">
        <v>4729</v>
      </c>
      <c r="B4797" t="str">
        <f>"301018"</f>
        <v>301018</v>
      </c>
      <c r="C4797" t="s">
        <v>9941</v>
      </c>
      <c r="D4797" t="s">
        <v>988</v>
      </c>
      <c r="F4797">
        <v>1798131879</v>
      </c>
      <c r="G4797">
        <v>1467255074</v>
      </c>
      <c r="H4797">
        <v>1358179825</v>
      </c>
      <c r="I4797">
        <v>1117637500</v>
      </c>
      <c r="J4797">
        <v>972689555</v>
      </c>
      <c r="P4797">
        <v>37</v>
      </c>
      <c r="Q4797" t="s">
        <v>9942</v>
      </c>
    </row>
    <row r="4798" spans="1:17" x14ac:dyDescent="0.3">
      <c r="A4798" t="s">
        <v>4729</v>
      </c>
      <c r="B4798" t="str">
        <f>"301019"</f>
        <v>301019</v>
      </c>
      <c r="C4798" t="s">
        <v>9943</v>
      </c>
      <c r="D4798" t="s">
        <v>1192</v>
      </c>
      <c r="F4798">
        <v>492341951</v>
      </c>
      <c r="G4798">
        <v>429532780</v>
      </c>
      <c r="H4798">
        <v>405424807</v>
      </c>
      <c r="I4798">
        <v>326632175</v>
      </c>
      <c r="J4798">
        <v>280099031</v>
      </c>
      <c r="P4798">
        <v>39</v>
      </c>
      <c r="Q4798" t="s">
        <v>9944</v>
      </c>
    </row>
    <row r="4799" spans="1:17" x14ac:dyDescent="0.3">
      <c r="A4799" t="s">
        <v>4729</v>
      </c>
      <c r="B4799" t="str">
        <f>"301020"</f>
        <v>301020</v>
      </c>
      <c r="C4799" t="s">
        <v>9945</v>
      </c>
      <c r="D4799" t="s">
        <v>348</v>
      </c>
      <c r="F4799">
        <v>488786682</v>
      </c>
      <c r="G4799">
        <v>488170942</v>
      </c>
      <c r="H4799">
        <v>399404087</v>
      </c>
      <c r="I4799">
        <v>418579496</v>
      </c>
      <c r="J4799">
        <v>382168258</v>
      </c>
      <c r="P4799">
        <v>54</v>
      </c>
      <c r="Q4799" t="s">
        <v>9946</v>
      </c>
    </row>
    <row r="4800" spans="1:17" x14ac:dyDescent="0.3">
      <c r="A4800" t="s">
        <v>4729</v>
      </c>
      <c r="B4800" t="str">
        <f>"301021"</f>
        <v>301021</v>
      </c>
      <c r="C4800" t="s">
        <v>9947</v>
      </c>
      <c r="D4800" t="s">
        <v>3811</v>
      </c>
      <c r="F4800">
        <v>390976203</v>
      </c>
      <c r="G4800">
        <v>339048930</v>
      </c>
      <c r="H4800">
        <v>359369802</v>
      </c>
      <c r="I4800">
        <v>291147599</v>
      </c>
      <c r="J4800">
        <v>249098362</v>
      </c>
      <c r="K4800">
        <v>148642444</v>
      </c>
      <c r="P4800">
        <v>35</v>
      </c>
      <c r="Q4800" t="s">
        <v>9948</v>
      </c>
    </row>
    <row r="4801" spans="1:17" x14ac:dyDescent="0.3">
      <c r="A4801" t="s">
        <v>4729</v>
      </c>
      <c r="B4801" t="str">
        <f>"301022"</f>
        <v>301022</v>
      </c>
      <c r="C4801" t="s">
        <v>9949</v>
      </c>
      <c r="D4801" t="s">
        <v>985</v>
      </c>
      <c r="F4801">
        <v>592337171</v>
      </c>
      <c r="G4801">
        <v>455526352</v>
      </c>
      <c r="H4801">
        <v>341899678</v>
      </c>
      <c r="I4801">
        <v>271970152</v>
      </c>
      <c r="J4801">
        <v>221607981</v>
      </c>
      <c r="P4801">
        <v>24</v>
      </c>
      <c r="Q4801" t="s">
        <v>9950</v>
      </c>
    </row>
    <row r="4802" spans="1:17" x14ac:dyDescent="0.3">
      <c r="A4802" t="s">
        <v>4729</v>
      </c>
      <c r="B4802" t="str">
        <f>"301023"</f>
        <v>301023</v>
      </c>
      <c r="C4802" t="s">
        <v>9951</v>
      </c>
      <c r="D4802" t="s">
        <v>1171</v>
      </c>
      <c r="F4802">
        <v>206426144</v>
      </c>
      <c r="G4802">
        <v>184462484</v>
      </c>
      <c r="H4802">
        <v>169479020</v>
      </c>
      <c r="I4802">
        <v>145618532</v>
      </c>
      <c r="J4802">
        <v>151853553</v>
      </c>
      <c r="P4802">
        <v>22</v>
      </c>
      <c r="Q4802" t="s">
        <v>9952</v>
      </c>
    </row>
    <row r="4803" spans="1:17" x14ac:dyDescent="0.3">
      <c r="A4803" t="s">
        <v>4729</v>
      </c>
      <c r="B4803" t="str">
        <f>"301024"</f>
        <v>301024</v>
      </c>
      <c r="C4803" t="s">
        <v>9953</v>
      </c>
      <c r="D4803" t="s">
        <v>1272</v>
      </c>
      <c r="F4803">
        <v>341231535</v>
      </c>
      <c r="G4803">
        <v>318175821</v>
      </c>
      <c r="H4803">
        <v>266641441</v>
      </c>
      <c r="I4803">
        <v>241451515</v>
      </c>
      <c r="J4803">
        <v>160973934</v>
      </c>
      <c r="K4803">
        <v>95412457</v>
      </c>
      <c r="P4803">
        <v>22</v>
      </c>
      <c r="Q4803" t="s">
        <v>9954</v>
      </c>
    </row>
    <row r="4804" spans="1:17" x14ac:dyDescent="0.3">
      <c r="A4804" t="s">
        <v>4729</v>
      </c>
      <c r="B4804" t="str">
        <f>"301025"</f>
        <v>301025</v>
      </c>
      <c r="C4804" t="s">
        <v>9955</v>
      </c>
      <c r="D4804" t="s">
        <v>525</v>
      </c>
      <c r="F4804">
        <v>519201675</v>
      </c>
      <c r="G4804">
        <v>408024967</v>
      </c>
      <c r="H4804">
        <v>397016395</v>
      </c>
      <c r="I4804">
        <v>319714093</v>
      </c>
      <c r="J4804">
        <v>266648710</v>
      </c>
      <c r="K4804">
        <v>222972937</v>
      </c>
      <c r="P4804">
        <v>24</v>
      </c>
      <c r="Q4804" t="s">
        <v>9956</v>
      </c>
    </row>
    <row r="4805" spans="1:17" x14ac:dyDescent="0.3">
      <c r="A4805" t="s">
        <v>4729</v>
      </c>
      <c r="B4805" t="str">
        <f>"301026"</f>
        <v>301026</v>
      </c>
      <c r="C4805" t="s">
        <v>9957</v>
      </c>
      <c r="D4805" t="s">
        <v>636</v>
      </c>
      <c r="F4805">
        <v>2236758607</v>
      </c>
      <c r="G4805">
        <v>1075894598</v>
      </c>
      <c r="H4805">
        <v>650314340</v>
      </c>
      <c r="I4805">
        <v>543713072</v>
      </c>
      <c r="J4805">
        <v>350635565</v>
      </c>
      <c r="K4805">
        <v>237042558</v>
      </c>
      <c r="P4805">
        <v>41</v>
      </c>
      <c r="Q4805" t="s">
        <v>9958</v>
      </c>
    </row>
    <row r="4806" spans="1:17" x14ac:dyDescent="0.3">
      <c r="A4806" t="s">
        <v>4729</v>
      </c>
      <c r="B4806" t="str">
        <f>"301027"</f>
        <v>301027</v>
      </c>
      <c r="C4806" t="s">
        <v>9959</v>
      </c>
      <c r="D4806" t="s">
        <v>1272</v>
      </c>
      <c r="F4806">
        <v>1154832939</v>
      </c>
      <c r="G4806">
        <v>1091632152</v>
      </c>
      <c r="H4806">
        <v>912021862</v>
      </c>
      <c r="I4806">
        <v>881201227</v>
      </c>
      <c r="J4806">
        <v>810841752</v>
      </c>
      <c r="P4806">
        <v>25</v>
      </c>
      <c r="Q4806" t="s">
        <v>9960</v>
      </c>
    </row>
    <row r="4807" spans="1:17" x14ac:dyDescent="0.3">
      <c r="A4807" t="s">
        <v>4729</v>
      </c>
      <c r="B4807" t="str">
        <f>"301028"</f>
        <v>301028</v>
      </c>
      <c r="C4807" t="s">
        <v>9961</v>
      </c>
      <c r="D4807" t="s">
        <v>560</v>
      </c>
      <c r="F4807">
        <v>893234176</v>
      </c>
      <c r="G4807">
        <v>777636560</v>
      </c>
      <c r="H4807">
        <v>605721303</v>
      </c>
      <c r="I4807">
        <v>577281504</v>
      </c>
      <c r="J4807">
        <v>591586987</v>
      </c>
      <c r="P4807">
        <v>53</v>
      </c>
      <c r="Q4807" t="s">
        <v>9962</v>
      </c>
    </row>
    <row r="4808" spans="1:17" x14ac:dyDescent="0.3">
      <c r="A4808" t="s">
        <v>4729</v>
      </c>
      <c r="B4808" t="str">
        <f>"301029"</f>
        <v>301029</v>
      </c>
      <c r="C4808" t="s">
        <v>9963</v>
      </c>
      <c r="D4808" t="s">
        <v>3477</v>
      </c>
      <c r="F4808">
        <v>1802820702</v>
      </c>
      <c r="G4808">
        <v>1209680515</v>
      </c>
      <c r="H4808">
        <v>761000568</v>
      </c>
      <c r="I4808">
        <v>624728608</v>
      </c>
      <c r="J4808">
        <v>376106749</v>
      </c>
      <c r="P4808">
        <v>67</v>
      </c>
      <c r="Q4808" t="s">
        <v>9964</v>
      </c>
    </row>
    <row r="4809" spans="1:17" x14ac:dyDescent="0.3">
      <c r="A4809" t="s">
        <v>4729</v>
      </c>
      <c r="B4809" t="str">
        <f>"301030"</f>
        <v>301030</v>
      </c>
      <c r="C4809" t="s">
        <v>9965</v>
      </c>
      <c r="D4809" t="s">
        <v>1070</v>
      </c>
      <c r="F4809">
        <v>794543319</v>
      </c>
      <c r="G4809">
        <v>668318780</v>
      </c>
      <c r="H4809">
        <v>734559159</v>
      </c>
      <c r="I4809">
        <v>684773316</v>
      </c>
      <c r="J4809">
        <v>393228471</v>
      </c>
      <c r="K4809">
        <v>262613400</v>
      </c>
      <c r="P4809">
        <v>19</v>
      </c>
      <c r="Q4809" t="s">
        <v>9966</v>
      </c>
    </row>
    <row r="4810" spans="1:17" x14ac:dyDescent="0.3">
      <c r="A4810" t="s">
        <v>4729</v>
      </c>
      <c r="B4810" t="str">
        <f>"301031"</f>
        <v>301031</v>
      </c>
      <c r="C4810" t="s">
        <v>9967</v>
      </c>
      <c r="D4810" t="s">
        <v>651</v>
      </c>
      <c r="F4810">
        <v>384916467</v>
      </c>
      <c r="G4810">
        <v>226232662</v>
      </c>
      <c r="H4810">
        <v>191212012</v>
      </c>
      <c r="I4810">
        <v>157867677</v>
      </c>
      <c r="J4810">
        <v>135101815</v>
      </c>
      <c r="P4810">
        <v>77</v>
      </c>
      <c r="Q4810" t="s">
        <v>9968</v>
      </c>
    </row>
    <row r="4811" spans="1:17" x14ac:dyDescent="0.3">
      <c r="A4811" t="s">
        <v>4729</v>
      </c>
      <c r="B4811" t="str">
        <f>"301032"</f>
        <v>301032</v>
      </c>
      <c r="C4811" t="s">
        <v>9969</v>
      </c>
      <c r="D4811" t="s">
        <v>560</v>
      </c>
      <c r="F4811">
        <v>2482527353</v>
      </c>
      <c r="G4811">
        <v>2460987156</v>
      </c>
      <c r="H4811">
        <v>1887904645</v>
      </c>
      <c r="I4811">
        <v>1753621897</v>
      </c>
      <c r="J4811">
        <v>1661406625</v>
      </c>
      <c r="P4811">
        <v>19</v>
      </c>
      <c r="Q4811" t="s">
        <v>9970</v>
      </c>
    </row>
    <row r="4812" spans="1:17" x14ac:dyDescent="0.3">
      <c r="A4812" t="s">
        <v>4729</v>
      </c>
      <c r="B4812" t="str">
        <f>"301033"</f>
        <v>301033</v>
      </c>
      <c r="C4812" t="s">
        <v>9971</v>
      </c>
      <c r="D4812" t="s">
        <v>1077</v>
      </c>
      <c r="F4812">
        <v>153785687</v>
      </c>
      <c r="G4812">
        <v>123511821</v>
      </c>
      <c r="H4812">
        <v>113239983</v>
      </c>
      <c r="I4812">
        <v>85754509</v>
      </c>
      <c r="J4812">
        <v>53927828</v>
      </c>
      <c r="P4812">
        <v>31</v>
      </c>
      <c r="Q4812" t="s">
        <v>9972</v>
      </c>
    </row>
    <row r="4813" spans="1:17" x14ac:dyDescent="0.3">
      <c r="A4813" t="s">
        <v>4729</v>
      </c>
      <c r="B4813" t="str">
        <f>"301035"</f>
        <v>301035</v>
      </c>
      <c r="C4813" t="s">
        <v>9973</v>
      </c>
      <c r="D4813" t="s">
        <v>853</v>
      </c>
      <c r="F4813">
        <v>9797107551</v>
      </c>
      <c r="G4813">
        <v>7289831535</v>
      </c>
      <c r="H4813">
        <v>6073610606</v>
      </c>
      <c r="I4813">
        <v>5401705316</v>
      </c>
      <c r="J4813">
        <v>5046522676</v>
      </c>
      <c r="K4813">
        <v>3801878201</v>
      </c>
      <c r="P4813">
        <v>40</v>
      </c>
      <c r="Q4813" t="s">
        <v>9974</v>
      </c>
    </row>
    <row r="4814" spans="1:17" x14ac:dyDescent="0.3">
      <c r="A4814" t="s">
        <v>4729</v>
      </c>
      <c r="B4814" t="str">
        <f>"301036"</f>
        <v>301036</v>
      </c>
      <c r="C4814" t="s">
        <v>9975</v>
      </c>
      <c r="D4814" t="s">
        <v>2585</v>
      </c>
      <c r="F4814">
        <v>1336104396</v>
      </c>
      <c r="G4814">
        <v>1354232159</v>
      </c>
      <c r="H4814">
        <v>1135610640</v>
      </c>
      <c r="I4814">
        <v>992052037</v>
      </c>
      <c r="J4814">
        <v>899929306</v>
      </c>
      <c r="P4814">
        <v>20</v>
      </c>
      <c r="Q4814" t="s">
        <v>9976</v>
      </c>
    </row>
    <row r="4815" spans="1:17" x14ac:dyDescent="0.3">
      <c r="A4815" t="s">
        <v>4729</v>
      </c>
      <c r="B4815" t="str">
        <f>"301037"</f>
        <v>301037</v>
      </c>
      <c r="C4815" t="s">
        <v>9977</v>
      </c>
      <c r="D4815" t="s">
        <v>2585</v>
      </c>
      <c r="F4815">
        <v>2974838702</v>
      </c>
      <c r="G4815">
        <v>2022152768</v>
      </c>
      <c r="H4815">
        <v>2054353842</v>
      </c>
      <c r="I4815">
        <v>1720693948</v>
      </c>
      <c r="J4815">
        <v>1472439605</v>
      </c>
      <c r="P4815">
        <v>13</v>
      </c>
      <c r="Q4815" t="s">
        <v>9978</v>
      </c>
    </row>
    <row r="4816" spans="1:17" x14ac:dyDescent="0.3">
      <c r="A4816" t="s">
        <v>4729</v>
      </c>
      <c r="B4816" t="str">
        <f>"301038"</f>
        <v>301038</v>
      </c>
      <c r="C4816" t="s">
        <v>9979</v>
      </c>
      <c r="D4816" t="s">
        <v>1272</v>
      </c>
      <c r="F4816">
        <v>934822166</v>
      </c>
      <c r="G4816">
        <v>863584835</v>
      </c>
      <c r="H4816">
        <v>714542464</v>
      </c>
      <c r="I4816">
        <v>517383757</v>
      </c>
      <c r="J4816">
        <v>491026498</v>
      </c>
      <c r="P4816">
        <v>21</v>
      </c>
      <c r="Q4816" t="s">
        <v>9980</v>
      </c>
    </row>
    <row r="4817" spans="1:17" x14ac:dyDescent="0.3">
      <c r="A4817" t="s">
        <v>4729</v>
      </c>
      <c r="B4817" t="str">
        <f>"301039"</f>
        <v>301039</v>
      </c>
      <c r="C4817" t="s">
        <v>9981</v>
      </c>
      <c r="D4817" t="s">
        <v>27</v>
      </c>
      <c r="F4817">
        <v>27647762501</v>
      </c>
      <c r="G4817">
        <v>26498964653</v>
      </c>
      <c r="H4817">
        <v>23386908688</v>
      </c>
      <c r="I4817">
        <v>24331169083</v>
      </c>
      <c r="J4817">
        <v>19508126092</v>
      </c>
      <c r="P4817">
        <v>35</v>
      </c>
      <c r="Q4817" t="s">
        <v>9982</v>
      </c>
    </row>
    <row r="4818" spans="1:17" x14ac:dyDescent="0.3">
      <c r="A4818" t="s">
        <v>4729</v>
      </c>
      <c r="B4818" t="str">
        <f>"301040"</f>
        <v>301040</v>
      </c>
      <c r="C4818" t="s">
        <v>9983</v>
      </c>
      <c r="D4818" t="s">
        <v>950</v>
      </c>
      <c r="F4818">
        <v>1068930986</v>
      </c>
      <c r="G4818">
        <v>1097353755</v>
      </c>
      <c r="H4818">
        <v>799873504</v>
      </c>
      <c r="I4818">
        <v>630702386</v>
      </c>
      <c r="J4818">
        <v>457109633</v>
      </c>
      <c r="P4818">
        <v>22</v>
      </c>
      <c r="Q4818" t="s">
        <v>9984</v>
      </c>
    </row>
    <row r="4819" spans="1:17" x14ac:dyDescent="0.3">
      <c r="A4819" t="s">
        <v>4729</v>
      </c>
      <c r="B4819" t="str">
        <f>"301041"</f>
        <v>301041</v>
      </c>
      <c r="C4819" t="s">
        <v>9985</v>
      </c>
      <c r="D4819" t="s">
        <v>425</v>
      </c>
      <c r="F4819">
        <v>699431896</v>
      </c>
      <c r="G4819">
        <v>581824757</v>
      </c>
      <c r="H4819">
        <v>524089015</v>
      </c>
      <c r="I4819">
        <v>533703724</v>
      </c>
      <c r="J4819">
        <v>463195774</v>
      </c>
      <c r="P4819">
        <v>31</v>
      </c>
      <c r="Q4819" t="s">
        <v>9986</v>
      </c>
    </row>
    <row r="4820" spans="1:17" x14ac:dyDescent="0.3">
      <c r="A4820" t="s">
        <v>4729</v>
      </c>
      <c r="B4820" t="str">
        <f>"301042"</f>
        <v>301042</v>
      </c>
      <c r="C4820" t="s">
        <v>9987</v>
      </c>
      <c r="D4820" t="s">
        <v>2980</v>
      </c>
      <c r="F4820">
        <v>867920910</v>
      </c>
      <c r="G4820">
        <v>941122073</v>
      </c>
      <c r="H4820">
        <v>837881439</v>
      </c>
      <c r="I4820">
        <v>957104153</v>
      </c>
      <c r="J4820">
        <v>933370512</v>
      </c>
      <c r="K4820">
        <v>544762907</v>
      </c>
      <c r="P4820">
        <v>14</v>
      </c>
      <c r="Q4820" t="s">
        <v>9988</v>
      </c>
    </row>
    <row r="4821" spans="1:17" x14ac:dyDescent="0.3">
      <c r="A4821" t="s">
        <v>4729</v>
      </c>
      <c r="B4821" t="str">
        <f>"301043"</f>
        <v>301043</v>
      </c>
      <c r="C4821" t="s">
        <v>9989</v>
      </c>
      <c r="D4821" t="s">
        <v>560</v>
      </c>
      <c r="F4821">
        <v>551454889</v>
      </c>
      <c r="G4821">
        <v>412341006</v>
      </c>
      <c r="H4821">
        <v>429930791</v>
      </c>
      <c r="I4821">
        <v>385125992</v>
      </c>
      <c r="J4821">
        <v>294897455</v>
      </c>
      <c r="P4821">
        <v>18</v>
      </c>
      <c r="Q4821" t="s">
        <v>9990</v>
      </c>
    </row>
    <row r="4822" spans="1:17" x14ac:dyDescent="0.3">
      <c r="A4822" t="s">
        <v>4729</v>
      </c>
      <c r="B4822" t="str">
        <f>"301045"</f>
        <v>301045</v>
      </c>
      <c r="C4822" t="s">
        <v>9991</v>
      </c>
      <c r="D4822" t="s">
        <v>164</v>
      </c>
      <c r="F4822">
        <v>889890690</v>
      </c>
      <c r="G4822">
        <v>716400964</v>
      </c>
      <c r="H4822">
        <v>638245518</v>
      </c>
      <c r="I4822">
        <v>609953130</v>
      </c>
      <c r="J4822">
        <v>402185343</v>
      </c>
      <c r="P4822">
        <v>17</v>
      </c>
      <c r="Q4822" t="s">
        <v>9992</v>
      </c>
    </row>
    <row r="4823" spans="1:17" x14ac:dyDescent="0.3">
      <c r="A4823" t="s">
        <v>4729</v>
      </c>
      <c r="B4823" t="str">
        <f>"301046"</f>
        <v>301046</v>
      </c>
      <c r="C4823" t="s">
        <v>9993</v>
      </c>
      <c r="D4823" t="s">
        <v>1992</v>
      </c>
      <c r="F4823">
        <v>592686832</v>
      </c>
      <c r="G4823">
        <v>419513745</v>
      </c>
      <c r="H4823">
        <v>383740815</v>
      </c>
      <c r="I4823">
        <v>339392051</v>
      </c>
      <c r="J4823">
        <v>257884818</v>
      </c>
      <c r="P4823">
        <v>33</v>
      </c>
      <c r="Q4823" t="s">
        <v>9994</v>
      </c>
    </row>
    <row r="4824" spans="1:17" x14ac:dyDescent="0.3">
      <c r="A4824" t="s">
        <v>4729</v>
      </c>
      <c r="B4824" t="str">
        <f>"301047"</f>
        <v>301047</v>
      </c>
      <c r="C4824" t="s">
        <v>9995</v>
      </c>
      <c r="D4824" t="s">
        <v>1461</v>
      </c>
      <c r="F4824">
        <v>965272541</v>
      </c>
      <c r="G4824">
        <v>1596293025</v>
      </c>
      <c r="H4824">
        <v>180826735</v>
      </c>
      <c r="I4824">
        <v>139227663</v>
      </c>
      <c r="J4824">
        <v>101360442</v>
      </c>
      <c r="P4824">
        <v>71</v>
      </c>
      <c r="Q4824" t="s">
        <v>9996</v>
      </c>
    </row>
    <row r="4825" spans="1:17" x14ac:dyDescent="0.3">
      <c r="A4825" t="s">
        <v>4729</v>
      </c>
      <c r="B4825" t="str">
        <f>"301048"</f>
        <v>301048</v>
      </c>
      <c r="C4825" t="s">
        <v>9997</v>
      </c>
      <c r="D4825" t="s">
        <v>1012</v>
      </c>
      <c r="F4825">
        <v>3052363880</v>
      </c>
      <c r="G4825">
        <v>2595238285</v>
      </c>
      <c r="H4825">
        <v>2635340551</v>
      </c>
      <c r="I4825">
        <v>2198206233</v>
      </c>
      <c r="J4825">
        <v>2009587714</v>
      </c>
      <c r="P4825">
        <v>16</v>
      </c>
      <c r="Q4825" t="s">
        <v>9998</v>
      </c>
    </row>
    <row r="4826" spans="1:17" x14ac:dyDescent="0.3">
      <c r="A4826" t="s">
        <v>4729</v>
      </c>
      <c r="B4826" t="str">
        <f>"301049"</f>
        <v>301049</v>
      </c>
      <c r="C4826" t="s">
        <v>9999</v>
      </c>
      <c r="D4826" t="s">
        <v>499</v>
      </c>
      <c r="F4826">
        <v>226220139</v>
      </c>
      <c r="G4826">
        <v>307545935</v>
      </c>
      <c r="H4826">
        <v>257956473</v>
      </c>
      <c r="I4826">
        <v>237710051</v>
      </c>
      <c r="J4826">
        <v>168719136</v>
      </c>
      <c r="P4826">
        <v>26</v>
      </c>
      <c r="Q4826" t="s">
        <v>10000</v>
      </c>
    </row>
    <row r="4827" spans="1:17" x14ac:dyDescent="0.3">
      <c r="A4827" t="s">
        <v>4729</v>
      </c>
      <c r="B4827" t="str">
        <f>"301050"</f>
        <v>301050</v>
      </c>
      <c r="C4827" t="s">
        <v>10001</v>
      </c>
      <c r="D4827" t="s">
        <v>1136</v>
      </c>
      <c r="F4827">
        <v>735017875</v>
      </c>
      <c r="G4827">
        <v>342028567</v>
      </c>
      <c r="H4827">
        <v>297200599</v>
      </c>
      <c r="I4827">
        <v>46003288</v>
      </c>
      <c r="J4827">
        <v>88996600</v>
      </c>
      <c r="P4827">
        <v>31</v>
      </c>
      <c r="Q4827" t="s">
        <v>10002</v>
      </c>
    </row>
    <row r="4828" spans="1:17" x14ac:dyDescent="0.3">
      <c r="A4828" t="s">
        <v>4729</v>
      </c>
      <c r="B4828" t="str">
        <f>"301051"</f>
        <v>301051</v>
      </c>
      <c r="C4828" t="s">
        <v>10003</v>
      </c>
      <c r="D4828" t="s">
        <v>313</v>
      </c>
      <c r="F4828">
        <v>1876776865</v>
      </c>
      <c r="G4828">
        <v>1332908655</v>
      </c>
      <c r="H4828">
        <v>1659440967</v>
      </c>
      <c r="I4828">
        <v>1118495051</v>
      </c>
      <c r="J4828">
        <v>557792542</v>
      </c>
      <c r="K4828">
        <v>488058565</v>
      </c>
      <c r="P4828">
        <v>18</v>
      </c>
      <c r="Q4828" t="s">
        <v>10004</v>
      </c>
    </row>
    <row r="4829" spans="1:17" x14ac:dyDescent="0.3">
      <c r="A4829" t="s">
        <v>4729</v>
      </c>
      <c r="B4829" t="str">
        <f>"301052"</f>
        <v>301052</v>
      </c>
      <c r="C4829" t="s">
        <v>10005</v>
      </c>
      <c r="D4829" t="s">
        <v>525</v>
      </c>
      <c r="F4829">
        <v>461266319</v>
      </c>
      <c r="G4829">
        <v>355279844</v>
      </c>
      <c r="H4829">
        <v>384283586</v>
      </c>
      <c r="I4829">
        <v>305343812</v>
      </c>
      <c r="J4829">
        <v>242922189</v>
      </c>
      <c r="P4829">
        <v>16</v>
      </c>
      <c r="Q4829" t="s">
        <v>10006</v>
      </c>
    </row>
    <row r="4830" spans="1:17" x14ac:dyDescent="0.3">
      <c r="A4830" t="s">
        <v>4729</v>
      </c>
      <c r="B4830" t="str">
        <f>"301053"</f>
        <v>301053</v>
      </c>
      <c r="C4830" t="s">
        <v>10007</v>
      </c>
      <c r="D4830" t="s">
        <v>534</v>
      </c>
      <c r="F4830">
        <v>577454609</v>
      </c>
      <c r="G4830">
        <v>410610177</v>
      </c>
      <c r="H4830">
        <v>404695227</v>
      </c>
      <c r="I4830">
        <v>327104749</v>
      </c>
      <c r="J4830">
        <v>269824695</v>
      </c>
      <c r="P4830">
        <v>24</v>
      </c>
      <c r="Q4830" t="s">
        <v>10008</v>
      </c>
    </row>
    <row r="4831" spans="1:17" x14ac:dyDescent="0.3">
      <c r="A4831" t="s">
        <v>4729</v>
      </c>
      <c r="B4831" t="str">
        <f>"301055"</f>
        <v>301055</v>
      </c>
      <c r="C4831" t="s">
        <v>10009</v>
      </c>
      <c r="D4831" t="s">
        <v>2445</v>
      </c>
      <c r="F4831">
        <v>760040603</v>
      </c>
      <c r="G4831">
        <v>572256562</v>
      </c>
      <c r="H4831">
        <v>484014904</v>
      </c>
      <c r="I4831">
        <v>410094198</v>
      </c>
      <c r="J4831">
        <v>341320627</v>
      </c>
      <c r="P4831">
        <v>28</v>
      </c>
      <c r="Q4831" t="s">
        <v>10010</v>
      </c>
    </row>
    <row r="4832" spans="1:17" x14ac:dyDescent="0.3">
      <c r="A4832" t="s">
        <v>4729</v>
      </c>
      <c r="B4832" t="str">
        <f>"301056"</f>
        <v>301056</v>
      </c>
      <c r="C4832" t="s">
        <v>10011</v>
      </c>
      <c r="D4832" t="s">
        <v>1691</v>
      </c>
      <c r="F4832">
        <v>575861460</v>
      </c>
      <c r="G4832">
        <v>541263719</v>
      </c>
      <c r="H4832">
        <v>504859116</v>
      </c>
      <c r="I4832">
        <v>456005580</v>
      </c>
      <c r="J4832">
        <v>583021750</v>
      </c>
      <c r="P4832">
        <v>16</v>
      </c>
      <c r="Q4832" t="s">
        <v>10012</v>
      </c>
    </row>
    <row r="4833" spans="1:17" x14ac:dyDescent="0.3">
      <c r="A4833" t="s">
        <v>4729</v>
      </c>
      <c r="B4833" t="str">
        <f>"301057"</f>
        <v>301057</v>
      </c>
      <c r="C4833" t="s">
        <v>10013</v>
      </c>
      <c r="D4833" t="s">
        <v>2731</v>
      </c>
      <c r="F4833">
        <v>613461024</v>
      </c>
      <c r="G4833">
        <v>541054864</v>
      </c>
      <c r="H4833">
        <v>655929437</v>
      </c>
      <c r="I4833">
        <v>591073252</v>
      </c>
      <c r="J4833">
        <v>456376557</v>
      </c>
      <c r="P4833">
        <v>16</v>
      </c>
      <c r="Q4833" t="s">
        <v>10014</v>
      </c>
    </row>
    <row r="4834" spans="1:17" x14ac:dyDescent="0.3">
      <c r="A4834" t="s">
        <v>4729</v>
      </c>
      <c r="B4834" t="str">
        <f>"301058"</f>
        <v>301058</v>
      </c>
      <c r="C4834" t="s">
        <v>10015</v>
      </c>
      <c r="D4834" t="s">
        <v>1272</v>
      </c>
      <c r="F4834">
        <v>2169553062</v>
      </c>
      <c r="G4834">
        <v>2041044562</v>
      </c>
      <c r="H4834">
        <v>1946676090</v>
      </c>
      <c r="I4834">
        <v>1657008640</v>
      </c>
      <c r="J4834">
        <v>1086131880</v>
      </c>
      <c r="P4834">
        <v>24</v>
      </c>
      <c r="Q4834" t="s">
        <v>10016</v>
      </c>
    </row>
    <row r="4835" spans="1:17" x14ac:dyDescent="0.3">
      <c r="A4835" t="s">
        <v>4729</v>
      </c>
      <c r="B4835" t="str">
        <f>"301059"</f>
        <v>301059</v>
      </c>
      <c r="C4835" t="s">
        <v>10017</v>
      </c>
      <c r="D4835" t="s">
        <v>386</v>
      </c>
      <c r="F4835">
        <v>202969129</v>
      </c>
      <c r="G4835">
        <v>195783890</v>
      </c>
      <c r="H4835">
        <v>198486712</v>
      </c>
      <c r="I4835">
        <v>164520650</v>
      </c>
      <c r="J4835">
        <v>110780600</v>
      </c>
      <c r="P4835">
        <v>21</v>
      </c>
      <c r="Q4835" t="s">
        <v>10018</v>
      </c>
    </row>
    <row r="4836" spans="1:17" x14ac:dyDescent="0.3">
      <c r="A4836" t="s">
        <v>4729</v>
      </c>
      <c r="B4836" t="str">
        <f>"301060"</f>
        <v>301060</v>
      </c>
      <c r="C4836" t="s">
        <v>10019</v>
      </c>
      <c r="D4836" t="s">
        <v>2580</v>
      </c>
      <c r="F4836">
        <v>1778332831</v>
      </c>
      <c r="G4836">
        <v>1238190079</v>
      </c>
      <c r="H4836">
        <v>1153495962</v>
      </c>
      <c r="I4836">
        <v>1052730318</v>
      </c>
      <c r="J4836">
        <v>923237481</v>
      </c>
      <c r="P4836">
        <v>41</v>
      </c>
      <c r="Q4836" t="s">
        <v>10020</v>
      </c>
    </row>
    <row r="4837" spans="1:17" x14ac:dyDescent="0.3">
      <c r="A4837" t="s">
        <v>4729</v>
      </c>
      <c r="B4837" t="str">
        <f>"301061"</f>
        <v>301061</v>
      </c>
      <c r="C4837" t="s">
        <v>10021</v>
      </c>
      <c r="D4837" t="s">
        <v>757</v>
      </c>
      <c r="F4837">
        <v>1924962891</v>
      </c>
      <c r="G4837">
        <v>1318133280</v>
      </c>
      <c r="H4837">
        <v>1174698779</v>
      </c>
      <c r="I4837">
        <v>1096995485</v>
      </c>
      <c r="J4837">
        <v>895520181</v>
      </c>
      <c r="P4837">
        <v>28</v>
      </c>
      <c r="Q4837" t="s">
        <v>10022</v>
      </c>
    </row>
    <row r="4838" spans="1:17" x14ac:dyDescent="0.3">
      <c r="A4838" t="s">
        <v>4729</v>
      </c>
      <c r="B4838" t="str">
        <f>"301062"</f>
        <v>301062</v>
      </c>
      <c r="C4838" t="s">
        <v>10023</v>
      </c>
      <c r="D4838" t="s">
        <v>2165</v>
      </c>
      <c r="F4838">
        <v>1120149463</v>
      </c>
      <c r="G4838">
        <v>774912109</v>
      </c>
      <c r="H4838">
        <v>645017165</v>
      </c>
      <c r="I4838">
        <v>546436153</v>
      </c>
      <c r="J4838">
        <v>458899726</v>
      </c>
      <c r="P4838">
        <v>13</v>
      </c>
      <c r="Q4838" t="s">
        <v>10024</v>
      </c>
    </row>
    <row r="4839" spans="1:17" x14ac:dyDescent="0.3">
      <c r="A4839" t="s">
        <v>4729</v>
      </c>
      <c r="B4839" t="str">
        <f>"301063"</f>
        <v>301063</v>
      </c>
      <c r="C4839" t="s">
        <v>10025</v>
      </c>
      <c r="D4839" t="s">
        <v>274</v>
      </c>
      <c r="F4839">
        <v>1059337504</v>
      </c>
      <c r="G4839">
        <v>1013923239</v>
      </c>
      <c r="H4839">
        <v>646855144</v>
      </c>
      <c r="I4839">
        <v>494735596</v>
      </c>
      <c r="J4839">
        <v>319418787</v>
      </c>
      <c r="P4839">
        <v>17</v>
      </c>
      <c r="Q4839" t="s">
        <v>10026</v>
      </c>
    </row>
    <row r="4840" spans="1:17" x14ac:dyDescent="0.3">
      <c r="A4840" t="s">
        <v>4729</v>
      </c>
      <c r="B4840" t="str">
        <f>"301065"</f>
        <v>301065</v>
      </c>
      <c r="C4840" t="s">
        <v>10027</v>
      </c>
      <c r="D4840" t="s">
        <v>386</v>
      </c>
      <c r="F4840">
        <v>621104645</v>
      </c>
      <c r="G4840">
        <v>624844002</v>
      </c>
      <c r="H4840">
        <v>559284185</v>
      </c>
      <c r="I4840">
        <v>437983367</v>
      </c>
      <c r="J4840">
        <v>337450024</v>
      </c>
      <c r="P4840">
        <v>12</v>
      </c>
      <c r="Q4840" t="s">
        <v>10028</v>
      </c>
    </row>
    <row r="4841" spans="1:17" x14ac:dyDescent="0.3">
      <c r="A4841" t="s">
        <v>4729</v>
      </c>
      <c r="B4841" t="str">
        <f>"301066"</f>
        <v>301066</v>
      </c>
      <c r="C4841" t="s">
        <v>10029</v>
      </c>
      <c r="D4841" t="s">
        <v>330</v>
      </c>
      <c r="F4841">
        <v>669622940</v>
      </c>
      <c r="G4841">
        <v>735703081</v>
      </c>
      <c r="H4841">
        <v>728513946</v>
      </c>
      <c r="I4841">
        <v>752526674</v>
      </c>
      <c r="J4841">
        <v>713190159</v>
      </c>
      <c r="P4841">
        <v>21</v>
      </c>
      <c r="Q4841" t="s">
        <v>10030</v>
      </c>
    </row>
    <row r="4842" spans="1:17" x14ac:dyDescent="0.3">
      <c r="A4842" t="s">
        <v>4729</v>
      </c>
      <c r="B4842" t="str">
        <f>"301067"</f>
        <v>301067</v>
      </c>
      <c r="C4842" t="s">
        <v>10031</v>
      </c>
      <c r="D4842" t="s">
        <v>313</v>
      </c>
      <c r="F4842">
        <v>569292341</v>
      </c>
      <c r="G4842">
        <v>530512695</v>
      </c>
      <c r="H4842">
        <v>421029302</v>
      </c>
      <c r="I4842">
        <v>400180536</v>
      </c>
      <c r="J4842">
        <v>273066202</v>
      </c>
      <c r="P4842">
        <v>18</v>
      </c>
      <c r="Q4842" t="s">
        <v>10032</v>
      </c>
    </row>
    <row r="4843" spans="1:17" x14ac:dyDescent="0.3">
      <c r="A4843" t="s">
        <v>4729</v>
      </c>
      <c r="B4843" t="str">
        <f>"301068"</f>
        <v>301068</v>
      </c>
      <c r="C4843" t="s">
        <v>10033</v>
      </c>
      <c r="D4843" t="s">
        <v>499</v>
      </c>
      <c r="F4843">
        <v>527486917</v>
      </c>
      <c r="G4843">
        <v>478123327</v>
      </c>
      <c r="H4843">
        <v>447680265</v>
      </c>
      <c r="I4843">
        <v>328220207</v>
      </c>
      <c r="J4843">
        <v>242278844</v>
      </c>
      <c r="P4843">
        <v>14</v>
      </c>
      <c r="Q4843" t="s">
        <v>10034</v>
      </c>
    </row>
    <row r="4844" spans="1:17" x14ac:dyDescent="0.3">
      <c r="A4844" t="s">
        <v>4729</v>
      </c>
      <c r="B4844" t="str">
        <f>"301069"</f>
        <v>301069</v>
      </c>
      <c r="C4844" t="s">
        <v>10035</v>
      </c>
      <c r="D4844" t="s">
        <v>1233</v>
      </c>
      <c r="F4844">
        <v>879591549</v>
      </c>
      <c r="G4844">
        <v>624026860</v>
      </c>
      <c r="H4844">
        <v>658876689</v>
      </c>
      <c r="I4844">
        <v>677305058</v>
      </c>
      <c r="J4844">
        <v>448678235</v>
      </c>
      <c r="P4844">
        <v>29</v>
      </c>
      <c r="Q4844" t="s">
        <v>10036</v>
      </c>
    </row>
    <row r="4845" spans="1:17" x14ac:dyDescent="0.3">
      <c r="A4845" t="s">
        <v>4729</v>
      </c>
      <c r="B4845" t="str">
        <f>"301070"</f>
        <v>301070</v>
      </c>
      <c r="C4845" t="s">
        <v>10037</v>
      </c>
      <c r="D4845" t="s">
        <v>560</v>
      </c>
      <c r="F4845">
        <v>343165052</v>
      </c>
      <c r="G4845">
        <v>280951068</v>
      </c>
      <c r="H4845">
        <v>297575280</v>
      </c>
      <c r="I4845">
        <v>265940498</v>
      </c>
      <c r="J4845">
        <v>201117962</v>
      </c>
      <c r="P4845">
        <v>19</v>
      </c>
      <c r="Q4845" t="s">
        <v>10038</v>
      </c>
    </row>
    <row r="4846" spans="1:17" x14ac:dyDescent="0.3">
      <c r="A4846" t="s">
        <v>4729</v>
      </c>
      <c r="B4846" t="str">
        <f>"301071"</f>
        <v>301071</v>
      </c>
      <c r="C4846" t="s">
        <v>10039</v>
      </c>
      <c r="D4846" t="s">
        <v>404</v>
      </c>
      <c r="F4846">
        <v>498351913</v>
      </c>
      <c r="G4846">
        <v>244887636</v>
      </c>
      <c r="H4846">
        <v>221284594</v>
      </c>
      <c r="I4846">
        <v>203656032</v>
      </c>
      <c r="J4846">
        <v>141696078</v>
      </c>
      <c r="P4846">
        <v>76</v>
      </c>
      <c r="Q4846" t="s">
        <v>10040</v>
      </c>
    </row>
    <row r="4847" spans="1:17" x14ac:dyDescent="0.3">
      <c r="A4847" t="s">
        <v>4729</v>
      </c>
      <c r="B4847" t="str">
        <f>"301072"</f>
        <v>301072</v>
      </c>
      <c r="C4847" t="s">
        <v>10041</v>
      </c>
      <c r="D4847" t="s">
        <v>348</v>
      </c>
      <c r="F4847">
        <v>622531111</v>
      </c>
      <c r="G4847">
        <v>526279286</v>
      </c>
      <c r="H4847">
        <v>560584726</v>
      </c>
      <c r="I4847">
        <v>548625526</v>
      </c>
      <c r="J4847">
        <v>541207304</v>
      </c>
      <c r="P4847">
        <v>17</v>
      </c>
      <c r="Q4847" t="s">
        <v>10042</v>
      </c>
    </row>
    <row r="4848" spans="1:17" x14ac:dyDescent="0.3">
      <c r="A4848" t="s">
        <v>4729</v>
      </c>
      <c r="B4848" t="str">
        <f>"301073"</f>
        <v>301073</v>
      </c>
      <c r="C4848" t="s">
        <v>10043</v>
      </c>
      <c r="D4848" t="s">
        <v>590</v>
      </c>
      <c r="F4848">
        <v>277510567</v>
      </c>
      <c r="G4848">
        <v>256033891</v>
      </c>
      <c r="H4848">
        <v>381636174</v>
      </c>
      <c r="I4848">
        <v>341156364</v>
      </c>
      <c r="J4848">
        <v>321924145</v>
      </c>
      <c r="K4848">
        <v>312568703</v>
      </c>
      <c r="P4848">
        <v>22</v>
      </c>
      <c r="Q4848" t="s">
        <v>10044</v>
      </c>
    </row>
    <row r="4849" spans="1:17" x14ac:dyDescent="0.3">
      <c r="A4849" t="s">
        <v>4729</v>
      </c>
      <c r="B4849" t="str">
        <f>"301075"</f>
        <v>301075</v>
      </c>
      <c r="C4849" t="s">
        <v>10045</v>
      </c>
      <c r="D4849" t="s">
        <v>143</v>
      </c>
      <c r="F4849">
        <v>529615448</v>
      </c>
      <c r="G4849">
        <v>490164744</v>
      </c>
      <c r="H4849">
        <v>449427451</v>
      </c>
      <c r="I4849">
        <v>348847655</v>
      </c>
      <c r="J4849">
        <v>142862007</v>
      </c>
      <c r="P4849">
        <v>22</v>
      </c>
      <c r="Q4849" t="s">
        <v>10046</v>
      </c>
    </row>
    <row r="4850" spans="1:17" x14ac:dyDescent="0.3">
      <c r="A4850" t="s">
        <v>4729</v>
      </c>
      <c r="B4850" t="str">
        <f>"301076"</f>
        <v>301076</v>
      </c>
      <c r="C4850" t="s">
        <v>10047</v>
      </c>
      <c r="D4850" t="s">
        <v>386</v>
      </c>
      <c r="F4850">
        <v>342031414</v>
      </c>
      <c r="G4850">
        <v>287902279</v>
      </c>
      <c r="H4850">
        <v>291776831</v>
      </c>
      <c r="I4850">
        <v>266572715</v>
      </c>
      <c r="J4850">
        <v>235955556</v>
      </c>
      <c r="P4850">
        <v>20</v>
      </c>
      <c r="Q4850" t="s">
        <v>10048</v>
      </c>
    </row>
    <row r="4851" spans="1:17" x14ac:dyDescent="0.3">
      <c r="A4851" t="s">
        <v>4729</v>
      </c>
      <c r="B4851" t="str">
        <f>"301077"</f>
        <v>301077</v>
      </c>
      <c r="C4851" t="s">
        <v>10049</v>
      </c>
      <c r="D4851" t="s">
        <v>386</v>
      </c>
      <c r="F4851">
        <v>791933439</v>
      </c>
      <c r="G4851">
        <v>622118141</v>
      </c>
      <c r="H4851">
        <v>539050200</v>
      </c>
      <c r="I4851">
        <v>462728700</v>
      </c>
      <c r="J4851">
        <v>330171182</v>
      </c>
      <c r="P4851">
        <v>30</v>
      </c>
      <c r="Q4851" t="s">
        <v>10050</v>
      </c>
    </row>
    <row r="4852" spans="1:17" x14ac:dyDescent="0.3">
      <c r="A4852" t="s">
        <v>4729</v>
      </c>
      <c r="B4852" t="str">
        <f>"301078"</f>
        <v>301078</v>
      </c>
      <c r="C4852" t="s">
        <v>10051</v>
      </c>
      <c r="D4852" t="s">
        <v>295</v>
      </c>
      <c r="F4852">
        <v>9048876572</v>
      </c>
      <c r="G4852">
        <v>8355435242</v>
      </c>
      <c r="H4852">
        <v>8242509243</v>
      </c>
      <c r="I4852">
        <v>6670651591</v>
      </c>
      <c r="J4852">
        <v>5235102320</v>
      </c>
      <c r="P4852">
        <v>23</v>
      </c>
      <c r="Q4852" t="s">
        <v>10052</v>
      </c>
    </row>
    <row r="4853" spans="1:17" x14ac:dyDescent="0.3">
      <c r="A4853" t="s">
        <v>4729</v>
      </c>
      <c r="B4853" t="str">
        <f>"301079"</f>
        <v>301079</v>
      </c>
      <c r="C4853" t="s">
        <v>10053</v>
      </c>
      <c r="D4853" t="s">
        <v>2007</v>
      </c>
      <c r="F4853">
        <v>375282469</v>
      </c>
      <c r="G4853">
        <v>337857188</v>
      </c>
      <c r="H4853">
        <v>310354386</v>
      </c>
      <c r="I4853">
        <v>207919397</v>
      </c>
      <c r="J4853">
        <v>148898704</v>
      </c>
      <c r="P4853">
        <v>22</v>
      </c>
      <c r="Q4853" t="s">
        <v>10054</v>
      </c>
    </row>
    <row r="4854" spans="1:17" x14ac:dyDescent="0.3">
      <c r="A4854" t="s">
        <v>4729</v>
      </c>
      <c r="B4854" t="str">
        <f>"301080"</f>
        <v>301080</v>
      </c>
      <c r="C4854" t="s">
        <v>10055</v>
      </c>
      <c r="D4854" t="s">
        <v>1461</v>
      </c>
      <c r="F4854">
        <v>384987712</v>
      </c>
      <c r="G4854">
        <v>246318613</v>
      </c>
      <c r="H4854">
        <v>103293027</v>
      </c>
      <c r="I4854">
        <v>69841559</v>
      </c>
      <c r="J4854">
        <v>47179381</v>
      </c>
      <c r="P4854">
        <v>52</v>
      </c>
      <c r="Q4854" t="s">
        <v>10056</v>
      </c>
    </row>
    <row r="4855" spans="1:17" x14ac:dyDescent="0.3">
      <c r="A4855" t="s">
        <v>4729</v>
      </c>
      <c r="B4855" t="str">
        <f>"301081"</f>
        <v>301081</v>
      </c>
      <c r="C4855" t="s">
        <v>10057</v>
      </c>
      <c r="D4855" t="s">
        <v>1070</v>
      </c>
      <c r="F4855">
        <v>708644599</v>
      </c>
      <c r="G4855">
        <v>572269955</v>
      </c>
      <c r="H4855">
        <v>472020107</v>
      </c>
      <c r="I4855">
        <v>369842366</v>
      </c>
      <c r="J4855">
        <v>290495446</v>
      </c>
      <c r="K4855">
        <v>212905809</v>
      </c>
      <c r="P4855">
        <v>21</v>
      </c>
      <c r="Q4855" t="s">
        <v>10058</v>
      </c>
    </row>
    <row r="4856" spans="1:17" x14ac:dyDescent="0.3">
      <c r="A4856" t="s">
        <v>4729</v>
      </c>
      <c r="B4856" t="str">
        <f>"301082"</f>
        <v>301082</v>
      </c>
      <c r="C4856" t="s">
        <v>10059</v>
      </c>
      <c r="D4856" t="s">
        <v>1164</v>
      </c>
      <c r="F4856">
        <v>1953835808</v>
      </c>
      <c r="G4856">
        <v>1193218008</v>
      </c>
      <c r="H4856">
        <v>1255948299</v>
      </c>
      <c r="I4856">
        <v>1230548805</v>
      </c>
      <c r="J4856">
        <v>1012332747</v>
      </c>
      <c r="P4856">
        <v>17</v>
      </c>
      <c r="Q4856" t="s">
        <v>10060</v>
      </c>
    </row>
    <row r="4857" spans="1:17" x14ac:dyDescent="0.3">
      <c r="A4857" t="s">
        <v>4729</v>
      </c>
      <c r="B4857" t="str">
        <f>"301083"</f>
        <v>301083</v>
      </c>
      <c r="C4857" t="s">
        <v>10061</v>
      </c>
      <c r="D4857" t="s">
        <v>741</v>
      </c>
      <c r="F4857">
        <v>525137519</v>
      </c>
      <c r="G4857">
        <v>501905624</v>
      </c>
      <c r="H4857">
        <v>471543136</v>
      </c>
      <c r="I4857">
        <v>425428912</v>
      </c>
      <c r="J4857">
        <v>400379850</v>
      </c>
      <c r="P4857">
        <v>16</v>
      </c>
      <c r="Q4857" t="s">
        <v>10062</v>
      </c>
    </row>
    <row r="4858" spans="1:17" x14ac:dyDescent="0.3">
      <c r="A4858" t="s">
        <v>4729</v>
      </c>
      <c r="B4858" t="str">
        <f>"301085"</f>
        <v>301085</v>
      </c>
      <c r="C4858" t="s">
        <v>10063</v>
      </c>
      <c r="D4858" t="s">
        <v>316</v>
      </c>
      <c r="F4858">
        <v>1175718761</v>
      </c>
      <c r="G4858">
        <v>1212256518</v>
      </c>
      <c r="H4858">
        <v>1347535120</v>
      </c>
      <c r="I4858">
        <v>1092157495</v>
      </c>
      <c r="J4858">
        <v>789991128</v>
      </c>
      <c r="P4858">
        <v>16</v>
      </c>
      <c r="Q4858" t="s">
        <v>10064</v>
      </c>
    </row>
    <row r="4859" spans="1:17" x14ac:dyDescent="0.3">
      <c r="A4859" t="s">
        <v>4729</v>
      </c>
      <c r="B4859" t="str">
        <f>"301086"</f>
        <v>301086</v>
      </c>
      <c r="C4859" t="s">
        <v>10065</v>
      </c>
      <c r="D4859" t="s">
        <v>313</v>
      </c>
      <c r="F4859">
        <v>739553413</v>
      </c>
      <c r="G4859">
        <v>650696627</v>
      </c>
      <c r="H4859">
        <v>444801317</v>
      </c>
      <c r="I4859">
        <v>346125945</v>
      </c>
      <c r="J4859">
        <v>240616423</v>
      </c>
      <c r="P4859">
        <v>28</v>
      </c>
      <c r="Q4859" t="s">
        <v>10066</v>
      </c>
    </row>
    <row r="4860" spans="1:17" x14ac:dyDescent="0.3">
      <c r="A4860" t="s">
        <v>4729</v>
      </c>
      <c r="B4860" t="str">
        <f>"301087"</f>
        <v>301087</v>
      </c>
      <c r="C4860" t="s">
        <v>10067</v>
      </c>
      <c r="D4860" t="s">
        <v>1305</v>
      </c>
      <c r="F4860">
        <v>2275632827</v>
      </c>
      <c r="G4860">
        <v>2375260699</v>
      </c>
      <c r="H4860">
        <v>1462029508</v>
      </c>
      <c r="I4860">
        <v>1087081148</v>
      </c>
      <c r="J4860">
        <v>850511323</v>
      </c>
      <c r="P4860">
        <v>33</v>
      </c>
      <c r="Q4860" t="s">
        <v>10068</v>
      </c>
    </row>
    <row r="4861" spans="1:17" x14ac:dyDescent="0.3">
      <c r="A4861" t="s">
        <v>4729</v>
      </c>
      <c r="B4861" t="str">
        <f>"301088"</f>
        <v>301088</v>
      </c>
      <c r="C4861" t="s">
        <v>10069</v>
      </c>
      <c r="D4861" t="s">
        <v>255</v>
      </c>
      <c r="F4861">
        <v>872310059</v>
      </c>
      <c r="G4861">
        <v>851367054</v>
      </c>
      <c r="H4861">
        <v>694098110</v>
      </c>
      <c r="I4861">
        <v>704387662</v>
      </c>
      <c r="J4861">
        <v>584535001</v>
      </c>
      <c r="P4861">
        <v>28</v>
      </c>
      <c r="Q4861" t="s">
        <v>10070</v>
      </c>
    </row>
    <row r="4862" spans="1:17" x14ac:dyDescent="0.3">
      <c r="A4862" t="s">
        <v>4729</v>
      </c>
      <c r="B4862" t="str">
        <f>"301089"</f>
        <v>301089</v>
      </c>
      <c r="C4862" t="s">
        <v>10071</v>
      </c>
      <c r="D4862" t="s">
        <v>496</v>
      </c>
      <c r="F4862">
        <v>502482147</v>
      </c>
      <c r="G4862">
        <v>527944254</v>
      </c>
      <c r="H4862">
        <v>385963951</v>
      </c>
      <c r="I4862">
        <v>391011993</v>
      </c>
      <c r="J4862">
        <v>387361454</v>
      </c>
      <c r="P4862">
        <v>37</v>
      </c>
      <c r="Q4862" t="s">
        <v>10072</v>
      </c>
    </row>
    <row r="4863" spans="1:17" x14ac:dyDescent="0.3">
      <c r="A4863" t="s">
        <v>4729</v>
      </c>
      <c r="B4863" t="str">
        <f>"301090"</f>
        <v>301090</v>
      </c>
      <c r="C4863" t="s">
        <v>10073</v>
      </c>
      <c r="D4863" t="s">
        <v>528</v>
      </c>
      <c r="F4863">
        <v>12585275004</v>
      </c>
      <c r="G4863">
        <v>12380406282</v>
      </c>
      <c r="H4863">
        <v>12384326149</v>
      </c>
      <c r="I4863">
        <v>14481388638</v>
      </c>
      <c r="J4863">
        <v>12481458428</v>
      </c>
      <c r="P4863">
        <v>18</v>
      </c>
      <c r="Q4863" t="s">
        <v>10074</v>
      </c>
    </row>
    <row r="4864" spans="1:17" x14ac:dyDescent="0.3">
      <c r="A4864" t="s">
        <v>4729</v>
      </c>
      <c r="B4864" t="str">
        <f>"301091"</f>
        <v>301091</v>
      </c>
      <c r="C4864" t="s">
        <v>10075</v>
      </c>
      <c r="D4864" t="s">
        <v>1272</v>
      </c>
      <c r="F4864">
        <v>1159176124</v>
      </c>
      <c r="G4864">
        <v>1088753359</v>
      </c>
      <c r="H4864">
        <v>871343369</v>
      </c>
      <c r="I4864">
        <v>619495779</v>
      </c>
      <c r="J4864">
        <v>385443627</v>
      </c>
      <c r="P4864">
        <v>25</v>
      </c>
      <c r="Q4864" t="s">
        <v>10076</v>
      </c>
    </row>
    <row r="4865" spans="1:17" x14ac:dyDescent="0.3">
      <c r="A4865" t="s">
        <v>4729</v>
      </c>
      <c r="B4865" t="str">
        <f>"301092"</f>
        <v>301092</v>
      </c>
      <c r="C4865" t="s">
        <v>10077</v>
      </c>
      <c r="D4865" t="s">
        <v>3377</v>
      </c>
      <c r="F4865">
        <v>451344159</v>
      </c>
      <c r="G4865">
        <v>494417658</v>
      </c>
      <c r="H4865">
        <v>435427307</v>
      </c>
      <c r="I4865">
        <v>393834985</v>
      </c>
      <c r="J4865">
        <v>370934550</v>
      </c>
      <c r="P4865">
        <v>22</v>
      </c>
      <c r="Q4865" t="s">
        <v>10078</v>
      </c>
    </row>
    <row r="4866" spans="1:17" x14ac:dyDescent="0.3">
      <c r="A4866" t="s">
        <v>4729</v>
      </c>
      <c r="B4866" t="str">
        <f>"301093"</f>
        <v>301093</v>
      </c>
      <c r="C4866" t="s">
        <v>10079</v>
      </c>
      <c r="D4866" t="s">
        <v>1077</v>
      </c>
      <c r="F4866">
        <v>820866852</v>
      </c>
      <c r="G4866">
        <v>446322571</v>
      </c>
      <c r="H4866">
        <v>459745903</v>
      </c>
      <c r="I4866">
        <v>433561512</v>
      </c>
      <c r="J4866">
        <v>388351183</v>
      </c>
      <c r="P4866">
        <v>30</v>
      </c>
      <c r="Q4866" t="s">
        <v>10080</v>
      </c>
    </row>
    <row r="4867" spans="1:17" x14ac:dyDescent="0.3">
      <c r="A4867" t="s">
        <v>4729</v>
      </c>
      <c r="B4867" t="str">
        <f>"301096"</f>
        <v>301096</v>
      </c>
      <c r="C4867" t="s">
        <v>10081</v>
      </c>
      <c r="D4867" t="s">
        <v>1461</v>
      </c>
      <c r="F4867">
        <v>374311815</v>
      </c>
      <c r="G4867">
        <v>207247809</v>
      </c>
      <c r="H4867">
        <v>156415552</v>
      </c>
      <c r="I4867">
        <v>82122056</v>
      </c>
      <c r="J4867">
        <v>25585979</v>
      </c>
      <c r="P4867">
        <v>26</v>
      </c>
      <c r="Q4867" t="s">
        <v>10082</v>
      </c>
    </row>
    <row r="4868" spans="1:17" x14ac:dyDescent="0.3">
      <c r="A4868" t="s">
        <v>4729</v>
      </c>
      <c r="B4868" t="str">
        <f>"301097"</f>
        <v>301097</v>
      </c>
      <c r="C4868" t="s">
        <v>10083</v>
      </c>
      <c r="F4868">
        <v>414731858</v>
      </c>
      <c r="G4868">
        <v>378874787</v>
      </c>
      <c r="H4868">
        <v>316300726</v>
      </c>
      <c r="I4868">
        <v>258211220</v>
      </c>
      <c r="J4868">
        <v>240013234</v>
      </c>
      <c r="P4868">
        <v>2</v>
      </c>
      <c r="Q4868" t="s">
        <v>10084</v>
      </c>
    </row>
    <row r="4869" spans="1:17" x14ac:dyDescent="0.3">
      <c r="A4869" t="s">
        <v>4729</v>
      </c>
      <c r="B4869" t="str">
        <f>"301098"</f>
        <v>301098</v>
      </c>
      <c r="C4869" t="s">
        <v>10085</v>
      </c>
      <c r="D4869" t="s">
        <v>2417</v>
      </c>
      <c r="F4869">
        <v>958416629</v>
      </c>
      <c r="G4869">
        <v>932375147</v>
      </c>
      <c r="H4869">
        <v>832044836</v>
      </c>
      <c r="I4869">
        <v>697797964</v>
      </c>
      <c r="J4869">
        <v>463796820</v>
      </c>
      <c r="K4869">
        <v>334410167</v>
      </c>
      <c r="P4869">
        <v>13</v>
      </c>
      <c r="Q4869" t="s">
        <v>10086</v>
      </c>
    </row>
    <row r="4870" spans="1:17" x14ac:dyDescent="0.3">
      <c r="A4870" t="s">
        <v>4729</v>
      </c>
      <c r="B4870" t="str">
        <f>"301099"</f>
        <v>301099</v>
      </c>
      <c r="C4870" t="s">
        <v>10087</v>
      </c>
      <c r="D4870" t="s">
        <v>546</v>
      </c>
      <c r="F4870">
        <v>1417847418</v>
      </c>
      <c r="G4870">
        <v>1097734001</v>
      </c>
      <c r="H4870">
        <v>1117322773</v>
      </c>
      <c r="I4870">
        <v>1112281745</v>
      </c>
      <c r="J4870">
        <v>925355244</v>
      </c>
      <c r="P4870">
        <v>16</v>
      </c>
      <c r="Q4870" t="s">
        <v>10088</v>
      </c>
    </row>
    <row r="4871" spans="1:17" x14ac:dyDescent="0.3">
      <c r="A4871" t="s">
        <v>4729</v>
      </c>
      <c r="B4871" t="str">
        <f>"301100"</f>
        <v>301100</v>
      </c>
      <c r="C4871" t="s">
        <v>10089</v>
      </c>
      <c r="D4871" t="s">
        <v>386</v>
      </c>
      <c r="F4871">
        <v>753658876</v>
      </c>
      <c r="G4871">
        <v>705910432</v>
      </c>
      <c r="H4871">
        <v>643706649</v>
      </c>
      <c r="I4871">
        <v>596863615</v>
      </c>
      <c r="J4871">
        <v>534443428</v>
      </c>
      <c r="P4871">
        <v>11</v>
      </c>
      <c r="Q4871" t="s">
        <v>10090</v>
      </c>
    </row>
    <row r="4872" spans="1:17" x14ac:dyDescent="0.3">
      <c r="A4872" t="s">
        <v>4729</v>
      </c>
      <c r="B4872" t="str">
        <f>"301101"</f>
        <v>301101</v>
      </c>
      <c r="C4872" t="s">
        <v>10091</v>
      </c>
      <c r="D4872" t="s">
        <v>3410</v>
      </c>
      <c r="F4872">
        <v>575569283</v>
      </c>
      <c r="G4872">
        <v>539681448</v>
      </c>
      <c r="H4872">
        <v>552501241</v>
      </c>
      <c r="I4872">
        <v>509418482</v>
      </c>
      <c r="J4872">
        <v>426268197</v>
      </c>
      <c r="P4872">
        <v>19</v>
      </c>
      <c r="Q4872" t="s">
        <v>10092</v>
      </c>
    </row>
    <row r="4873" spans="1:17" x14ac:dyDescent="0.3">
      <c r="A4873" t="s">
        <v>4729</v>
      </c>
      <c r="B4873" t="str">
        <f>"301102"</f>
        <v>301102</v>
      </c>
      <c r="C4873" t="s">
        <v>10093</v>
      </c>
      <c r="F4873">
        <v>619080707</v>
      </c>
      <c r="G4873">
        <v>488063558</v>
      </c>
      <c r="H4873">
        <v>436047367</v>
      </c>
      <c r="I4873">
        <v>374799424</v>
      </c>
      <c r="J4873">
        <v>337798858</v>
      </c>
      <c r="P4873">
        <v>4</v>
      </c>
      <c r="Q4873" t="s">
        <v>10094</v>
      </c>
    </row>
    <row r="4874" spans="1:17" x14ac:dyDescent="0.3">
      <c r="A4874" t="s">
        <v>4729</v>
      </c>
      <c r="B4874" t="str">
        <f>"301103"</f>
        <v>301103</v>
      </c>
      <c r="C4874" t="s">
        <v>10095</v>
      </c>
      <c r="F4874">
        <v>962451382</v>
      </c>
      <c r="G4874">
        <v>838473305</v>
      </c>
      <c r="H4874">
        <v>745563781</v>
      </c>
      <c r="I4874">
        <v>613727695</v>
      </c>
      <c r="J4874">
        <v>476445153</v>
      </c>
      <c r="P4874">
        <v>5</v>
      </c>
      <c r="Q4874" t="s">
        <v>10096</v>
      </c>
    </row>
    <row r="4875" spans="1:17" x14ac:dyDescent="0.3">
      <c r="A4875" t="s">
        <v>4729</v>
      </c>
      <c r="B4875" t="str">
        <f>"301106"</f>
        <v>301106</v>
      </c>
      <c r="C4875" t="s">
        <v>10097</v>
      </c>
      <c r="F4875">
        <v>564753877</v>
      </c>
      <c r="G4875">
        <v>453620391</v>
      </c>
      <c r="H4875">
        <v>451130693</v>
      </c>
      <c r="I4875">
        <v>377334739</v>
      </c>
      <c r="J4875">
        <v>304809177</v>
      </c>
      <c r="P4875">
        <v>8</v>
      </c>
      <c r="Q4875" t="s">
        <v>10098</v>
      </c>
    </row>
    <row r="4876" spans="1:17" x14ac:dyDescent="0.3">
      <c r="A4876" t="s">
        <v>4729</v>
      </c>
      <c r="B4876" t="str">
        <f>"301108"</f>
        <v>301108</v>
      </c>
      <c r="C4876" t="s">
        <v>10099</v>
      </c>
      <c r="D4876" t="s">
        <v>2751</v>
      </c>
      <c r="F4876">
        <v>984448665</v>
      </c>
      <c r="G4876">
        <v>743010528</v>
      </c>
      <c r="H4876">
        <v>277430332</v>
      </c>
      <c r="I4876">
        <v>283029143</v>
      </c>
      <c r="J4876">
        <v>243069311</v>
      </c>
      <c r="P4876">
        <v>24</v>
      </c>
      <c r="Q4876" t="s">
        <v>10100</v>
      </c>
    </row>
    <row r="4877" spans="1:17" x14ac:dyDescent="0.3">
      <c r="A4877" t="s">
        <v>4729</v>
      </c>
      <c r="B4877" t="str">
        <f>"301109"</f>
        <v>301109</v>
      </c>
      <c r="C4877" t="s">
        <v>10101</v>
      </c>
      <c r="F4877">
        <v>2054547868</v>
      </c>
      <c r="G4877">
        <v>1101327727</v>
      </c>
      <c r="H4877">
        <v>995862101</v>
      </c>
      <c r="I4877">
        <v>841477165</v>
      </c>
      <c r="J4877">
        <v>488763991</v>
      </c>
      <c r="P4877">
        <v>3</v>
      </c>
      <c r="Q4877" t="s">
        <v>10102</v>
      </c>
    </row>
    <row r="4878" spans="1:17" x14ac:dyDescent="0.3">
      <c r="A4878" t="s">
        <v>4729</v>
      </c>
      <c r="B4878" t="str">
        <f>"301110"</f>
        <v>301110</v>
      </c>
      <c r="C4878" t="s">
        <v>10103</v>
      </c>
      <c r="F4878">
        <v>879526065</v>
      </c>
      <c r="G4878">
        <v>648701980</v>
      </c>
      <c r="H4878">
        <v>361214793</v>
      </c>
      <c r="I4878">
        <v>305544646</v>
      </c>
      <c r="J4878">
        <v>216395890</v>
      </c>
      <c r="P4878">
        <v>9</v>
      </c>
      <c r="Q4878" t="s">
        <v>10104</v>
      </c>
    </row>
    <row r="4879" spans="1:17" x14ac:dyDescent="0.3">
      <c r="A4879" t="s">
        <v>4729</v>
      </c>
      <c r="B4879" t="str">
        <f>"301111"</f>
        <v>301111</v>
      </c>
      <c r="C4879" t="s">
        <v>10105</v>
      </c>
      <c r="D4879" t="s">
        <v>143</v>
      </c>
      <c r="F4879">
        <v>349788914</v>
      </c>
      <c r="G4879">
        <v>340956598</v>
      </c>
      <c r="H4879">
        <v>316584990</v>
      </c>
      <c r="I4879">
        <v>290494775</v>
      </c>
      <c r="J4879">
        <v>191588867</v>
      </c>
      <c r="P4879">
        <v>28</v>
      </c>
      <c r="Q4879" t="s">
        <v>10106</v>
      </c>
    </row>
    <row r="4880" spans="1:17" x14ac:dyDescent="0.3">
      <c r="A4880" t="s">
        <v>4729</v>
      </c>
      <c r="B4880" t="str">
        <f>"301113"</f>
        <v>301113</v>
      </c>
      <c r="C4880" t="s">
        <v>10107</v>
      </c>
      <c r="D4880" t="s">
        <v>2445</v>
      </c>
      <c r="F4880">
        <v>448401606</v>
      </c>
      <c r="G4880">
        <v>320935997</v>
      </c>
      <c r="H4880">
        <v>150852208</v>
      </c>
      <c r="I4880">
        <v>138415092</v>
      </c>
      <c r="J4880">
        <v>141763515</v>
      </c>
      <c r="P4880">
        <v>27</v>
      </c>
      <c r="Q4880" t="s">
        <v>10108</v>
      </c>
    </row>
    <row r="4881" spans="1:17" x14ac:dyDescent="0.3">
      <c r="A4881" t="s">
        <v>4729</v>
      </c>
      <c r="B4881" t="str">
        <f>"301116"</f>
        <v>301116</v>
      </c>
      <c r="C4881" t="s">
        <v>10109</v>
      </c>
      <c r="D4881" t="s">
        <v>6260</v>
      </c>
      <c r="F4881">
        <v>16414226265</v>
      </c>
      <c r="G4881">
        <v>14391930210</v>
      </c>
      <c r="H4881">
        <v>15553755398</v>
      </c>
      <c r="I4881">
        <v>9904847041</v>
      </c>
      <c r="J4881">
        <v>7521365055</v>
      </c>
      <c r="K4881">
        <v>7451045454</v>
      </c>
      <c r="P4881">
        <v>11</v>
      </c>
      <c r="Q4881" t="s">
        <v>10110</v>
      </c>
    </row>
    <row r="4882" spans="1:17" x14ac:dyDescent="0.3">
      <c r="A4882" t="s">
        <v>4729</v>
      </c>
      <c r="B4882" t="str">
        <f>"301117"</f>
        <v>301117</v>
      </c>
      <c r="C4882" t="s">
        <v>10111</v>
      </c>
      <c r="D4882" t="s">
        <v>2980</v>
      </c>
      <c r="F4882">
        <v>316840485</v>
      </c>
      <c r="G4882">
        <v>190560202</v>
      </c>
      <c r="H4882">
        <v>131010383</v>
      </c>
      <c r="I4882">
        <v>103249559</v>
      </c>
      <c r="J4882">
        <v>78821266</v>
      </c>
      <c r="P4882">
        <v>9</v>
      </c>
      <c r="Q4882" t="s">
        <v>10112</v>
      </c>
    </row>
    <row r="4883" spans="1:17" x14ac:dyDescent="0.3">
      <c r="A4883" t="s">
        <v>4729</v>
      </c>
      <c r="B4883" t="str">
        <f>"301118"</f>
        <v>301118</v>
      </c>
      <c r="C4883" t="s">
        <v>10113</v>
      </c>
      <c r="D4883" t="s">
        <v>1233</v>
      </c>
      <c r="F4883">
        <v>933101793</v>
      </c>
      <c r="G4883">
        <v>636630799</v>
      </c>
      <c r="H4883">
        <v>606528013</v>
      </c>
      <c r="I4883">
        <v>658513297</v>
      </c>
      <c r="J4883">
        <v>460422792</v>
      </c>
      <c r="P4883">
        <v>16</v>
      </c>
      <c r="Q4883" t="s">
        <v>10114</v>
      </c>
    </row>
    <row r="4884" spans="1:17" x14ac:dyDescent="0.3">
      <c r="A4884" t="s">
        <v>4729</v>
      </c>
      <c r="B4884" t="str">
        <f>"301119"</f>
        <v>301119</v>
      </c>
      <c r="C4884" t="s">
        <v>10115</v>
      </c>
      <c r="D4884" t="s">
        <v>348</v>
      </c>
      <c r="F4884">
        <v>354105955</v>
      </c>
      <c r="G4884">
        <v>282096369</v>
      </c>
      <c r="H4884">
        <v>305142815</v>
      </c>
      <c r="I4884">
        <v>319518870</v>
      </c>
      <c r="J4884">
        <v>280120248</v>
      </c>
      <c r="P4884">
        <v>12</v>
      </c>
      <c r="Q4884" t="s">
        <v>10116</v>
      </c>
    </row>
    <row r="4885" spans="1:17" x14ac:dyDescent="0.3">
      <c r="A4885" t="s">
        <v>4729</v>
      </c>
      <c r="B4885" t="str">
        <f>"301120"</f>
        <v>301120</v>
      </c>
      <c r="C4885" t="s">
        <v>10117</v>
      </c>
      <c r="F4885">
        <v>407994884</v>
      </c>
      <c r="G4885">
        <v>340693354</v>
      </c>
      <c r="H4885">
        <v>270900571</v>
      </c>
      <c r="I4885">
        <v>246688579</v>
      </c>
      <c r="J4885">
        <v>206653196</v>
      </c>
      <c r="P4885">
        <v>7</v>
      </c>
      <c r="Q4885" t="s">
        <v>10118</v>
      </c>
    </row>
    <row r="4886" spans="1:17" x14ac:dyDescent="0.3">
      <c r="A4886" t="s">
        <v>4729</v>
      </c>
      <c r="B4886" t="str">
        <f>"301122"</f>
        <v>301122</v>
      </c>
      <c r="C4886" t="s">
        <v>10119</v>
      </c>
      <c r="F4886">
        <v>442051932</v>
      </c>
      <c r="G4886">
        <v>505006043</v>
      </c>
      <c r="H4886">
        <v>181312620</v>
      </c>
      <c r="I4886">
        <v>143377357</v>
      </c>
      <c r="J4886">
        <v>93015577</v>
      </c>
      <c r="P4886">
        <v>14</v>
      </c>
      <c r="Q4886" t="s">
        <v>10120</v>
      </c>
    </row>
    <row r="4887" spans="1:17" x14ac:dyDescent="0.3">
      <c r="A4887" t="s">
        <v>4729</v>
      </c>
      <c r="B4887" t="str">
        <f>"301123"</f>
        <v>301123</v>
      </c>
      <c r="C4887" t="s">
        <v>10121</v>
      </c>
      <c r="F4887">
        <v>1500228718</v>
      </c>
      <c r="G4887">
        <v>1175342861</v>
      </c>
      <c r="H4887">
        <v>1055068202</v>
      </c>
      <c r="I4887">
        <v>992125690</v>
      </c>
      <c r="J4887">
        <v>867431030</v>
      </c>
      <c r="P4887">
        <v>6</v>
      </c>
      <c r="Q4887" t="s">
        <v>10122</v>
      </c>
    </row>
    <row r="4888" spans="1:17" x14ac:dyDescent="0.3">
      <c r="A4888" t="s">
        <v>4729</v>
      </c>
      <c r="B4888" t="str">
        <f>"301126"</f>
        <v>301126</v>
      </c>
      <c r="C4888" t="s">
        <v>10123</v>
      </c>
      <c r="D4888" t="s">
        <v>125</v>
      </c>
      <c r="F4888">
        <v>2592177299</v>
      </c>
      <c r="G4888">
        <v>2339769112</v>
      </c>
      <c r="H4888">
        <v>2456528308</v>
      </c>
      <c r="I4888">
        <v>2188622245</v>
      </c>
      <c r="J4888">
        <v>2022108643</v>
      </c>
      <c r="P4888">
        <v>14</v>
      </c>
      <c r="Q4888" t="s">
        <v>10124</v>
      </c>
    </row>
    <row r="4889" spans="1:17" x14ac:dyDescent="0.3">
      <c r="A4889" t="s">
        <v>4729</v>
      </c>
      <c r="B4889" t="str">
        <f>"301127"</f>
        <v>301127</v>
      </c>
      <c r="C4889" t="s">
        <v>10125</v>
      </c>
      <c r="D4889" t="s">
        <v>33</v>
      </c>
      <c r="F4889">
        <v>759912065</v>
      </c>
      <c r="G4889">
        <v>549888583</v>
      </c>
      <c r="H4889">
        <v>451269406</v>
      </c>
      <c r="I4889">
        <v>263552926</v>
      </c>
      <c r="J4889">
        <v>138379087</v>
      </c>
      <c r="P4889">
        <v>13</v>
      </c>
      <c r="Q4889" t="s">
        <v>10126</v>
      </c>
    </row>
    <row r="4890" spans="1:17" x14ac:dyDescent="0.3">
      <c r="A4890" t="s">
        <v>4729</v>
      </c>
      <c r="B4890" t="str">
        <f>"301128"</f>
        <v>301128</v>
      </c>
      <c r="C4890" t="s">
        <v>10127</v>
      </c>
      <c r="D4890" t="s">
        <v>741</v>
      </c>
      <c r="F4890">
        <v>422471847</v>
      </c>
      <c r="G4890">
        <v>420165355</v>
      </c>
      <c r="H4890">
        <v>347358599</v>
      </c>
      <c r="I4890">
        <v>248973259</v>
      </c>
      <c r="J4890">
        <v>122700346</v>
      </c>
      <c r="P4890">
        <v>12</v>
      </c>
      <c r="Q4890" t="s">
        <v>10128</v>
      </c>
    </row>
    <row r="4891" spans="1:17" x14ac:dyDescent="0.3">
      <c r="A4891" t="s">
        <v>4729</v>
      </c>
      <c r="B4891" t="str">
        <f>"301129"</f>
        <v>301129</v>
      </c>
      <c r="C4891" t="s">
        <v>10129</v>
      </c>
      <c r="D4891" t="s">
        <v>2566</v>
      </c>
      <c r="F4891">
        <v>529582538</v>
      </c>
      <c r="G4891">
        <v>415993646</v>
      </c>
      <c r="H4891">
        <v>348287105</v>
      </c>
      <c r="I4891">
        <v>206551107</v>
      </c>
      <c r="J4891">
        <v>160030534</v>
      </c>
      <c r="P4891">
        <v>22</v>
      </c>
      <c r="Q4891" t="s">
        <v>10130</v>
      </c>
    </row>
    <row r="4892" spans="1:17" x14ac:dyDescent="0.3">
      <c r="A4892" t="s">
        <v>4729</v>
      </c>
      <c r="B4892" t="str">
        <f>"301130"</f>
        <v>301130</v>
      </c>
      <c r="C4892" t="s">
        <v>10131</v>
      </c>
      <c r="F4892">
        <v>285655932</v>
      </c>
      <c r="G4892">
        <v>286318719</v>
      </c>
      <c r="H4892">
        <v>324914216</v>
      </c>
      <c r="I4892">
        <v>280203468</v>
      </c>
      <c r="J4892">
        <v>273507602</v>
      </c>
      <c r="P4892">
        <v>7</v>
      </c>
      <c r="Q4892" t="s">
        <v>10132</v>
      </c>
    </row>
    <row r="4893" spans="1:17" x14ac:dyDescent="0.3">
      <c r="A4893" t="s">
        <v>4729</v>
      </c>
      <c r="B4893" t="str">
        <f>"301131"</f>
        <v>301131</v>
      </c>
      <c r="C4893" t="s">
        <v>10133</v>
      </c>
      <c r="F4893">
        <v>1303081485</v>
      </c>
      <c r="G4893">
        <v>1108162029</v>
      </c>
      <c r="H4893">
        <v>999054493</v>
      </c>
      <c r="I4893">
        <v>868287804</v>
      </c>
      <c r="J4893">
        <v>669286736</v>
      </c>
      <c r="P4893">
        <v>4</v>
      </c>
      <c r="Q4893" t="s">
        <v>10134</v>
      </c>
    </row>
    <row r="4894" spans="1:17" x14ac:dyDescent="0.3">
      <c r="A4894" t="s">
        <v>4729</v>
      </c>
      <c r="B4894" t="str">
        <f>"301133"</f>
        <v>301133</v>
      </c>
      <c r="C4894" t="s">
        <v>10135</v>
      </c>
      <c r="D4894" t="s">
        <v>191</v>
      </c>
      <c r="F4894">
        <v>549476756</v>
      </c>
      <c r="G4894">
        <v>396468538</v>
      </c>
      <c r="H4894">
        <v>375633662</v>
      </c>
      <c r="I4894">
        <v>340083175</v>
      </c>
      <c r="J4894">
        <v>324586843</v>
      </c>
      <c r="P4894">
        <v>15</v>
      </c>
      <c r="Q4894" t="s">
        <v>10136</v>
      </c>
    </row>
    <row r="4895" spans="1:17" x14ac:dyDescent="0.3">
      <c r="A4895" t="s">
        <v>4729</v>
      </c>
      <c r="B4895" t="str">
        <f>"301135"</f>
        <v>301135</v>
      </c>
      <c r="C4895" t="s">
        <v>10137</v>
      </c>
      <c r="F4895">
        <v>1324061127</v>
      </c>
      <c r="G4895">
        <v>1090204136</v>
      </c>
      <c r="H4895">
        <v>942883887</v>
      </c>
      <c r="I4895">
        <v>831405277</v>
      </c>
      <c r="J4895">
        <v>698178214</v>
      </c>
      <c r="P4895">
        <v>1</v>
      </c>
      <c r="Q4895" t="s">
        <v>10138</v>
      </c>
    </row>
    <row r="4896" spans="1:17" x14ac:dyDescent="0.3">
      <c r="A4896" t="s">
        <v>4729</v>
      </c>
      <c r="B4896" t="str">
        <f>"301136"</f>
        <v>301136</v>
      </c>
      <c r="C4896" t="s">
        <v>10139</v>
      </c>
      <c r="D4896" t="s">
        <v>1272</v>
      </c>
      <c r="F4896">
        <v>666608138</v>
      </c>
      <c r="G4896">
        <v>648678165</v>
      </c>
      <c r="H4896">
        <v>606415979</v>
      </c>
      <c r="I4896">
        <v>562144808</v>
      </c>
      <c r="J4896">
        <v>450043073</v>
      </c>
      <c r="P4896">
        <v>9</v>
      </c>
      <c r="Q4896" t="s">
        <v>10140</v>
      </c>
    </row>
    <row r="4897" spans="1:17" x14ac:dyDescent="0.3">
      <c r="A4897" t="s">
        <v>4729</v>
      </c>
      <c r="B4897" t="str">
        <f>"301137"</f>
        <v>301137</v>
      </c>
      <c r="C4897" t="s">
        <v>10141</v>
      </c>
      <c r="F4897">
        <v>1715578619</v>
      </c>
      <c r="G4897">
        <v>1362737745</v>
      </c>
      <c r="H4897">
        <v>1191009940</v>
      </c>
      <c r="I4897">
        <v>1078233607</v>
      </c>
      <c r="J4897">
        <v>869051666</v>
      </c>
      <c r="P4897">
        <v>3</v>
      </c>
      <c r="Q4897" t="s">
        <v>10142</v>
      </c>
    </row>
    <row r="4898" spans="1:17" x14ac:dyDescent="0.3">
      <c r="A4898" t="s">
        <v>4729</v>
      </c>
      <c r="B4898" t="str">
        <f>"301138"</f>
        <v>301138</v>
      </c>
      <c r="C4898" t="s">
        <v>10143</v>
      </c>
      <c r="D4898" t="s">
        <v>741</v>
      </c>
      <c r="F4898">
        <v>558703416</v>
      </c>
      <c r="G4898">
        <v>522354951</v>
      </c>
      <c r="H4898">
        <v>456776191</v>
      </c>
      <c r="I4898">
        <v>397387423</v>
      </c>
      <c r="J4898">
        <v>367589325</v>
      </c>
      <c r="P4898">
        <v>16</v>
      </c>
      <c r="Q4898" t="s">
        <v>10144</v>
      </c>
    </row>
    <row r="4899" spans="1:17" x14ac:dyDescent="0.3">
      <c r="A4899" t="s">
        <v>4729</v>
      </c>
      <c r="B4899" t="str">
        <f>"301148"</f>
        <v>301148</v>
      </c>
      <c r="C4899" t="s">
        <v>10145</v>
      </c>
      <c r="F4899">
        <v>675319597</v>
      </c>
      <c r="G4899">
        <v>597639928</v>
      </c>
      <c r="H4899">
        <v>575991092</v>
      </c>
      <c r="I4899">
        <v>299069789</v>
      </c>
      <c r="J4899">
        <v>145930080</v>
      </c>
      <c r="P4899">
        <v>1</v>
      </c>
      <c r="Q4899" t="s">
        <v>10146</v>
      </c>
    </row>
    <row r="4900" spans="1:17" x14ac:dyDescent="0.3">
      <c r="A4900" t="s">
        <v>4729</v>
      </c>
      <c r="B4900" t="str">
        <f>"301149"</f>
        <v>301149</v>
      </c>
      <c r="C4900" t="s">
        <v>10147</v>
      </c>
      <c r="D4900" t="s">
        <v>386</v>
      </c>
      <c r="F4900">
        <v>4275241309</v>
      </c>
      <c r="G4900">
        <v>2412615915</v>
      </c>
      <c r="H4900">
        <v>2025946956</v>
      </c>
      <c r="I4900">
        <v>1794524778</v>
      </c>
      <c r="J4900">
        <v>1428058803</v>
      </c>
      <c r="P4900">
        <v>17</v>
      </c>
      <c r="Q4900" t="s">
        <v>10148</v>
      </c>
    </row>
    <row r="4901" spans="1:17" x14ac:dyDescent="0.3">
      <c r="A4901" t="s">
        <v>4729</v>
      </c>
      <c r="B4901" t="str">
        <f>"301150"</f>
        <v>301150</v>
      </c>
      <c r="C4901" t="s">
        <v>10149</v>
      </c>
      <c r="F4901">
        <v>2196582219</v>
      </c>
      <c r="G4901">
        <v>1169667656</v>
      </c>
      <c r="H4901">
        <v>830751226</v>
      </c>
      <c r="I4901">
        <v>602452811</v>
      </c>
      <c r="J4901">
        <v>498404661</v>
      </c>
      <c r="P4901">
        <v>7</v>
      </c>
      <c r="Q4901" t="s">
        <v>10150</v>
      </c>
    </row>
    <row r="4902" spans="1:17" x14ac:dyDescent="0.3">
      <c r="A4902" t="s">
        <v>4729</v>
      </c>
      <c r="B4902" t="str">
        <f>"301151"</f>
        <v>301151</v>
      </c>
      <c r="C4902" t="s">
        <v>10151</v>
      </c>
      <c r="F4902">
        <v>1046848450</v>
      </c>
      <c r="G4902">
        <v>1015364070</v>
      </c>
      <c r="H4902">
        <v>945547469</v>
      </c>
      <c r="I4902">
        <v>829770983</v>
      </c>
      <c r="J4902">
        <v>622739316</v>
      </c>
      <c r="P4902">
        <v>5</v>
      </c>
      <c r="Q4902" t="s">
        <v>10152</v>
      </c>
    </row>
    <row r="4903" spans="1:17" x14ac:dyDescent="0.3">
      <c r="A4903" t="s">
        <v>4729</v>
      </c>
      <c r="B4903" t="str">
        <f>"301153"</f>
        <v>301153</v>
      </c>
      <c r="C4903" t="s">
        <v>10153</v>
      </c>
      <c r="F4903">
        <v>738198604</v>
      </c>
      <c r="G4903">
        <v>587195145</v>
      </c>
      <c r="H4903">
        <v>393476174</v>
      </c>
      <c r="I4903">
        <v>284446414</v>
      </c>
      <c r="J4903">
        <v>258634383</v>
      </c>
      <c r="Q4903" t="s">
        <v>10154</v>
      </c>
    </row>
    <row r="4904" spans="1:17" x14ac:dyDescent="0.3">
      <c r="A4904" t="s">
        <v>4729</v>
      </c>
      <c r="B4904" t="str">
        <f>"301155"</f>
        <v>301155</v>
      </c>
      <c r="C4904" t="s">
        <v>10155</v>
      </c>
      <c r="D4904" t="s">
        <v>950</v>
      </c>
      <c r="F4904">
        <v>5458269682</v>
      </c>
      <c r="G4904">
        <v>3928683634</v>
      </c>
      <c r="H4904">
        <v>1448188563</v>
      </c>
      <c r="I4904">
        <v>870574073</v>
      </c>
      <c r="J4904">
        <v>853984646</v>
      </c>
      <c r="P4904">
        <v>40</v>
      </c>
      <c r="Q4904" t="s">
        <v>10156</v>
      </c>
    </row>
    <row r="4905" spans="1:17" x14ac:dyDescent="0.3">
      <c r="A4905" t="s">
        <v>4729</v>
      </c>
      <c r="B4905" t="str">
        <f>"301158"</f>
        <v>301158</v>
      </c>
      <c r="C4905" t="s">
        <v>10157</v>
      </c>
      <c r="D4905" t="s">
        <v>395</v>
      </c>
      <c r="F4905">
        <v>445154845</v>
      </c>
      <c r="G4905">
        <v>421945299</v>
      </c>
      <c r="H4905">
        <v>468243919</v>
      </c>
      <c r="I4905">
        <v>348452127</v>
      </c>
      <c r="J4905">
        <v>225265204</v>
      </c>
      <c r="P4905">
        <v>12</v>
      </c>
      <c r="Q4905" t="s">
        <v>10158</v>
      </c>
    </row>
    <row r="4906" spans="1:17" x14ac:dyDescent="0.3">
      <c r="A4906" t="s">
        <v>4729</v>
      </c>
      <c r="B4906" t="str">
        <f>"301159"</f>
        <v>301159</v>
      </c>
      <c r="C4906" t="s">
        <v>10159</v>
      </c>
      <c r="D4906" t="s">
        <v>945</v>
      </c>
      <c r="F4906">
        <v>319805283</v>
      </c>
      <c r="G4906">
        <v>273863909</v>
      </c>
      <c r="H4906">
        <v>263192677</v>
      </c>
      <c r="I4906">
        <v>186542447</v>
      </c>
      <c r="J4906">
        <v>135185563</v>
      </c>
      <c r="P4906">
        <v>10</v>
      </c>
      <c r="Q4906" t="s">
        <v>10160</v>
      </c>
    </row>
    <row r="4907" spans="1:17" x14ac:dyDescent="0.3">
      <c r="A4907" t="s">
        <v>4729</v>
      </c>
      <c r="B4907" t="str">
        <f>"301162"</f>
        <v>301162</v>
      </c>
      <c r="C4907" t="s">
        <v>10161</v>
      </c>
      <c r="F4907">
        <v>300150890</v>
      </c>
      <c r="G4907">
        <v>248217108</v>
      </c>
      <c r="H4907">
        <v>169476573</v>
      </c>
      <c r="I4907">
        <v>151159300</v>
      </c>
      <c r="J4907">
        <v>143108349</v>
      </c>
      <c r="P4907">
        <v>2</v>
      </c>
      <c r="Q4907" t="s">
        <v>10162</v>
      </c>
    </row>
    <row r="4908" spans="1:17" x14ac:dyDescent="0.3">
      <c r="A4908" t="s">
        <v>4729</v>
      </c>
      <c r="B4908" t="str">
        <f>"301163"</f>
        <v>301163</v>
      </c>
      <c r="C4908" t="s">
        <v>10163</v>
      </c>
      <c r="F4908">
        <v>755818465</v>
      </c>
      <c r="G4908">
        <v>672154879</v>
      </c>
      <c r="H4908">
        <v>610314730</v>
      </c>
      <c r="I4908">
        <v>489767520</v>
      </c>
      <c r="J4908">
        <v>452539843</v>
      </c>
      <c r="P4908">
        <v>3</v>
      </c>
      <c r="Q4908" t="s">
        <v>10164</v>
      </c>
    </row>
    <row r="4909" spans="1:17" x14ac:dyDescent="0.3">
      <c r="A4909" t="s">
        <v>4729</v>
      </c>
      <c r="B4909" t="str">
        <f>"301166"</f>
        <v>301166</v>
      </c>
      <c r="C4909" t="s">
        <v>10165</v>
      </c>
      <c r="D4909" t="s">
        <v>1379</v>
      </c>
      <c r="F4909">
        <v>1109667929</v>
      </c>
      <c r="G4909">
        <v>849080675</v>
      </c>
      <c r="H4909">
        <v>786930743</v>
      </c>
      <c r="I4909">
        <v>603987381</v>
      </c>
      <c r="J4909">
        <v>431535909</v>
      </c>
      <c r="P4909">
        <v>21</v>
      </c>
      <c r="Q4909" t="s">
        <v>10166</v>
      </c>
    </row>
    <row r="4910" spans="1:17" x14ac:dyDescent="0.3">
      <c r="A4910" t="s">
        <v>4729</v>
      </c>
      <c r="B4910" t="str">
        <f>"301167"</f>
        <v>301167</v>
      </c>
      <c r="C4910" t="s">
        <v>10167</v>
      </c>
      <c r="D4910" t="s">
        <v>1272</v>
      </c>
      <c r="F4910">
        <v>393255711</v>
      </c>
      <c r="G4910">
        <v>433537786</v>
      </c>
      <c r="H4910">
        <v>373918234</v>
      </c>
      <c r="I4910">
        <v>339541030</v>
      </c>
      <c r="J4910">
        <v>298785388</v>
      </c>
      <c r="P4910">
        <v>17</v>
      </c>
      <c r="Q4910" t="s">
        <v>10168</v>
      </c>
    </row>
    <row r="4911" spans="1:17" x14ac:dyDescent="0.3">
      <c r="A4911" t="s">
        <v>4729</v>
      </c>
      <c r="B4911" t="str">
        <f>"301168"</f>
        <v>301168</v>
      </c>
      <c r="C4911" t="s">
        <v>10169</v>
      </c>
      <c r="D4911" t="s">
        <v>478</v>
      </c>
      <c r="F4911">
        <v>1132358125</v>
      </c>
      <c r="G4911">
        <v>843345961</v>
      </c>
      <c r="H4911">
        <v>825949833</v>
      </c>
      <c r="I4911">
        <v>755473199</v>
      </c>
      <c r="J4911">
        <v>811290066</v>
      </c>
      <c r="P4911">
        <v>14</v>
      </c>
      <c r="Q4911" t="s">
        <v>10170</v>
      </c>
    </row>
    <row r="4912" spans="1:17" x14ac:dyDescent="0.3">
      <c r="A4912" t="s">
        <v>4729</v>
      </c>
      <c r="B4912" t="str">
        <f>"301169"</f>
        <v>301169</v>
      </c>
      <c r="C4912" t="s">
        <v>10171</v>
      </c>
      <c r="D4912" t="s">
        <v>9832</v>
      </c>
      <c r="F4912">
        <v>390933138</v>
      </c>
      <c r="G4912">
        <v>378366994</v>
      </c>
      <c r="H4912">
        <v>381247671</v>
      </c>
      <c r="I4912">
        <v>348916836</v>
      </c>
      <c r="J4912">
        <v>316426472</v>
      </c>
      <c r="P4912">
        <v>15</v>
      </c>
      <c r="Q4912" t="s">
        <v>10172</v>
      </c>
    </row>
    <row r="4913" spans="1:17" x14ac:dyDescent="0.3">
      <c r="A4913" t="s">
        <v>4729</v>
      </c>
      <c r="B4913" t="str">
        <f>"301177"</f>
        <v>301177</v>
      </c>
      <c r="C4913" t="s">
        <v>10173</v>
      </c>
      <c r="D4913" t="s">
        <v>1238</v>
      </c>
      <c r="F4913">
        <v>4622729780</v>
      </c>
      <c r="G4913">
        <v>2464497975</v>
      </c>
      <c r="H4913">
        <v>1664506480</v>
      </c>
      <c r="I4913">
        <v>1500113472</v>
      </c>
      <c r="J4913">
        <v>1117204233</v>
      </c>
      <c r="P4913">
        <v>30</v>
      </c>
      <c r="Q4913" t="s">
        <v>10174</v>
      </c>
    </row>
    <row r="4914" spans="1:17" x14ac:dyDescent="0.3">
      <c r="A4914" t="s">
        <v>4729</v>
      </c>
      <c r="B4914" t="str">
        <f>"301178"</f>
        <v>301178</v>
      </c>
      <c r="C4914" t="s">
        <v>10175</v>
      </c>
      <c r="D4914" t="s">
        <v>316</v>
      </c>
      <c r="F4914">
        <v>467129176</v>
      </c>
      <c r="G4914">
        <v>366896927</v>
      </c>
      <c r="H4914">
        <v>275814862</v>
      </c>
      <c r="I4914">
        <v>196531469</v>
      </c>
      <c r="J4914">
        <v>193361678</v>
      </c>
      <c r="P4914">
        <v>15</v>
      </c>
      <c r="Q4914" t="s">
        <v>10176</v>
      </c>
    </row>
    <row r="4915" spans="1:17" x14ac:dyDescent="0.3">
      <c r="A4915" t="s">
        <v>4729</v>
      </c>
      <c r="B4915" t="str">
        <f>"301179"</f>
        <v>301179</v>
      </c>
      <c r="C4915" t="s">
        <v>10177</v>
      </c>
      <c r="D4915" t="s">
        <v>610</v>
      </c>
      <c r="F4915">
        <v>703349994</v>
      </c>
      <c r="G4915">
        <v>583658790</v>
      </c>
      <c r="H4915">
        <v>454643432</v>
      </c>
      <c r="I4915">
        <v>311184188</v>
      </c>
      <c r="J4915">
        <v>273213816</v>
      </c>
      <c r="P4915">
        <v>17</v>
      </c>
      <c r="Q4915" t="s">
        <v>10178</v>
      </c>
    </row>
    <row r="4916" spans="1:17" x14ac:dyDescent="0.3">
      <c r="A4916" t="s">
        <v>4729</v>
      </c>
      <c r="B4916" t="str">
        <f>"301180"</f>
        <v>301180</v>
      </c>
      <c r="C4916" t="s">
        <v>10179</v>
      </c>
      <c r="D4916" t="s">
        <v>313</v>
      </c>
      <c r="F4916">
        <v>1331449371</v>
      </c>
      <c r="G4916">
        <v>1110946384</v>
      </c>
      <c r="H4916">
        <v>710230372</v>
      </c>
      <c r="I4916">
        <v>701048118</v>
      </c>
      <c r="J4916">
        <v>499994517</v>
      </c>
      <c r="P4916">
        <v>15</v>
      </c>
      <c r="Q4916" t="s">
        <v>10180</v>
      </c>
    </row>
    <row r="4917" spans="1:17" x14ac:dyDescent="0.3">
      <c r="A4917" t="s">
        <v>4729</v>
      </c>
      <c r="B4917" t="str">
        <f>"301181"</f>
        <v>301181</v>
      </c>
      <c r="C4917" t="s">
        <v>10181</v>
      </c>
      <c r="F4917">
        <v>478722737</v>
      </c>
      <c r="G4917">
        <v>632199855</v>
      </c>
      <c r="H4917">
        <v>562715110</v>
      </c>
      <c r="I4917">
        <v>319804002</v>
      </c>
      <c r="J4917">
        <v>267965125</v>
      </c>
      <c r="P4917">
        <v>5</v>
      </c>
      <c r="Q4917" t="s">
        <v>10182</v>
      </c>
    </row>
    <row r="4918" spans="1:17" x14ac:dyDescent="0.3">
      <c r="A4918" t="s">
        <v>4729</v>
      </c>
      <c r="B4918" t="str">
        <f>"301182"</f>
        <v>301182</v>
      </c>
      <c r="C4918" t="s">
        <v>10183</v>
      </c>
      <c r="D4918" t="s">
        <v>313</v>
      </c>
      <c r="F4918">
        <v>615512488</v>
      </c>
      <c r="G4918">
        <v>437550652</v>
      </c>
      <c r="H4918">
        <v>443186758</v>
      </c>
      <c r="I4918">
        <v>364469226</v>
      </c>
      <c r="J4918">
        <v>364014329</v>
      </c>
      <c r="P4918">
        <v>11</v>
      </c>
      <c r="Q4918" t="s">
        <v>10184</v>
      </c>
    </row>
    <row r="4919" spans="1:17" x14ac:dyDescent="0.3">
      <c r="A4919" t="s">
        <v>4729</v>
      </c>
      <c r="B4919" t="str">
        <f>"301185"</f>
        <v>301185</v>
      </c>
      <c r="C4919" t="s">
        <v>10185</v>
      </c>
      <c r="D4919" t="s">
        <v>316</v>
      </c>
      <c r="F4919">
        <v>209780968</v>
      </c>
      <c r="G4919">
        <v>154186213</v>
      </c>
      <c r="H4919">
        <v>175170486</v>
      </c>
      <c r="I4919">
        <v>168626428</v>
      </c>
      <c r="J4919">
        <v>146260908</v>
      </c>
      <c r="P4919">
        <v>20</v>
      </c>
      <c r="Q4919" t="s">
        <v>10186</v>
      </c>
    </row>
    <row r="4920" spans="1:17" x14ac:dyDescent="0.3">
      <c r="A4920" t="s">
        <v>4729</v>
      </c>
      <c r="B4920" t="str">
        <f>"301186"</f>
        <v>301186</v>
      </c>
      <c r="C4920" t="s">
        <v>10187</v>
      </c>
      <c r="D4920" t="s">
        <v>985</v>
      </c>
      <c r="F4920">
        <v>437656760</v>
      </c>
      <c r="G4920">
        <v>451614295</v>
      </c>
      <c r="H4920">
        <v>447411390</v>
      </c>
      <c r="I4920">
        <v>473704564</v>
      </c>
      <c r="J4920">
        <v>427197946</v>
      </c>
      <c r="P4920">
        <v>10</v>
      </c>
      <c r="Q4920" t="s">
        <v>10188</v>
      </c>
    </row>
    <row r="4921" spans="1:17" x14ac:dyDescent="0.3">
      <c r="A4921" t="s">
        <v>4729</v>
      </c>
      <c r="B4921" t="str">
        <f>"301187"</f>
        <v>301187</v>
      </c>
      <c r="C4921" t="s">
        <v>10189</v>
      </c>
      <c r="F4921">
        <v>1314529271</v>
      </c>
      <c r="G4921">
        <v>991276539</v>
      </c>
      <c r="H4921">
        <v>609774424</v>
      </c>
      <c r="I4921">
        <v>629882307</v>
      </c>
      <c r="J4921">
        <v>520968991</v>
      </c>
      <c r="P4921">
        <v>1</v>
      </c>
      <c r="Q4921" t="s">
        <v>10190</v>
      </c>
    </row>
    <row r="4922" spans="1:17" x14ac:dyDescent="0.3">
      <c r="A4922" t="s">
        <v>4729</v>
      </c>
      <c r="B4922" t="str">
        <f>"301188"</f>
        <v>301188</v>
      </c>
      <c r="C4922" t="s">
        <v>10191</v>
      </c>
      <c r="D4922" t="s">
        <v>2445</v>
      </c>
      <c r="F4922">
        <v>888879853</v>
      </c>
      <c r="G4922">
        <v>660054912</v>
      </c>
      <c r="H4922">
        <v>656273689</v>
      </c>
      <c r="I4922">
        <v>597948668</v>
      </c>
      <c r="J4922">
        <v>504201097</v>
      </c>
      <c r="P4922">
        <v>18</v>
      </c>
      <c r="Q4922" t="s">
        <v>10192</v>
      </c>
    </row>
    <row r="4923" spans="1:17" x14ac:dyDescent="0.3">
      <c r="A4923" t="s">
        <v>4729</v>
      </c>
      <c r="B4923" t="str">
        <f>"301189"</f>
        <v>301189</v>
      </c>
      <c r="C4923" t="s">
        <v>10193</v>
      </c>
      <c r="D4923" t="s">
        <v>3526</v>
      </c>
      <c r="F4923">
        <v>957640020</v>
      </c>
      <c r="G4923">
        <v>1084048799</v>
      </c>
      <c r="H4923">
        <v>527504321</v>
      </c>
      <c r="I4923">
        <v>295484581</v>
      </c>
      <c r="J4923">
        <v>304456387</v>
      </c>
      <c r="P4923">
        <v>10</v>
      </c>
      <c r="Q4923" t="s">
        <v>10194</v>
      </c>
    </row>
    <row r="4924" spans="1:17" x14ac:dyDescent="0.3">
      <c r="A4924" t="s">
        <v>4729</v>
      </c>
      <c r="B4924" t="str">
        <f>"301190"</f>
        <v>301190</v>
      </c>
      <c r="C4924" t="s">
        <v>10195</v>
      </c>
      <c r="D4924" t="s">
        <v>779</v>
      </c>
      <c r="F4924">
        <v>552342768</v>
      </c>
      <c r="G4924">
        <v>383744001</v>
      </c>
      <c r="H4924">
        <v>447359395</v>
      </c>
      <c r="I4924">
        <v>481011360</v>
      </c>
      <c r="J4924">
        <v>310554250</v>
      </c>
      <c r="P4924">
        <v>11</v>
      </c>
      <c r="Q4924" t="s">
        <v>10196</v>
      </c>
    </row>
    <row r="4925" spans="1:17" x14ac:dyDescent="0.3">
      <c r="A4925" t="s">
        <v>4729</v>
      </c>
      <c r="B4925" t="str">
        <f>"301193"</f>
        <v>301193</v>
      </c>
      <c r="C4925" t="s">
        <v>10197</v>
      </c>
      <c r="D4925" t="s">
        <v>2445</v>
      </c>
      <c r="F4925">
        <v>1234354786</v>
      </c>
      <c r="G4925">
        <v>1026272035</v>
      </c>
      <c r="H4925">
        <v>1020484273</v>
      </c>
      <c r="I4925">
        <v>948000936</v>
      </c>
      <c r="J4925">
        <v>807627119</v>
      </c>
      <c r="P4925">
        <v>15</v>
      </c>
      <c r="Q4925" t="s">
        <v>10198</v>
      </c>
    </row>
    <row r="4926" spans="1:17" x14ac:dyDescent="0.3">
      <c r="A4926" t="s">
        <v>4729</v>
      </c>
      <c r="B4926" t="str">
        <f>"301196"</f>
        <v>301196</v>
      </c>
      <c r="C4926" t="s">
        <v>10199</v>
      </c>
      <c r="D4926" t="s">
        <v>1192</v>
      </c>
      <c r="F4926">
        <v>1159145858</v>
      </c>
      <c r="G4926">
        <v>910535393</v>
      </c>
      <c r="H4926">
        <v>699257633</v>
      </c>
      <c r="I4926">
        <v>641331330</v>
      </c>
      <c r="J4926">
        <v>531354907</v>
      </c>
      <c r="P4926">
        <v>7</v>
      </c>
      <c r="Q4926" t="s">
        <v>10200</v>
      </c>
    </row>
    <row r="4927" spans="1:17" x14ac:dyDescent="0.3">
      <c r="A4927" t="s">
        <v>4729</v>
      </c>
      <c r="B4927" t="str">
        <f>"301198"</f>
        <v>301198</v>
      </c>
      <c r="C4927" t="s">
        <v>10201</v>
      </c>
      <c r="D4927" t="s">
        <v>485</v>
      </c>
      <c r="F4927">
        <v>362961955</v>
      </c>
      <c r="G4927">
        <v>267669940</v>
      </c>
      <c r="H4927">
        <v>235850856</v>
      </c>
      <c r="I4927">
        <v>319961429</v>
      </c>
      <c r="J4927">
        <v>252489520</v>
      </c>
      <c r="P4927">
        <v>16</v>
      </c>
      <c r="Q4927" t="s">
        <v>10202</v>
      </c>
    </row>
    <row r="4928" spans="1:17" x14ac:dyDescent="0.3">
      <c r="A4928" t="s">
        <v>4729</v>
      </c>
      <c r="B4928" t="str">
        <f>"301199"</f>
        <v>301199</v>
      </c>
      <c r="C4928" t="s">
        <v>10203</v>
      </c>
      <c r="D4928" t="s">
        <v>2938</v>
      </c>
      <c r="F4928">
        <v>811109331</v>
      </c>
      <c r="G4928">
        <v>737614737</v>
      </c>
      <c r="H4928">
        <v>733013222</v>
      </c>
      <c r="I4928">
        <v>701228646</v>
      </c>
      <c r="J4928">
        <v>537767534</v>
      </c>
      <c r="K4928">
        <v>322265430</v>
      </c>
      <c r="P4928">
        <v>10</v>
      </c>
      <c r="Q4928" t="s">
        <v>10204</v>
      </c>
    </row>
    <row r="4929" spans="1:17" x14ac:dyDescent="0.3">
      <c r="A4929" t="s">
        <v>4729</v>
      </c>
      <c r="B4929" t="str">
        <f>"301200"</f>
        <v>301200</v>
      </c>
      <c r="C4929" t="s">
        <v>10205</v>
      </c>
      <c r="F4929">
        <v>4080562430</v>
      </c>
      <c r="G4929">
        <v>2210303706</v>
      </c>
      <c r="H4929">
        <v>1322774862</v>
      </c>
      <c r="I4929">
        <v>1723296932</v>
      </c>
      <c r="P4929">
        <v>14</v>
      </c>
      <c r="Q4929" t="s">
        <v>10206</v>
      </c>
    </row>
    <row r="4930" spans="1:17" x14ac:dyDescent="0.3">
      <c r="A4930" t="s">
        <v>4729</v>
      </c>
      <c r="B4930" t="str">
        <f>"301201"</f>
        <v>301201</v>
      </c>
      <c r="C4930" t="s">
        <v>10207</v>
      </c>
      <c r="D4930" t="s">
        <v>1461</v>
      </c>
      <c r="F4930">
        <v>415725788</v>
      </c>
      <c r="G4930">
        <v>373036850</v>
      </c>
      <c r="H4930">
        <v>293972891</v>
      </c>
      <c r="I4930">
        <v>203174587</v>
      </c>
      <c r="J4930">
        <v>202006720</v>
      </c>
      <c r="P4930">
        <v>18</v>
      </c>
      <c r="Q4930" t="s">
        <v>10208</v>
      </c>
    </row>
    <row r="4931" spans="1:17" x14ac:dyDescent="0.3">
      <c r="A4931" t="s">
        <v>4729</v>
      </c>
      <c r="B4931" t="str">
        <f>"301206"</f>
        <v>301206</v>
      </c>
      <c r="C4931" t="s">
        <v>10209</v>
      </c>
      <c r="F4931">
        <v>1675320035</v>
      </c>
      <c r="G4931">
        <v>783182230</v>
      </c>
      <c r="H4931">
        <v>476759627</v>
      </c>
      <c r="I4931">
        <v>292203950</v>
      </c>
      <c r="J4931">
        <v>120955110</v>
      </c>
      <c r="P4931">
        <v>23</v>
      </c>
      <c r="Q4931" t="s">
        <v>10210</v>
      </c>
    </row>
    <row r="4932" spans="1:17" x14ac:dyDescent="0.3">
      <c r="A4932" t="s">
        <v>4729</v>
      </c>
      <c r="B4932" t="str">
        <f>"301207"</f>
        <v>301207</v>
      </c>
      <c r="C4932" t="s">
        <v>10211</v>
      </c>
      <c r="F4932">
        <v>1829813886</v>
      </c>
      <c r="G4932">
        <v>2426328946</v>
      </c>
      <c r="H4932">
        <v>1048988237</v>
      </c>
      <c r="I4932">
        <v>802738152</v>
      </c>
      <c r="J4932">
        <v>284911448</v>
      </c>
      <c r="P4932">
        <v>19</v>
      </c>
      <c r="Q4932" t="s">
        <v>10212</v>
      </c>
    </row>
    <row r="4933" spans="1:17" x14ac:dyDescent="0.3">
      <c r="A4933" t="s">
        <v>4729</v>
      </c>
      <c r="B4933" t="str">
        <f>"301211"</f>
        <v>301211</v>
      </c>
      <c r="C4933" t="s">
        <v>10213</v>
      </c>
      <c r="D4933" t="s">
        <v>496</v>
      </c>
      <c r="F4933">
        <v>540622560</v>
      </c>
      <c r="G4933">
        <v>592924336</v>
      </c>
      <c r="H4933">
        <v>660018721</v>
      </c>
      <c r="I4933">
        <v>517144263</v>
      </c>
      <c r="J4933">
        <v>366408800</v>
      </c>
      <c r="P4933">
        <v>14</v>
      </c>
      <c r="Q4933" t="s">
        <v>10214</v>
      </c>
    </row>
    <row r="4934" spans="1:17" x14ac:dyDescent="0.3">
      <c r="A4934" t="s">
        <v>4729</v>
      </c>
      <c r="B4934" t="str">
        <f>"301212"</f>
        <v>301212</v>
      </c>
      <c r="C4934" t="s">
        <v>10215</v>
      </c>
      <c r="F4934">
        <v>833013849</v>
      </c>
      <c r="G4934">
        <v>679726963</v>
      </c>
      <c r="H4934">
        <v>545730144</v>
      </c>
      <c r="I4934">
        <v>460796159</v>
      </c>
      <c r="J4934">
        <v>425483813</v>
      </c>
      <c r="P4934">
        <v>3</v>
      </c>
      <c r="Q4934" t="s">
        <v>10216</v>
      </c>
    </row>
    <row r="4935" spans="1:17" x14ac:dyDescent="0.3">
      <c r="A4935" t="s">
        <v>4729</v>
      </c>
      <c r="B4935" t="str">
        <f>"301213"</f>
        <v>301213</v>
      </c>
      <c r="C4935" t="s">
        <v>10217</v>
      </c>
      <c r="D4935" t="s">
        <v>1136</v>
      </c>
      <c r="F4935">
        <v>157351050</v>
      </c>
      <c r="G4935">
        <v>157094569</v>
      </c>
      <c r="H4935">
        <v>140454137</v>
      </c>
      <c r="I4935">
        <v>87459424</v>
      </c>
      <c r="J4935">
        <v>48475782</v>
      </c>
      <c r="P4935">
        <v>16</v>
      </c>
      <c r="Q4935" t="s">
        <v>10218</v>
      </c>
    </row>
    <row r="4936" spans="1:17" x14ac:dyDescent="0.3">
      <c r="A4936" t="s">
        <v>4729</v>
      </c>
      <c r="B4936" t="str">
        <f>"301215"</f>
        <v>301215</v>
      </c>
      <c r="C4936" t="s">
        <v>10219</v>
      </c>
      <c r="F4936">
        <v>297785153</v>
      </c>
      <c r="G4936">
        <v>293362442</v>
      </c>
      <c r="H4936">
        <v>359277036</v>
      </c>
      <c r="I4936">
        <v>335437976</v>
      </c>
      <c r="J4936">
        <v>211828236</v>
      </c>
      <c r="P4936">
        <v>7</v>
      </c>
      <c r="Q4936" t="s">
        <v>10220</v>
      </c>
    </row>
    <row r="4937" spans="1:17" x14ac:dyDescent="0.3">
      <c r="A4937" t="s">
        <v>4729</v>
      </c>
      <c r="B4937" t="str">
        <f>"301216"</f>
        <v>301216</v>
      </c>
      <c r="C4937" t="s">
        <v>10221</v>
      </c>
      <c r="F4937">
        <v>9586769663</v>
      </c>
      <c r="G4937">
        <v>9297522173</v>
      </c>
      <c r="H4937">
        <v>9682441302</v>
      </c>
      <c r="I4937">
        <v>11725061610</v>
      </c>
      <c r="J4937">
        <v>8681140017</v>
      </c>
      <c r="P4937">
        <v>6</v>
      </c>
      <c r="Q4937" t="s">
        <v>10222</v>
      </c>
    </row>
    <row r="4938" spans="1:17" x14ac:dyDescent="0.3">
      <c r="A4938" t="s">
        <v>4729</v>
      </c>
      <c r="B4938" t="str">
        <f>"301217"</f>
        <v>301217</v>
      </c>
      <c r="C4938" t="s">
        <v>10223</v>
      </c>
      <c r="F4938">
        <v>4081616148</v>
      </c>
      <c r="G4938">
        <v>2460005190</v>
      </c>
      <c r="H4938">
        <v>2399908988</v>
      </c>
      <c r="I4938">
        <v>2411235108</v>
      </c>
      <c r="J4938">
        <v>2275957694</v>
      </c>
      <c r="P4938">
        <v>16</v>
      </c>
      <c r="Q4938" t="s">
        <v>10224</v>
      </c>
    </row>
    <row r="4939" spans="1:17" x14ac:dyDescent="0.3">
      <c r="A4939" t="s">
        <v>4729</v>
      </c>
      <c r="B4939" t="str">
        <f>"301218"</f>
        <v>301218</v>
      </c>
      <c r="C4939" t="s">
        <v>10225</v>
      </c>
      <c r="F4939">
        <v>524370123</v>
      </c>
      <c r="G4939">
        <v>467794435</v>
      </c>
      <c r="H4939">
        <v>409512190</v>
      </c>
      <c r="I4939">
        <v>290377372</v>
      </c>
      <c r="J4939">
        <v>231126224</v>
      </c>
      <c r="P4939">
        <v>8</v>
      </c>
      <c r="Q4939" t="s">
        <v>10226</v>
      </c>
    </row>
    <row r="4940" spans="1:17" x14ac:dyDescent="0.3">
      <c r="A4940" t="s">
        <v>4729</v>
      </c>
      <c r="B4940" t="str">
        <f>"301219"</f>
        <v>301219</v>
      </c>
      <c r="C4940" t="s">
        <v>10227</v>
      </c>
      <c r="F4940">
        <v>4160370246</v>
      </c>
      <c r="G4940">
        <v>1787040270</v>
      </c>
      <c r="H4940">
        <v>1739295943</v>
      </c>
      <c r="I4940">
        <v>1671336355</v>
      </c>
      <c r="J4940">
        <v>1684994851</v>
      </c>
      <c r="P4940">
        <v>8</v>
      </c>
      <c r="Q4940" t="s">
        <v>10228</v>
      </c>
    </row>
    <row r="4941" spans="1:17" x14ac:dyDescent="0.3">
      <c r="A4941" t="s">
        <v>4729</v>
      </c>
      <c r="B4941" t="str">
        <f>"301221"</f>
        <v>301221</v>
      </c>
      <c r="C4941" t="s">
        <v>10229</v>
      </c>
      <c r="D4941" t="s">
        <v>1415</v>
      </c>
      <c r="F4941">
        <v>432196968</v>
      </c>
      <c r="G4941">
        <v>334374514</v>
      </c>
      <c r="H4941">
        <v>304573461</v>
      </c>
      <c r="I4941">
        <v>242772847</v>
      </c>
      <c r="J4941">
        <v>162093847</v>
      </c>
      <c r="P4941">
        <v>16</v>
      </c>
      <c r="Q4941" t="s">
        <v>10230</v>
      </c>
    </row>
    <row r="4942" spans="1:17" x14ac:dyDescent="0.3">
      <c r="A4942" t="s">
        <v>4729</v>
      </c>
      <c r="B4942" t="str">
        <f>"301222"</f>
        <v>301222</v>
      </c>
      <c r="C4942" t="s">
        <v>10231</v>
      </c>
      <c r="F4942">
        <v>546892691</v>
      </c>
      <c r="G4942">
        <v>485733526</v>
      </c>
      <c r="H4942">
        <v>322013886</v>
      </c>
      <c r="I4942">
        <v>316354900</v>
      </c>
      <c r="J4942">
        <v>318890503</v>
      </c>
      <c r="P4942">
        <v>4</v>
      </c>
      <c r="Q4942" t="s">
        <v>10232</v>
      </c>
    </row>
    <row r="4943" spans="1:17" x14ac:dyDescent="0.3">
      <c r="A4943" t="s">
        <v>4729</v>
      </c>
      <c r="B4943" t="str">
        <f>"301226"</f>
        <v>301226</v>
      </c>
      <c r="C4943" t="s">
        <v>10233</v>
      </c>
      <c r="F4943">
        <v>734857470</v>
      </c>
      <c r="G4943">
        <v>550767644</v>
      </c>
      <c r="H4943">
        <v>523812341</v>
      </c>
      <c r="I4943">
        <v>560120401</v>
      </c>
      <c r="J4943">
        <v>480371168</v>
      </c>
      <c r="P4943">
        <v>4</v>
      </c>
      <c r="Q4943" t="s">
        <v>10234</v>
      </c>
    </row>
    <row r="4944" spans="1:17" x14ac:dyDescent="0.3">
      <c r="A4944" t="s">
        <v>4729</v>
      </c>
      <c r="B4944" t="str">
        <f>"301228"</f>
        <v>301228</v>
      </c>
      <c r="C4944" t="s">
        <v>10235</v>
      </c>
      <c r="F4944">
        <v>424866246</v>
      </c>
      <c r="G4944">
        <v>359899907</v>
      </c>
      <c r="H4944">
        <v>297958537</v>
      </c>
      <c r="I4944">
        <v>177713076</v>
      </c>
      <c r="J4944">
        <v>92665660</v>
      </c>
      <c r="P4944">
        <v>11</v>
      </c>
      <c r="Q4944" t="s">
        <v>10236</v>
      </c>
    </row>
    <row r="4945" spans="1:17" x14ac:dyDescent="0.3">
      <c r="A4945" t="s">
        <v>4729</v>
      </c>
      <c r="B4945" t="str">
        <f>"301229"</f>
        <v>301229</v>
      </c>
      <c r="C4945" t="s">
        <v>10237</v>
      </c>
      <c r="F4945">
        <v>548721279</v>
      </c>
      <c r="G4945">
        <v>495625591</v>
      </c>
      <c r="H4945">
        <v>413254024</v>
      </c>
      <c r="I4945">
        <v>287067001</v>
      </c>
      <c r="J4945">
        <v>219570331</v>
      </c>
      <c r="P4945">
        <v>6</v>
      </c>
      <c r="Q4945" t="s">
        <v>10238</v>
      </c>
    </row>
    <row r="4946" spans="1:17" x14ac:dyDescent="0.3">
      <c r="A4946" t="s">
        <v>4729</v>
      </c>
      <c r="B4946" t="str">
        <f>"301235"</f>
        <v>301235</v>
      </c>
      <c r="C4946" t="s">
        <v>10239</v>
      </c>
      <c r="F4946">
        <v>860806069</v>
      </c>
      <c r="G4946">
        <v>761821022</v>
      </c>
      <c r="H4946">
        <v>602150102</v>
      </c>
      <c r="I4946">
        <v>427228303</v>
      </c>
      <c r="J4946">
        <v>383126111</v>
      </c>
      <c r="P4946">
        <v>11</v>
      </c>
      <c r="Q4946" t="s">
        <v>10240</v>
      </c>
    </row>
    <row r="4947" spans="1:17" x14ac:dyDescent="0.3">
      <c r="A4947" t="s">
        <v>4729</v>
      </c>
      <c r="B4947" t="str">
        <f>"301236"</f>
        <v>301236</v>
      </c>
      <c r="C4947" t="s">
        <v>10241</v>
      </c>
      <c r="F4947">
        <v>16623208728</v>
      </c>
      <c r="G4947">
        <v>12999294469</v>
      </c>
      <c r="H4947">
        <v>10604725120</v>
      </c>
      <c r="I4947">
        <v>8139253068</v>
      </c>
      <c r="J4947">
        <v>7008791220</v>
      </c>
      <c r="P4947">
        <v>4</v>
      </c>
      <c r="Q4947" t="s">
        <v>10242</v>
      </c>
    </row>
    <row r="4948" spans="1:17" x14ac:dyDescent="0.3">
      <c r="A4948" t="s">
        <v>4729</v>
      </c>
      <c r="B4948" t="str">
        <f>"301237"</f>
        <v>301237</v>
      </c>
      <c r="C4948" t="s">
        <v>10243</v>
      </c>
      <c r="F4948">
        <v>639623765</v>
      </c>
      <c r="G4948">
        <v>377008501</v>
      </c>
      <c r="H4948">
        <v>236837573</v>
      </c>
      <c r="I4948">
        <v>183549304</v>
      </c>
      <c r="J4948">
        <v>146557220</v>
      </c>
      <c r="P4948">
        <v>6</v>
      </c>
      <c r="Q4948" t="s">
        <v>10244</v>
      </c>
    </row>
    <row r="4949" spans="1:17" x14ac:dyDescent="0.3">
      <c r="A4949" t="s">
        <v>4729</v>
      </c>
      <c r="B4949" t="str">
        <f>"301248"</f>
        <v>301248</v>
      </c>
      <c r="C4949" t="s">
        <v>10245</v>
      </c>
      <c r="F4949">
        <v>940284987</v>
      </c>
      <c r="G4949">
        <v>741465117</v>
      </c>
      <c r="H4949">
        <v>734469375</v>
      </c>
      <c r="I4949">
        <v>422331220</v>
      </c>
      <c r="J4949">
        <v>335730918</v>
      </c>
      <c r="P4949">
        <v>2</v>
      </c>
      <c r="Q4949" t="s">
        <v>10246</v>
      </c>
    </row>
    <row r="4950" spans="1:17" x14ac:dyDescent="0.3">
      <c r="A4950" t="s">
        <v>4729</v>
      </c>
      <c r="B4950" t="str">
        <f>"301256"</f>
        <v>301256</v>
      </c>
      <c r="C4950" t="s">
        <v>10247</v>
      </c>
      <c r="F4950">
        <v>644384542</v>
      </c>
      <c r="G4950">
        <v>946032673</v>
      </c>
      <c r="H4950">
        <v>1033931684</v>
      </c>
      <c r="I4950">
        <v>966315866</v>
      </c>
      <c r="J4950">
        <v>805063900</v>
      </c>
      <c r="P4950">
        <v>3</v>
      </c>
      <c r="Q4950" t="s">
        <v>10248</v>
      </c>
    </row>
    <row r="4951" spans="1:17" x14ac:dyDescent="0.3">
      <c r="A4951" t="s">
        <v>4729</v>
      </c>
      <c r="B4951" t="str">
        <f>"301257"</f>
        <v>301257</v>
      </c>
      <c r="C4951" t="s">
        <v>10249</v>
      </c>
      <c r="F4951">
        <v>502966742</v>
      </c>
      <c r="G4951">
        <v>335290591</v>
      </c>
      <c r="H4951">
        <v>303544695</v>
      </c>
      <c r="I4951">
        <v>192840930</v>
      </c>
      <c r="J4951">
        <v>112333127</v>
      </c>
      <c r="Q4951" t="s">
        <v>10250</v>
      </c>
    </row>
    <row r="4952" spans="1:17" x14ac:dyDescent="0.3">
      <c r="A4952" t="s">
        <v>4729</v>
      </c>
      <c r="B4952" t="str">
        <f>"301258"</f>
        <v>301258</v>
      </c>
      <c r="C4952" t="s">
        <v>10251</v>
      </c>
      <c r="F4952">
        <v>521695666</v>
      </c>
      <c r="G4952">
        <v>476848911</v>
      </c>
      <c r="H4952">
        <v>452495742</v>
      </c>
      <c r="I4952">
        <v>375367429</v>
      </c>
      <c r="J4952">
        <v>375436683</v>
      </c>
      <c r="P4952">
        <v>4</v>
      </c>
      <c r="Q4952" t="s">
        <v>10252</v>
      </c>
    </row>
    <row r="4953" spans="1:17" x14ac:dyDescent="0.3">
      <c r="A4953" t="s">
        <v>4729</v>
      </c>
      <c r="B4953" t="str">
        <f>"301259"</f>
        <v>301259</v>
      </c>
      <c r="C4953" t="s">
        <v>10253</v>
      </c>
      <c r="F4953">
        <v>521755176</v>
      </c>
      <c r="G4953">
        <v>491818427</v>
      </c>
      <c r="H4953">
        <v>440313822</v>
      </c>
      <c r="I4953">
        <v>311733717</v>
      </c>
      <c r="J4953">
        <v>274322250</v>
      </c>
      <c r="P4953">
        <v>0</v>
      </c>
      <c r="Q4953" t="s">
        <v>10254</v>
      </c>
    </row>
    <row r="4954" spans="1:17" x14ac:dyDescent="0.3">
      <c r="A4954" t="s">
        <v>4729</v>
      </c>
      <c r="B4954" t="str">
        <f>"301263"</f>
        <v>301263</v>
      </c>
      <c r="C4954" t="s">
        <v>10255</v>
      </c>
      <c r="F4954">
        <v>653651415</v>
      </c>
      <c r="G4954">
        <v>708982843</v>
      </c>
      <c r="H4954">
        <v>496388555</v>
      </c>
      <c r="I4954">
        <v>513884456</v>
      </c>
      <c r="J4954">
        <v>449801057</v>
      </c>
      <c r="P4954">
        <v>5</v>
      </c>
      <c r="Q4954" t="s">
        <v>10256</v>
      </c>
    </row>
    <row r="4955" spans="1:17" x14ac:dyDescent="0.3">
      <c r="A4955" t="s">
        <v>4729</v>
      </c>
      <c r="B4955" t="str">
        <f>"301268"</f>
        <v>301268</v>
      </c>
      <c r="C4955" t="s">
        <v>10257</v>
      </c>
      <c r="F4955">
        <v>1837744544</v>
      </c>
      <c r="G4955">
        <v>1516493459</v>
      </c>
      <c r="H4955">
        <v>1360932975</v>
      </c>
      <c r="I4955">
        <v>942122045</v>
      </c>
      <c r="J4955">
        <v>736869684</v>
      </c>
      <c r="P4955">
        <v>2</v>
      </c>
      <c r="Q4955" t="s">
        <v>10258</v>
      </c>
    </row>
    <row r="4956" spans="1:17" x14ac:dyDescent="0.3">
      <c r="A4956" t="s">
        <v>4729</v>
      </c>
      <c r="B4956" t="str">
        <f>"301279"</f>
        <v>301279</v>
      </c>
      <c r="C4956" t="s">
        <v>10259</v>
      </c>
      <c r="F4956">
        <v>639769119</v>
      </c>
      <c r="G4956">
        <v>529709805</v>
      </c>
      <c r="H4956">
        <v>450573836</v>
      </c>
      <c r="I4956">
        <v>451564678</v>
      </c>
      <c r="J4956">
        <v>361911493</v>
      </c>
      <c r="P4956">
        <v>5</v>
      </c>
      <c r="Q4956" t="s">
        <v>10260</v>
      </c>
    </row>
    <row r="4957" spans="1:17" x14ac:dyDescent="0.3">
      <c r="A4957" t="s">
        <v>4729</v>
      </c>
      <c r="B4957" t="str">
        <f>"301288"</f>
        <v>301288</v>
      </c>
      <c r="C4957" t="s">
        <v>10261</v>
      </c>
      <c r="F4957">
        <v>214434045</v>
      </c>
      <c r="G4957">
        <v>182401779</v>
      </c>
      <c r="H4957">
        <v>150978403</v>
      </c>
      <c r="I4957">
        <v>72520003</v>
      </c>
      <c r="P4957">
        <v>4</v>
      </c>
      <c r="Q4957" t="s">
        <v>10262</v>
      </c>
    </row>
    <row r="4959" spans="1:17" x14ac:dyDescent="0.3">
      <c r="A4959" t="s">
        <v>10263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筛选器_大陆_20220501_222953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2022-05-01T14:30:40Z</dcterms:created>
  <dcterms:modified xsi:type="dcterms:W3CDTF">2022-05-01T14:30:40Z</dcterms:modified>
</cp:coreProperties>
</file>