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DC7C96DC-E43F-462A-8A9C-3612C38EFC2F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31533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</calcChain>
</file>

<file path=xl/sharedStrings.xml><?xml version="1.0" encoding="utf-8"?>
<sst xmlns="http://schemas.openxmlformats.org/spreadsheetml/2006/main" count="19291" uniqueCount="10117">
  <si>
    <t>交易所</t>
  </si>
  <si>
    <t>代码</t>
  </si>
  <si>
    <t>公司</t>
  </si>
  <si>
    <t>行业</t>
  </si>
  <si>
    <t xml:space="preserve">存货周转天数 累积 2022-09-30 </t>
  </si>
  <si>
    <t xml:space="preserve">存货周转天数 累积 2021-09-30 </t>
  </si>
  <si>
    <t xml:space="preserve">存货周转天数 累积 2020-09-30 </t>
  </si>
  <si>
    <t xml:space="preserve">存货周转天数 累积 2019-09-30 </t>
  </si>
  <si>
    <t xml:space="preserve">存货周转天数 累积 2018-09-30 </t>
  </si>
  <si>
    <t xml:space="preserve">存货周转天数 累积 2017-09-30 </t>
  </si>
  <si>
    <t xml:space="preserve">存货周转天数 累积 2016-09-30 </t>
  </si>
  <si>
    <t xml:space="preserve">存货周转天数 累积 2015-09-30 </t>
  </si>
  <si>
    <t xml:space="preserve">存货周转天数 累积 2014-09-30 </t>
  </si>
  <si>
    <t xml:space="preserve">存货周转天数 累积 2013-09-30 </t>
  </si>
  <si>
    <t xml:space="preserve">存货周转天数 累积 2012-09-30 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</si>
  <si>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</si>
  <si>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</si>
  <si>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</si>
  <si>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</si>
  <si>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</si>
  <si>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</si>
  <si>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</si>
  <si>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</si>
  <si>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</si>
  <si>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</si>
  <si>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</si>
  <si>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</si>
  <si>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</si>
  <si>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</si>
  <si>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</si>
  <si>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</si>
  <si>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</si>
  <si>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</si>
  <si>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</si>
  <si>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</si>
  <si>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</si>
  <si>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</si>
  <si>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</si>
  <si>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</si>
  <si>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</si>
  <si>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</si>
  <si>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</si>
  <si>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</si>
  <si>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</si>
  <si>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</si>
  <si>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</si>
  <si>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</si>
  <si>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</si>
  <si>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</si>
  <si>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</si>
  <si>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</si>
  <si>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</si>
  <si>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</si>
  <si>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</si>
  <si>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</si>
  <si>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</si>
  <si>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</si>
  <si>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</si>
  <si>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</si>
  <si>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</si>
  <si>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</si>
  <si>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</si>
  <si>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</si>
  <si>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</si>
  <si>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</si>
  <si>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</si>
  <si>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</si>
  <si>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</si>
  <si>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</si>
  <si>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</si>
  <si>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</si>
  <si>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</si>
  <si>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</si>
  <si>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</si>
  <si>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</si>
  <si>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</si>
  <si>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</si>
  <si>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</si>
  <si>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</si>
  <si>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</si>
  <si>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</si>
  <si>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</si>
  <si>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</si>
  <si>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</si>
  <si>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</si>
  <si>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</si>
  <si>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</si>
  <si>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</si>
  <si>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</si>
  <si>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</si>
  <si>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</si>
  <si>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</si>
  <si>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</si>
  <si>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</si>
  <si>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</si>
  <si>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</si>
  <si>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</si>
  <si>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</si>
  <si>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</si>
  <si>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</si>
  <si>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</si>
  <si>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</si>
  <si>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</si>
  <si>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</si>
  <si>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</si>
  <si>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</si>
  <si>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</si>
  <si>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</si>
  <si>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</si>
  <si>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</si>
  <si>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</si>
  <si>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</si>
  <si>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</si>
  <si>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</si>
  <si>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</si>
  <si>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</si>
  <si>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</si>
  <si>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</si>
  <si>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</si>
  <si>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</si>
  <si>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</si>
  <si>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</si>
  <si>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</si>
  <si>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</si>
  <si>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</si>
  <si>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</si>
  <si>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</si>
  <si>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</si>
  <si>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</si>
  <si>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</si>
  <si>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</si>
  <si>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</si>
  <si>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</si>
  <si>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</si>
  <si>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</si>
  <si>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</si>
  <si>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</si>
  <si>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</si>
  <si>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</si>
  <si>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</si>
  <si>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</si>
  <si>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</si>
  <si>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</si>
  <si>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</si>
  <si>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</si>
  <si>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</si>
  <si>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</si>
  <si>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</si>
  <si>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</si>
  <si>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</si>
  <si>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</si>
  <si>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</si>
  <si>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</si>
  <si>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</si>
  <si>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</si>
  <si>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</si>
  <si>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</si>
  <si>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</si>
  <si>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</si>
  <si>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</si>
  <si>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</si>
  <si>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</si>
  <si>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</si>
  <si>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</si>
  <si>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</si>
  <si>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</si>
  <si>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</si>
  <si>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</si>
  <si>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</si>
  <si>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</si>
  <si>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</si>
  <si>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</si>
  <si>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</si>
  <si>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</si>
  <si>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</si>
  <si>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</si>
  <si>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</si>
  <si>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</si>
  <si>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</si>
  <si>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</si>
  <si>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</si>
  <si>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</si>
  <si>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</si>
  <si>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</si>
  <si>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</si>
  <si>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</si>
  <si>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</si>
  <si>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</si>
  <si>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</si>
  <si>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</si>
  <si>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</si>
  <si>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</si>
  <si>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</si>
  <si>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</si>
  <si>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</si>
  <si>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</si>
  <si>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</si>
  <si>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</si>
  <si>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</si>
  <si>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</si>
  <si>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</si>
  <si>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</si>
  <si>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</si>
  <si>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</si>
  <si>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</si>
  <si>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</si>
  <si>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</si>
  <si>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</si>
  <si>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</si>
  <si>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</si>
  <si>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</si>
  <si>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</si>
  <si>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</si>
  <si>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</si>
  <si>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</si>
  <si>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</si>
  <si>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</si>
  <si>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</si>
  <si>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</si>
  <si>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</si>
  <si>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</si>
  <si>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</si>
  <si>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</si>
  <si>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</si>
  <si>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</si>
  <si>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</si>
  <si>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</si>
  <si>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</si>
  <si>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</si>
  <si>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</si>
  <si>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</si>
  <si>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</si>
  <si>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</si>
  <si>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</si>
  <si>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</si>
  <si>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</si>
  <si>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</si>
  <si>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</si>
  <si>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</si>
  <si>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</si>
  <si>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</si>
  <si>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</si>
  <si>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</si>
  <si>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</si>
  <si>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</si>
  <si>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</si>
  <si>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</si>
  <si>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</si>
  <si>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</si>
  <si>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</si>
  <si>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</si>
  <si>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</si>
  <si>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</si>
  <si>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</si>
  <si>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</si>
  <si>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</si>
  <si>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</si>
  <si>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</si>
  <si>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</si>
  <si>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</si>
  <si>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</si>
  <si>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</si>
  <si>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</si>
  <si>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</si>
  <si>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</si>
  <si>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</si>
  <si>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</si>
  <si>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</si>
  <si>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</si>
  <si>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</si>
  <si>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</si>
  <si>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</si>
  <si>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</si>
  <si>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</si>
  <si>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</si>
  <si>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</si>
  <si>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</si>
  <si>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</si>
  <si>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</si>
  <si>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</si>
  <si>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</si>
  <si>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</si>
  <si>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</si>
  <si>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</si>
  <si>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</si>
  <si>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</si>
  <si>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</si>
  <si>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</si>
  <si>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</si>
  <si>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</si>
  <si>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</si>
  <si>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</si>
  <si>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</si>
  <si>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</si>
  <si>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</si>
  <si>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</si>
  <si>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</si>
  <si>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</si>
  <si>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</si>
  <si>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</si>
  <si>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</si>
  <si>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</si>
  <si>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</si>
  <si>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</si>
  <si>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</si>
  <si>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</si>
  <si>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</si>
  <si>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</si>
  <si>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</si>
  <si>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</si>
  <si>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</si>
  <si>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</si>
  <si>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</si>
  <si>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</si>
  <si>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</si>
  <si>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</si>
  <si>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</si>
  <si>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</si>
  <si>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</si>
  <si>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</si>
  <si>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</si>
  <si>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</si>
  <si>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</si>
  <si>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</si>
  <si>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</si>
  <si>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</si>
  <si>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</si>
  <si>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</si>
  <si>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</si>
  <si>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</si>
  <si>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</si>
  <si>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</si>
  <si>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</si>
  <si>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</si>
  <si>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</si>
  <si>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</si>
  <si>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</si>
  <si>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</si>
  <si>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</si>
  <si>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</si>
  <si>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</si>
  <si>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</si>
  <si>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</si>
  <si>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</si>
  <si>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</si>
  <si>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</si>
  <si>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</si>
  <si>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</si>
  <si>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</si>
  <si>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</si>
  <si>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</si>
  <si>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</si>
  <si>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</si>
  <si>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</si>
  <si>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</si>
  <si>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</si>
  <si>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</si>
  <si>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</si>
  <si>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</si>
  <si>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</si>
  <si>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</si>
  <si>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</si>
  <si>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</si>
  <si>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</si>
  <si>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</si>
  <si>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</si>
  <si>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</si>
  <si>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</si>
  <si>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</si>
  <si>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</si>
  <si>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</si>
  <si>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</si>
  <si>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</si>
  <si>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</si>
  <si>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</si>
  <si>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</si>
  <si>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</si>
  <si>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</si>
  <si>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</si>
  <si>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</si>
  <si>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</si>
  <si>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</si>
  <si>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</si>
  <si>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</si>
  <si>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</si>
  <si>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</si>
  <si>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</si>
  <si>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</si>
  <si>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</si>
  <si>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</si>
  <si>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</si>
  <si>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</si>
  <si>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</si>
  <si>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</si>
  <si>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</si>
  <si>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</si>
  <si>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</si>
  <si>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</si>
  <si>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</si>
  <si>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</si>
  <si>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</si>
  <si>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</si>
  <si>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</si>
  <si>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</si>
  <si>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</si>
  <si>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</si>
  <si>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</si>
  <si>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</si>
  <si>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</si>
  <si>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</si>
  <si>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</si>
  <si>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</si>
  <si>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</si>
  <si>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</si>
  <si>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</si>
  <si>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</si>
  <si>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</si>
  <si>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</si>
  <si>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</si>
  <si>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</si>
  <si>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</si>
  <si>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</si>
  <si>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</si>
  <si>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</si>
  <si>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</si>
  <si>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</si>
  <si>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</si>
  <si>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</si>
  <si>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</si>
  <si>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</si>
  <si>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</si>
  <si>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</si>
  <si>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</si>
  <si>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</si>
  <si>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</si>
  <si>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</si>
  <si>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</si>
  <si>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</si>
  <si>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</si>
  <si>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</si>
  <si>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</si>
  <si>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</si>
  <si>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</si>
  <si>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</si>
  <si>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</si>
  <si>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</si>
  <si>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</si>
  <si>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</si>
  <si>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</si>
  <si>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</si>
  <si>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</si>
  <si>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</si>
  <si>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</si>
  <si>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</si>
  <si>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</si>
  <si>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</si>
  <si>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</si>
  <si>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</si>
  <si>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</si>
  <si>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</si>
  <si>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</si>
  <si>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</si>
  <si>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</si>
  <si>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</si>
  <si>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</si>
  <si>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</si>
  <si>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</si>
  <si>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</si>
  <si>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</si>
  <si>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</si>
  <si>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</si>
  <si>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</si>
  <si>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</si>
  <si>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</si>
  <si>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</si>
  <si>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</si>
  <si>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</si>
  <si>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</si>
  <si>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</si>
  <si>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</si>
  <si>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</si>
  <si>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</si>
  <si>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</si>
  <si>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</si>
  <si>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</si>
  <si>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</si>
  <si>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</si>
  <si>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</si>
  <si>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</si>
  <si>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</si>
  <si>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</si>
  <si>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</si>
  <si>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</si>
  <si>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</si>
  <si>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</si>
  <si>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</si>
  <si>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</si>
  <si>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</si>
  <si>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</si>
  <si>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</si>
  <si>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</si>
  <si>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</si>
  <si>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</si>
  <si>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</si>
  <si>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</si>
  <si>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</si>
  <si>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</si>
  <si>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</si>
  <si>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</si>
  <si>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</si>
  <si>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</si>
  <si>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</si>
  <si>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</si>
  <si>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</si>
  <si>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</si>
  <si>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</si>
  <si>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</si>
  <si>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</si>
  <si>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</si>
  <si>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</si>
  <si>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</si>
  <si>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</si>
  <si>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</si>
  <si>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</si>
  <si>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</si>
  <si>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</si>
  <si>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</si>
  <si>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</si>
  <si>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</si>
  <si>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</si>
  <si>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</si>
  <si>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</si>
  <si>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</si>
  <si>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</si>
  <si>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</si>
  <si>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</si>
  <si>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</si>
  <si>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</si>
  <si>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</si>
  <si>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</si>
  <si>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</si>
  <si>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</si>
  <si>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</si>
  <si>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</si>
  <si>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</si>
  <si>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</si>
  <si>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</si>
  <si>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</si>
  <si>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</si>
  <si>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</si>
  <si>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</si>
  <si>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</si>
  <si>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</si>
  <si>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</si>
  <si>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</si>
  <si>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</si>
  <si>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</si>
  <si>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</si>
  <si>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</si>
  <si>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</si>
  <si>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</si>
  <si>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</si>
  <si>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</si>
  <si>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</si>
  <si>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</si>
  <si>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</si>
  <si>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</si>
  <si>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</si>
  <si>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</si>
  <si>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</si>
  <si>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</si>
  <si>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</si>
  <si>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</si>
  <si>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</si>
  <si>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</si>
  <si>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</si>
  <si>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</si>
  <si>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</si>
  <si>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</si>
  <si>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</si>
  <si>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</si>
  <si>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</si>
  <si>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</si>
  <si>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</si>
  <si>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</si>
  <si>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</si>
  <si>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</si>
  <si>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</si>
  <si>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</si>
  <si>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</si>
  <si>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</si>
  <si>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</si>
  <si>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</si>
  <si>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</si>
  <si>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</si>
  <si>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</si>
  <si>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</si>
  <si>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</si>
  <si>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</si>
  <si>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</si>
  <si>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</si>
  <si>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</si>
  <si>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</si>
  <si>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</si>
  <si>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</si>
  <si>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</si>
  <si>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</si>
  <si>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</si>
  <si>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</si>
  <si>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</si>
  <si>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</si>
  <si>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</si>
  <si>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</si>
  <si>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</si>
  <si>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</si>
  <si>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</si>
  <si>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</si>
  <si>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</si>
  <si>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</si>
  <si>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</si>
  <si>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</si>
  <si>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</si>
  <si>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</si>
  <si>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</si>
  <si>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</si>
  <si>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</si>
  <si>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</si>
  <si>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</si>
  <si>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</si>
  <si>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</si>
  <si>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</si>
  <si>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</si>
  <si>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</si>
  <si>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</si>
  <si>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</si>
  <si>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</si>
  <si>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</si>
  <si>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</si>
  <si>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</si>
  <si>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</si>
  <si>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</si>
  <si>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</si>
  <si>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</si>
  <si>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</si>
  <si>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</si>
  <si>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</si>
  <si>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</si>
  <si>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</si>
  <si>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</si>
  <si>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</si>
  <si>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</si>
  <si>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</si>
  <si>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</si>
  <si>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</si>
  <si>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</si>
  <si>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</si>
  <si>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</si>
  <si>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</si>
  <si>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</si>
  <si>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</si>
  <si>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</si>
  <si>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</si>
  <si>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</si>
  <si>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</si>
  <si>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</si>
  <si>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</si>
  <si>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</si>
  <si>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</si>
  <si>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</si>
  <si>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</si>
  <si>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</si>
  <si>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</si>
  <si>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</si>
  <si>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</si>
  <si>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</si>
  <si>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</si>
  <si>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</si>
  <si>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</si>
  <si>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</si>
  <si>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</si>
  <si>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</si>
  <si>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</si>
  <si>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</si>
  <si>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</si>
  <si>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</si>
  <si>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</si>
  <si>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</si>
  <si>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</si>
  <si>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</si>
  <si>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</si>
  <si>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</si>
  <si>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</si>
  <si>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</si>
  <si>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</si>
  <si>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</si>
  <si>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</si>
  <si>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</si>
  <si>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</si>
  <si>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</si>
  <si>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</si>
  <si>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</si>
  <si>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</si>
  <si>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</si>
  <si>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</si>
  <si>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</si>
  <si>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</si>
  <si>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</si>
  <si>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</si>
  <si>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</si>
  <si>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</si>
  <si>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</si>
  <si>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</si>
  <si>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</si>
  <si>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</si>
  <si>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</si>
  <si>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</si>
  <si>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</si>
  <si>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</si>
  <si>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</si>
  <si>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</si>
  <si>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</si>
  <si>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</si>
  <si>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</si>
  <si>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</si>
  <si>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</si>
  <si>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</si>
  <si>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</si>
  <si>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</si>
  <si>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</si>
  <si>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</si>
  <si>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</si>
  <si>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</si>
  <si>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</si>
  <si>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</si>
  <si>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</si>
  <si>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</si>
  <si>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</si>
  <si>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</si>
  <si>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</si>
  <si>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</si>
  <si>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</si>
  <si>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</si>
  <si>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</si>
  <si>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</si>
  <si>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</si>
  <si>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</si>
  <si>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</si>
  <si>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</si>
  <si>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</si>
  <si>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</si>
  <si>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</si>
  <si>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</si>
  <si>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</si>
  <si>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</si>
  <si>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</si>
  <si>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</si>
  <si>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</si>
  <si>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</si>
  <si>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</si>
  <si>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</si>
  <si>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</si>
  <si>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</si>
  <si>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</si>
  <si>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</si>
  <si>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</si>
  <si>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</si>
  <si>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</si>
  <si>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</si>
  <si>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</si>
  <si>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</si>
  <si>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</si>
  <si>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</si>
  <si>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</si>
  <si>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</si>
  <si>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</si>
  <si>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</si>
  <si>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</si>
  <si>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</si>
  <si>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</si>
  <si>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</si>
  <si>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</si>
  <si>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</si>
  <si>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</si>
  <si>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</si>
  <si>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</si>
  <si>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</si>
  <si>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</si>
  <si>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</si>
  <si>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</si>
  <si>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</si>
  <si>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</si>
  <si>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</si>
  <si>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</si>
  <si>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</si>
  <si>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</si>
  <si>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</si>
  <si>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</si>
  <si>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</si>
  <si>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</si>
  <si>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</si>
  <si>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</si>
  <si>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</si>
  <si>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</si>
  <si>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</si>
  <si>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</si>
  <si>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</si>
  <si>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</si>
  <si>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</si>
  <si>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</si>
  <si>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</si>
  <si>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</si>
  <si>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</si>
  <si>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</si>
  <si>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</si>
  <si>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</si>
  <si>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</si>
  <si>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</si>
  <si>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</si>
  <si>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</si>
  <si>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</si>
  <si>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</si>
  <si>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</si>
  <si>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</si>
  <si>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</si>
  <si>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</si>
  <si>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</si>
  <si>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</si>
  <si>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</si>
  <si>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</si>
  <si>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</si>
  <si>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</si>
  <si>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</si>
  <si>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</si>
  <si>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</si>
  <si>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</si>
  <si>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</si>
  <si>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</si>
  <si>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</si>
  <si>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</si>
  <si>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</si>
  <si>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</si>
  <si>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</si>
  <si>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</si>
  <si>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</si>
  <si>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</si>
  <si>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</si>
  <si>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</si>
  <si>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</si>
  <si>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</si>
  <si>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</si>
  <si>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</si>
  <si>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</si>
  <si>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</si>
  <si>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</si>
  <si>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</si>
  <si>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</si>
  <si>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</si>
  <si>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</si>
  <si>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</si>
  <si>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</si>
  <si>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</si>
  <si>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</si>
  <si>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</si>
  <si>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</si>
  <si>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</si>
  <si>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</si>
  <si>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</si>
  <si>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</si>
  <si>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</si>
  <si>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</si>
  <si>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</si>
  <si>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</si>
  <si>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</si>
  <si>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</si>
  <si>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</si>
  <si>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</si>
  <si>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</si>
  <si>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</si>
  <si>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</si>
  <si>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</si>
  <si>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</si>
  <si>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</si>
  <si>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</si>
  <si>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</si>
  <si>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</si>
  <si>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</si>
  <si>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</si>
  <si>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</si>
  <si>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</si>
  <si>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</si>
  <si>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</si>
  <si>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</si>
  <si>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</si>
  <si>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</si>
  <si>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</si>
  <si>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</si>
  <si>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</si>
  <si>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</si>
  <si>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</si>
  <si>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</si>
  <si>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</si>
  <si>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</si>
  <si>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</si>
  <si>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</si>
  <si>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</si>
  <si>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</si>
  <si>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</si>
  <si>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</si>
  <si>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</si>
  <si>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</si>
  <si>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</si>
  <si>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</si>
  <si>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</si>
  <si>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</si>
  <si>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</si>
  <si>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</si>
  <si>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</si>
  <si>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</si>
  <si>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</si>
  <si>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</si>
  <si>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</si>
  <si>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</si>
  <si>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</si>
  <si>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</si>
  <si>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</si>
  <si>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</si>
  <si>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</si>
  <si>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</si>
  <si>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</si>
  <si>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</si>
  <si>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</si>
  <si>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</si>
  <si>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</si>
  <si>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</si>
  <si>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</si>
  <si>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</si>
  <si>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</si>
  <si>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</si>
  <si>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</si>
  <si>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</si>
  <si>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</si>
  <si>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</si>
  <si>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</si>
  <si>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</si>
  <si>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</si>
  <si>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</si>
  <si>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</si>
  <si>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</si>
  <si>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</si>
  <si>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</si>
  <si>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</si>
  <si>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</si>
  <si>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</si>
  <si>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</si>
  <si>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</si>
  <si>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</si>
  <si>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</si>
  <si>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</si>
  <si>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</si>
  <si>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</si>
  <si>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</si>
  <si>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</si>
  <si>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</si>
  <si>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</si>
  <si>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</si>
  <si>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</si>
  <si>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</si>
  <si>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</si>
  <si>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</si>
  <si>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</si>
  <si>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</si>
  <si>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</si>
  <si>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</si>
  <si>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</si>
  <si>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</si>
  <si>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</si>
  <si>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</si>
  <si>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</si>
  <si>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</si>
  <si>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</si>
  <si>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</si>
  <si>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</si>
  <si>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</si>
  <si>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</si>
  <si>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</si>
  <si>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</si>
  <si>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</si>
  <si>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</si>
  <si>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</si>
  <si>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</si>
  <si>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</si>
  <si>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</si>
  <si>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</si>
  <si>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</si>
  <si>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</si>
  <si>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</si>
  <si>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</si>
  <si>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</si>
  <si>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</si>
  <si>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</si>
  <si>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</si>
  <si>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</si>
  <si>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</si>
  <si>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</si>
  <si>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</si>
  <si>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</si>
  <si>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</si>
  <si>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</si>
  <si>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</si>
  <si>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</si>
  <si>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</si>
  <si>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</si>
  <si>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</si>
  <si>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</si>
  <si>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</si>
  <si>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</si>
  <si>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</si>
  <si>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</si>
  <si>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</si>
  <si>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</si>
  <si>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</si>
  <si>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</si>
  <si>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</si>
  <si>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</si>
  <si>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</si>
  <si>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</si>
  <si>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</si>
  <si>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</si>
  <si>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</si>
  <si>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</si>
  <si>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</si>
  <si>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</si>
  <si>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</si>
  <si>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</si>
  <si>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</si>
  <si>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</si>
  <si>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</si>
  <si>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</si>
  <si>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</si>
  <si>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</si>
  <si>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</si>
  <si>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</si>
  <si>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</si>
  <si>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</si>
  <si>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</si>
  <si>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</si>
  <si>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</si>
  <si>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</si>
  <si>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</si>
  <si>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</si>
  <si>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</si>
  <si>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</si>
  <si>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</si>
  <si>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</si>
  <si>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</si>
  <si>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</si>
  <si>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</si>
  <si>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</si>
  <si>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</si>
  <si>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</si>
  <si>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</si>
  <si>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</si>
  <si>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</si>
  <si>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</si>
  <si>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</si>
  <si>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</si>
  <si>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</si>
  <si>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</si>
  <si>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</si>
  <si>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</si>
  <si>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</si>
  <si>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</si>
  <si>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</si>
  <si>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</si>
  <si>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</si>
  <si>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</si>
  <si>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</si>
  <si>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</si>
  <si>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</si>
  <si>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</si>
  <si>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</si>
  <si>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</si>
  <si>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</si>
  <si>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</si>
  <si>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</si>
  <si>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</si>
  <si>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</si>
  <si>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</si>
  <si>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</si>
  <si>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</si>
  <si>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</si>
  <si>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</si>
  <si>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</si>
  <si>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</si>
  <si>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</si>
  <si>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</si>
  <si>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</si>
  <si>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</si>
  <si>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</si>
  <si>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</si>
  <si>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</si>
  <si>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</si>
  <si>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</si>
  <si>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</si>
  <si>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</si>
  <si>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</si>
  <si>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</si>
  <si>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</si>
  <si>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</si>
  <si>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</si>
  <si>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</si>
  <si>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</si>
  <si>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</si>
  <si>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</si>
  <si>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</si>
  <si>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</si>
  <si>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</si>
  <si>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</si>
  <si>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</si>
  <si>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</si>
  <si>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</si>
  <si>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</si>
  <si>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</si>
  <si>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</si>
  <si>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</si>
  <si>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</si>
  <si>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</si>
  <si>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</si>
  <si>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</si>
  <si>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</si>
  <si>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</si>
  <si>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</si>
  <si>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</si>
  <si>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</si>
  <si>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</si>
  <si>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</si>
  <si>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</si>
  <si>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</si>
  <si>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</si>
  <si>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</si>
  <si>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</si>
  <si>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</si>
  <si>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</si>
  <si>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</si>
  <si>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</si>
  <si>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</si>
  <si>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</si>
  <si>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</si>
  <si>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</si>
  <si>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</si>
  <si>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</si>
  <si>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</si>
  <si>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</si>
  <si>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</si>
  <si>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</si>
  <si>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</si>
  <si>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</si>
  <si>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</si>
  <si>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</si>
  <si>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</si>
  <si>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</si>
  <si>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</si>
  <si>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</si>
  <si>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</si>
  <si>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</si>
  <si>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</si>
  <si>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</si>
  <si>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</si>
  <si>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</si>
  <si>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</si>
  <si>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</si>
  <si>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</si>
  <si>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</si>
  <si>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</si>
  <si>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</si>
  <si>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</si>
  <si>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</si>
  <si>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</si>
  <si>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</si>
  <si>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</si>
  <si>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</si>
  <si>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</si>
  <si>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</si>
  <si>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</si>
  <si>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</si>
  <si>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</si>
  <si>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</si>
  <si>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</si>
  <si>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</si>
  <si>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</si>
  <si>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</si>
  <si>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</si>
  <si>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</si>
  <si>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</si>
  <si>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</si>
  <si>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</si>
  <si>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</si>
  <si>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</si>
  <si>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</si>
  <si>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</si>
  <si>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</si>
  <si>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</si>
  <si>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</si>
  <si>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</si>
  <si>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</si>
  <si>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</si>
  <si>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</si>
  <si>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</si>
  <si>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</si>
  <si>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</si>
  <si>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</si>
  <si>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</si>
  <si>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</si>
  <si>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</si>
  <si>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</si>
  <si>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</si>
  <si>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</si>
  <si>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</si>
  <si>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</si>
  <si>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</si>
  <si>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</si>
  <si>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</si>
  <si>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</si>
  <si>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</si>
  <si>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</si>
  <si>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</si>
  <si>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</si>
  <si>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</si>
  <si>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</si>
  <si>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</si>
  <si>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</si>
  <si>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</si>
  <si>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</si>
  <si>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</si>
  <si>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</si>
  <si>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</si>
  <si>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</si>
  <si>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</si>
  <si>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</si>
  <si>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</si>
  <si>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</si>
  <si>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</si>
  <si>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</si>
  <si>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</si>
  <si>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</si>
  <si>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</si>
  <si>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</si>
  <si>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</si>
  <si>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</si>
  <si>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</si>
  <si>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</si>
  <si>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</si>
  <si>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</si>
  <si>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</si>
  <si>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</si>
  <si>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</si>
  <si>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</si>
  <si>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</si>
  <si>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</si>
  <si>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</si>
  <si>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</si>
  <si>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</si>
  <si>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</si>
  <si>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</si>
  <si>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</si>
  <si>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</si>
  <si>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</si>
  <si>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</si>
  <si>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</si>
  <si>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</si>
  <si>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</si>
  <si>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</si>
  <si>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</si>
  <si>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</si>
  <si>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</si>
  <si>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</si>
  <si>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</si>
  <si>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</si>
  <si>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</si>
  <si>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</si>
  <si>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</si>
  <si>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</si>
  <si>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</si>
  <si>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</si>
  <si>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</si>
  <si>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</si>
  <si>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</si>
  <si>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</si>
  <si>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</si>
  <si>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</si>
  <si>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</si>
  <si>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</si>
  <si>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</si>
  <si>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</si>
  <si>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</si>
  <si>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</si>
  <si>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</si>
  <si>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</si>
  <si>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</si>
  <si>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</si>
  <si>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</si>
  <si>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</si>
  <si>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</si>
  <si>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</si>
  <si>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</si>
  <si>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</si>
  <si>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</si>
  <si>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</si>
  <si>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</si>
  <si>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</si>
  <si>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</si>
  <si>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</si>
  <si>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</si>
  <si>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</si>
  <si>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</si>
  <si>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</si>
  <si>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</si>
  <si>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</si>
  <si>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</si>
  <si>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</si>
  <si>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</si>
  <si>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</si>
  <si>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</si>
  <si>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</si>
  <si>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</si>
  <si>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</si>
  <si>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</si>
  <si>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</si>
  <si>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</si>
  <si>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</si>
  <si>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</si>
  <si>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</si>
  <si>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</si>
  <si>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</si>
  <si>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</si>
  <si>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</si>
  <si>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</si>
  <si>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</si>
  <si>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</si>
  <si>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</si>
  <si>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</si>
  <si>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</si>
  <si>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</si>
  <si>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</si>
  <si>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</si>
  <si>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</si>
  <si>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</si>
  <si>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</si>
  <si>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</si>
  <si>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</si>
  <si>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</si>
  <si>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</si>
  <si>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</si>
  <si>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</si>
  <si>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</si>
  <si>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</si>
  <si>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</si>
  <si>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</si>
  <si>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</si>
  <si>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</si>
  <si>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</si>
  <si>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</si>
  <si>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</si>
  <si>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</si>
  <si>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</si>
  <si>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</si>
  <si>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</si>
  <si>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</si>
  <si>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</si>
  <si>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</si>
  <si>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</si>
  <si>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</si>
  <si>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</si>
  <si>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</si>
  <si>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</si>
  <si>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</si>
  <si>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</si>
  <si>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</si>
  <si>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</si>
  <si>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</si>
  <si>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</si>
  <si>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</si>
  <si>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</si>
  <si>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</si>
  <si>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</si>
  <si>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</si>
  <si>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</si>
  <si>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</si>
  <si>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</si>
  <si>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</si>
  <si>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</si>
  <si>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</si>
  <si>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</si>
  <si>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</si>
  <si>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</si>
  <si>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</si>
  <si>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</si>
  <si>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</si>
  <si>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</si>
  <si>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</si>
  <si>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</si>
  <si>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</si>
  <si>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</si>
  <si>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</si>
  <si>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</si>
  <si>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</si>
  <si>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</si>
  <si>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</si>
  <si>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</si>
  <si>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</si>
  <si>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</si>
  <si>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</si>
  <si>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</si>
  <si>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</si>
  <si>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</si>
  <si>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</si>
  <si>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</si>
  <si>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</si>
  <si>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</si>
  <si>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</si>
  <si>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</si>
  <si>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</si>
  <si>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</si>
  <si>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</si>
  <si>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</si>
  <si>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</si>
  <si>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</si>
  <si>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</si>
  <si>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</si>
  <si>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</si>
  <si>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</si>
  <si>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</si>
  <si>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</si>
  <si>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</si>
  <si>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</si>
  <si>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</si>
  <si>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</si>
  <si>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</si>
  <si>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</si>
  <si>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</si>
  <si>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</si>
  <si>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</si>
  <si>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</si>
  <si>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</si>
  <si>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</si>
  <si>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</si>
  <si>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</si>
  <si>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</si>
  <si>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</si>
  <si>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</si>
  <si>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</si>
  <si>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</si>
  <si>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</si>
  <si>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</si>
  <si>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</si>
  <si>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</si>
  <si>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</si>
  <si>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</si>
  <si>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</si>
  <si>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</si>
  <si>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</si>
  <si>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</si>
  <si>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</si>
  <si>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</si>
  <si>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</si>
  <si>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</si>
  <si>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</si>
  <si>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</si>
  <si>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</si>
  <si>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</si>
  <si>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</si>
  <si>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</si>
  <si>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</si>
  <si>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</si>
  <si>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</si>
  <si>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</si>
  <si>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</si>
  <si>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</si>
  <si>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</si>
  <si>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</si>
  <si>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</si>
  <si>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</si>
  <si>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</si>
  <si>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</si>
  <si>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</si>
  <si>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</si>
  <si>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</si>
  <si>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</si>
  <si>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</si>
  <si>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</si>
  <si>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</si>
  <si>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</si>
  <si>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</si>
  <si>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</si>
  <si>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</si>
  <si>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</si>
  <si>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</si>
  <si>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</si>
  <si>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</si>
  <si>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</si>
  <si>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</si>
  <si>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</si>
  <si>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</si>
  <si>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</si>
  <si>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</si>
  <si>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</si>
  <si>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</si>
  <si>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</si>
  <si>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</si>
  <si>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</si>
  <si>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</si>
  <si>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</si>
  <si>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</si>
  <si>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</si>
  <si>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</si>
  <si>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</si>
  <si>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</si>
  <si>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</si>
  <si>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</si>
  <si>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</si>
  <si>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</si>
  <si>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</si>
  <si>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</si>
  <si>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</si>
  <si>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</si>
  <si>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</si>
  <si>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</si>
  <si>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</si>
  <si>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</si>
  <si>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</si>
  <si>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</si>
  <si>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</si>
  <si>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</si>
  <si>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</si>
  <si>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</si>
  <si>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</si>
  <si>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</si>
  <si>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</si>
  <si>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</si>
  <si>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</si>
  <si>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</si>
  <si>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</si>
  <si>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</si>
  <si>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</si>
  <si>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</si>
  <si>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</si>
  <si>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</si>
  <si>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</si>
  <si>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</si>
  <si>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</si>
  <si>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</si>
  <si>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</si>
  <si>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</si>
  <si>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</si>
  <si>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</si>
  <si>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</si>
  <si>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</si>
  <si>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</si>
  <si>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</si>
  <si>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</si>
  <si>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</si>
  <si>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</si>
  <si>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</si>
  <si>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</si>
  <si>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</si>
  <si>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</si>
  <si>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</si>
  <si>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</si>
  <si>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</si>
  <si>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</si>
  <si>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</si>
  <si>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</si>
  <si>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</si>
  <si>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</si>
  <si>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</si>
  <si>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</si>
  <si>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</si>
  <si>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</si>
  <si>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</si>
  <si>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</si>
  <si>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</si>
  <si>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</si>
  <si>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</si>
  <si>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</si>
  <si>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</si>
  <si>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</si>
  <si>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</si>
  <si>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</si>
  <si>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</si>
  <si>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</si>
  <si>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</si>
  <si>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</si>
  <si>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</si>
  <si>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</si>
  <si>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</si>
  <si>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</si>
  <si>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</si>
  <si>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</si>
  <si>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</si>
  <si>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</si>
  <si>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</si>
  <si>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</si>
  <si>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</si>
  <si>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</si>
  <si>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</si>
  <si>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</si>
  <si>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</si>
  <si>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</si>
  <si>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</si>
  <si>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</si>
  <si>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</si>
  <si>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</si>
  <si>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</si>
  <si>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</si>
  <si>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</si>
  <si>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</si>
  <si>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</si>
  <si>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</si>
  <si>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</si>
  <si>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</si>
  <si>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</si>
  <si>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</si>
  <si>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</si>
  <si>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</si>
  <si>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</si>
  <si>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</si>
  <si>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</si>
  <si>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</si>
  <si>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</si>
  <si>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</si>
  <si>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</si>
  <si>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</si>
  <si>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</si>
  <si>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</si>
  <si>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</si>
  <si>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</si>
  <si>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</si>
  <si>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</si>
  <si>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</si>
  <si>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</si>
  <si>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</si>
  <si>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</si>
  <si>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</si>
  <si>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</si>
  <si>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</si>
  <si>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</si>
  <si>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</si>
  <si>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</si>
  <si>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</si>
  <si>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</si>
  <si>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</si>
  <si>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</si>
  <si>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</si>
  <si>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</si>
  <si>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</si>
  <si>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</si>
  <si>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</si>
  <si>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</si>
  <si>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</si>
  <si>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</si>
  <si>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</si>
  <si>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</si>
  <si>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</si>
  <si>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</si>
  <si>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</si>
  <si>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</si>
  <si>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</si>
  <si>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</si>
  <si>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</si>
  <si>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</si>
  <si>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</si>
  <si>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</si>
  <si>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</si>
  <si>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</si>
  <si>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</si>
  <si>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</si>
  <si>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</si>
  <si>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</si>
  <si>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</si>
  <si>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</si>
  <si>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</si>
  <si>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</si>
  <si>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</si>
  <si>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</si>
  <si>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</si>
  <si>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</si>
  <si>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</si>
  <si>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</si>
  <si>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</si>
  <si>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</si>
  <si>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</si>
  <si>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</si>
  <si>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</si>
  <si>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</si>
  <si>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</si>
  <si>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</si>
  <si>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</si>
  <si>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</si>
  <si>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</si>
  <si>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</si>
  <si>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</si>
  <si>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</si>
  <si>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</si>
  <si>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</si>
  <si>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</si>
  <si>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</si>
  <si>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</si>
  <si>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</si>
  <si>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</si>
  <si>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</si>
  <si>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</si>
  <si>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</si>
  <si>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</si>
  <si>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</si>
  <si>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</si>
  <si>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</si>
  <si>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</si>
  <si>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</si>
  <si>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</si>
  <si>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</si>
  <si>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</si>
  <si>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</si>
  <si>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</si>
  <si>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</si>
  <si>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</si>
  <si>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</si>
  <si>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</si>
  <si>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</si>
  <si>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</si>
  <si>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</si>
  <si>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</si>
  <si>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</si>
  <si>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</si>
  <si>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</si>
  <si>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</si>
  <si>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</si>
  <si>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</si>
  <si>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</si>
  <si>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</si>
  <si>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</si>
  <si>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</si>
  <si>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</si>
  <si>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</si>
  <si>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</si>
  <si>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</si>
  <si>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</si>
  <si>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</si>
  <si>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</si>
  <si>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</si>
  <si>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</si>
  <si>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</si>
  <si>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</si>
  <si>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</si>
  <si>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</si>
  <si>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</si>
  <si>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</si>
  <si>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</si>
  <si>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</si>
  <si>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</si>
  <si>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</si>
  <si>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</si>
  <si>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</si>
  <si>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</si>
  <si>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</si>
  <si>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</si>
  <si>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</si>
  <si>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</si>
  <si>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</si>
  <si>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</si>
  <si>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</si>
  <si>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</si>
  <si>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</si>
  <si>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</si>
  <si>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</si>
  <si>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</si>
  <si>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</si>
  <si>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</si>
  <si>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</si>
  <si>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</si>
  <si>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</si>
  <si>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</si>
  <si>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</si>
  <si>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</si>
  <si>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</si>
  <si>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</si>
  <si>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</si>
  <si>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</si>
  <si>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</si>
  <si>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</si>
  <si>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</si>
  <si>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</si>
  <si>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</si>
  <si>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</si>
  <si>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</si>
  <si>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</si>
  <si>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</si>
  <si>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</si>
  <si>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</si>
  <si>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</si>
  <si>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</si>
  <si>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</si>
  <si>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</si>
  <si>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</si>
  <si>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</si>
  <si>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</si>
  <si>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</si>
  <si>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</si>
  <si>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</si>
  <si>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</si>
  <si>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</si>
  <si>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</si>
  <si>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</si>
  <si>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</si>
  <si>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</si>
  <si>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</si>
  <si>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</si>
  <si>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</si>
  <si>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</si>
  <si>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</si>
  <si>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</si>
  <si>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</si>
  <si>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</si>
  <si>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</si>
  <si>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</si>
  <si>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</si>
  <si>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</si>
  <si>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</si>
  <si>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</si>
  <si>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</si>
  <si>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</si>
  <si>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</si>
  <si>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</si>
  <si>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</si>
  <si>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</si>
  <si>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</si>
  <si>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</si>
  <si>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</si>
  <si>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</si>
  <si>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</si>
  <si>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</si>
  <si>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</si>
  <si>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</si>
  <si>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</si>
  <si>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</si>
  <si>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</si>
  <si>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</si>
  <si>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</si>
  <si>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</si>
  <si>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</si>
  <si>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</si>
  <si>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</si>
  <si>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</si>
  <si>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</si>
  <si>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</si>
  <si>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</si>
  <si>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</si>
  <si>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</si>
  <si>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</si>
  <si>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</si>
  <si>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</si>
  <si>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</si>
  <si>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</si>
  <si>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</si>
  <si>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</si>
  <si>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</si>
  <si>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</si>
  <si>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</si>
  <si>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</si>
  <si>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</si>
  <si>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</si>
  <si>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</si>
  <si>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</si>
  <si>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</si>
  <si>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</si>
  <si>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</si>
  <si>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</si>
  <si>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</si>
  <si>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</si>
  <si>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</si>
  <si>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</si>
  <si>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</si>
  <si>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</si>
  <si>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</si>
  <si>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</si>
  <si>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</si>
  <si>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</si>
  <si>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</si>
  <si>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</si>
  <si>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</si>
  <si>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</si>
  <si>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</si>
  <si>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</si>
  <si>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</si>
  <si>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</si>
  <si>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</si>
  <si>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</si>
  <si>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</si>
  <si>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</si>
  <si>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</si>
  <si>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</si>
  <si>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</si>
  <si>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</si>
  <si>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</si>
  <si>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</si>
  <si>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</si>
  <si>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</si>
  <si>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</si>
  <si>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</si>
  <si>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</si>
  <si>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</si>
  <si>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</si>
  <si>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</si>
  <si>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</si>
  <si>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</si>
  <si>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</si>
  <si>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</si>
  <si>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</si>
  <si>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</si>
  <si>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</si>
  <si>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</si>
  <si>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</si>
  <si>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</si>
  <si>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</si>
  <si>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</si>
  <si>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</si>
  <si>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</si>
  <si>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</si>
  <si>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</si>
  <si>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</si>
  <si>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</si>
  <si>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</si>
  <si>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</si>
  <si>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</si>
  <si>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</si>
  <si>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</si>
  <si>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</si>
  <si>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</si>
  <si>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</si>
  <si>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</si>
  <si>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</si>
  <si>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</si>
  <si>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</si>
  <si>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</si>
  <si>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</si>
  <si>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</si>
  <si>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</si>
  <si>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</si>
  <si>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</si>
  <si>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</si>
  <si>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</si>
  <si>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</si>
  <si>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</si>
  <si>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</si>
  <si>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</si>
  <si>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</si>
  <si>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</si>
  <si>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</si>
  <si>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</si>
  <si>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</si>
  <si>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</si>
  <si>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</si>
  <si>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</si>
  <si>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</si>
  <si>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</si>
  <si>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</si>
  <si>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</si>
  <si>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</si>
  <si>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</si>
  <si>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</si>
  <si>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</si>
  <si>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</si>
  <si>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</si>
  <si>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</si>
  <si>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</si>
  <si>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</si>
  <si>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</si>
  <si>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</si>
  <si>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</si>
  <si>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</si>
  <si>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</si>
  <si>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</si>
  <si>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</si>
  <si>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</si>
  <si>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</si>
  <si>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</si>
  <si>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</si>
  <si>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</si>
  <si>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</si>
  <si>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</si>
  <si>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</si>
  <si>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</si>
  <si>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</si>
  <si>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</si>
  <si>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</si>
  <si>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</si>
  <si>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</si>
  <si>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</si>
  <si>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</si>
  <si>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</si>
  <si>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</si>
  <si>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</si>
  <si>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</si>
  <si>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</si>
  <si>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</si>
  <si>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</si>
  <si>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</si>
  <si>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</si>
  <si>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</si>
  <si>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</si>
  <si>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</si>
  <si>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</si>
  <si>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</si>
  <si>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</si>
  <si>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</si>
  <si>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</si>
  <si>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</si>
  <si>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</si>
  <si>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</si>
  <si>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</si>
  <si>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</si>
  <si>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</si>
  <si>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</si>
  <si>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</si>
  <si>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</si>
  <si>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</si>
  <si>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</si>
  <si>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</si>
  <si>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</si>
  <si>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</si>
  <si>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</si>
  <si>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</si>
  <si>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</si>
  <si>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</si>
  <si>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</si>
  <si>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</si>
  <si>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</si>
  <si>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</si>
  <si>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</si>
  <si>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</si>
  <si>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</si>
  <si>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</si>
  <si>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</si>
  <si>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</si>
  <si>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</si>
  <si>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</si>
  <si>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</si>
  <si>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</si>
  <si>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</si>
  <si>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</si>
  <si>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</si>
  <si>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</si>
  <si>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</si>
  <si>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</si>
  <si>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</si>
  <si>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</si>
  <si>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</si>
  <si>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</si>
  <si>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</si>
  <si>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</si>
  <si>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</si>
  <si>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</si>
  <si>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</si>
  <si>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</si>
  <si>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</si>
  <si>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</si>
  <si>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</si>
  <si>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</si>
  <si>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</si>
  <si>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</si>
  <si>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</si>
  <si>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</si>
  <si>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</si>
  <si>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</si>
  <si>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</si>
  <si>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</si>
  <si>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</si>
  <si>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</si>
  <si>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</si>
  <si>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</si>
  <si>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</si>
  <si>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</si>
  <si>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</si>
  <si>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</si>
  <si>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</si>
  <si>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</si>
  <si>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</si>
  <si>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</si>
  <si>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</si>
  <si>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</si>
  <si>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</si>
  <si>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</si>
  <si>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</si>
  <si>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</si>
  <si>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</si>
  <si>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</si>
  <si>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</si>
  <si>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</si>
  <si>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</si>
  <si>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</si>
  <si>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</si>
  <si>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</si>
  <si>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</si>
  <si>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</si>
  <si>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</si>
  <si>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</si>
  <si>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</si>
  <si>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</si>
  <si>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</si>
  <si>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</si>
  <si>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</si>
  <si>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</si>
  <si>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</si>
  <si>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</si>
  <si>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</si>
  <si>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</si>
  <si>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</si>
  <si>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</si>
  <si>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</si>
  <si>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</si>
  <si>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</si>
  <si>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</si>
  <si>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</si>
  <si>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</si>
  <si>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</si>
  <si>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</si>
  <si>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</si>
  <si>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</si>
  <si>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</si>
  <si>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</si>
  <si>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</si>
  <si>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</si>
  <si>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</si>
  <si>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</si>
  <si>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</si>
  <si>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</si>
  <si>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</si>
  <si>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</si>
  <si>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</si>
  <si>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</si>
  <si>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</si>
  <si>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</si>
  <si>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</si>
  <si>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</si>
  <si>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</si>
  <si>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</si>
  <si>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</si>
  <si>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</si>
  <si>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</si>
  <si>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</si>
  <si>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</si>
  <si>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</si>
  <si>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</si>
  <si>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</si>
  <si>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</si>
  <si>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</si>
  <si>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</si>
  <si>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</si>
  <si>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</si>
  <si>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</si>
  <si>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</si>
  <si>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</si>
  <si>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</si>
  <si>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</si>
  <si>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</si>
  <si>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</si>
  <si>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</si>
  <si>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</si>
  <si>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</si>
  <si>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</si>
  <si>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</si>
  <si>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</si>
  <si>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</si>
  <si>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</si>
  <si>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</si>
  <si>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</si>
  <si>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</si>
  <si>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</si>
  <si>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</si>
  <si>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</si>
  <si>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</si>
  <si>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</si>
  <si>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</si>
  <si>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</si>
  <si>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</si>
  <si>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</si>
  <si>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</si>
  <si>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</si>
  <si>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</si>
  <si>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</si>
  <si>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</si>
  <si>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</si>
  <si>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</si>
  <si>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</si>
  <si>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</si>
  <si>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</si>
  <si>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</si>
  <si>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</si>
  <si>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</si>
  <si>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</si>
  <si>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</si>
  <si>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</si>
  <si>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</si>
  <si>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</si>
  <si>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</si>
  <si>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</si>
  <si>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</si>
  <si>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</si>
  <si>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</si>
  <si>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</si>
  <si>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</si>
  <si>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</si>
  <si>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</si>
  <si>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</si>
  <si>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</si>
  <si>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</si>
  <si>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</si>
  <si>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</si>
  <si>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</si>
  <si>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</si>
  <si>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</si>
  <si>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</si>
  <si>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</si>
  <si>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</si>
  <si>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</si>
  <si>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</si>
  <si>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</si>
  <si>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</si>
  <si>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</si>
  <si>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</si>
  <si>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</si>
  <si>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</si>
  <si>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</si>
  <si>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</si>
  <si>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</si>
  <si>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</si>
  <si>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</si>
  <si>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</si>
  <si>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</si>
  <si>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</si>
  <si>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</si>
  <si>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</si>
  <si>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</si>
  <si>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</si>
  <si>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</si>
  <si>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</si>
  <si>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</si>
  <si>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</si>
  <si>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</si>
  <si>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</si>
  <si>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</si>
  <si>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</si>
  <si>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</si>
  <si>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</si>
  <si>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</si>
  <si>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</si>
  <si>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</si>
  <si>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</si>
  <si>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</si>
  <si>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</si>
  <si>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</si>
  <si>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</si>
  <si>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</si>
  <si>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</si>
  <si>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</si>
  <si>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</si>
  <si>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</si>
  <si>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</si>
  <si>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</si>
  <si>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</si>
  <si>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</si>
  <si>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</si>
  <si>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</si>
  <si>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</si>
  <si>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</si>
  <si>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</si>
  <si>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</si>
  <si>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</si>
  <si>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</si>
  <si>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</si>
  <si>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</si>
  <si>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</si>
  <si>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</si>
  <si>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</si>
  <si>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</si>
  <si>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</si>
  <si>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</si>
  <si>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</si>
  <si>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</si>
  <si>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</si>
  <si>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</si>
  <si>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</si>
  <si>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</si>
  <si>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</si>
  <si>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</si>
  <si>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</si>
  <si>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</si>
  <si>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</si>
  <si>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</si>
  <si>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</si>
  <si>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</si>
  <si>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</si>
  <si>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</si>
  <si>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</si>
  <si>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</si>
  <si>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</si>
  <si>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</si>
  <si>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</si>
  <si>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</si>
  <si>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</si>
  <si>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</si>
  <si>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</si>
  <si>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</si>
  <si>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</si>
  <si>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</si>
  <si>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</si>
  <si>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</si>
  <si>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</si>
  <si>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</si>
  <si>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</si>
  <si>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</si>
  <si>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</si>
  <si>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</si>
  <si>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</si>
  <si>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</si>
  <si>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</si>
  <si>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</si>
  <si>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</si>
  <si>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</si>
  <si>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</si>
  <si>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</si>
  <si>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</si>
  <si>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</si>
  <si>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</si>
  <si>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</si>
  <si>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</si>
  <si>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</si>
  <si>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</si>
  <si>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</si>
  <si>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</si>
  <si>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</si>
  <si>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</si>
  <si>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</si>
  <si>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</si>
  <si>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</si>
  <si>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</si>
  <si>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</si>
  <si>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</si>
  <si>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</si>
  <si>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</si>
  <si>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</si>
  <si>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</si>
  <si>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</si>
  <si>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</si>
  <si>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</si>
  <si>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</si>
  <si>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</si>
  <si>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</si>
  <si>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</si>
  <si>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</si>
  <si>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</si>
  <si>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</si>
  <si>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</si>
  <si>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</si>
  <si>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</si>
  <si>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</si>
  <si>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</si>
  <si>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</si>
  <si>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</si>
  <si>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</si>
  <si>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</si>
  <si>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</si>
  <si>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</si>
  <si>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</si>
  <si>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</si>
  <si>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</si>
  <si>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</si>
  <si>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</si>
  <si>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</si>
  <si>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</si>
  <si>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</si>
  <si>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</si>
  <si>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</si>
  <si>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</si>
  <si>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</si>
  <si>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</si>
  <si>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</si>
  <si>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</si>
  <si>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</si>
  <si>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</si>
  <si>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</si>
  <si>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</si>
  <si>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</si>
  <si>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</si>
  <si>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</si>
  <si>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</si>
  <si>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</si>
  <si>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</si>
  <si>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</si>
  <si>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</si>
  <si>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</si>
  <si>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</si>
  <si>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</si>
  <si>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</si>
  <si>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</si>
  <si>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</si>
  <si>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</si>
  <si>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</si>
  <si>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</si>
  <si>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</si>
  <si>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</si>
  <si>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</si>
  <si>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</si>
  <si>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</si>
  <si>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</si>
  <si>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</si>
  <si>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</si>
  <si>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</si>
  <si>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</si>
  <si>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</si>
  <si>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</si>
  <si>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</si>
  <si>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</si>
  <si>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</si>
  <si>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</si>
  <si>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</si>
  <si>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</si>
  <si>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</si>
  <si>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</si>
  <si>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</si>
  <si>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</si>
  <si>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</si>
  <si>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</si>
  <si>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</si>
  <si>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</si>
  <si>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</si>
  <si>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</si>
  <si>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</si>
  <si>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</si>
  <si>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</si>
  <si>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</si>
  <si>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</si>
  <si>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</si>
  <si>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</si>
  <si>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</si>
  <si>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</si>
  <si>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</si>
  <si>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</si>
  <si>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</si>
  <si>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</si>
  <si>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</si>
  <si>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</si>
  <si>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</si>
  <si>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</si>
  <si>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</si>
  <si>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</si>
  <si>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</si>
  <si>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</si>
  <si>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</si>
  <si>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</si>
  <si>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</si>
  <si>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</si>
  <si>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</si>
  <si>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</si>
  <si>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</si>
  <si>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</si>
  <si>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</si>
  <si>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</si>
  <si>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</si>
  <si>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</si>
  <si>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</si>
  <si>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</si>
  <si>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</si>
  <si>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</si>
  <si>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</si>
  <si>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</si>
  <si>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</si>
  <si>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</si>
  <si>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</si>
  <si>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</si>
  <si>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</si>
  <si>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</si>
  <si>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</si>
  <si>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</si>
  <si>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</si>
  <si>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</si>
  <si>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</si>
  <si>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</si>
  <si>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</si>
  <si>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</si>
  <si>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</si>
  <si>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</si>
  <si>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</si>
  <si>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</si>
  <si>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</si>
  <si>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</si>
  <si>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</si>
  <si>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</si>
  <si>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</si>
  <si>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</si>
  <si>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</si>
  <si>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</si>
  <si>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</si>
  <si>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</si>
  <si>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</si>
  <si>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</si>
  <si>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</si>
  <si>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</si>
  <si>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</si>
  <si>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</si>
  <si>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</si>
  <si>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</si>
  <si>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</si>
  <si>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</si>
  <si>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</si>
  <si>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</si>
  <si>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</si>
  <si>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</si>
  <si>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</si>
  <si>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</si>
  <si>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</si>
  <si>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</si>
  <si>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</si>
  <si>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</si>
  <si>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</si>
  <si>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</si>
  <si>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</si>
  <si>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</si>
  <si>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</si>
  <si>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</si>
  <si>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</si>
  <si>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</si>
  <si>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</si>
  <si>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</si>
  <si>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</si>
  <si>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</si>
  <si>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</si>
  <si>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</si>
  <si>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</si>
  <si>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</si>
  <si>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</si>
  <si>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</si>
  <si>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</si>
  <si>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</si>
  <si>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</si>
  <si>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</si>
  <si>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</si>
  <si>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</si>
  <si>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</si>
  <si>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</si>
  <si>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</si>
  <si>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</si>
  <si>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</si>
  <si>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</si>
  <si>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</si>
  <si>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</si>
  <si>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</si>
  <si>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</si>
  <si>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</si>
  <si>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</si>
  <si>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</si>
  <si>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</si>
  <si>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</si>
  <si>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</si>
  <si>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</si>
  <si>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</si>
  <si>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</si>
  <si>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</si>
  <si>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</si>
  <si>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</si>
  <si>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</si>
  <si>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</si>
  <si>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</si>
  <si>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</si>
  <si>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</si>
  <si>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</si>
  <si>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</si>
  <si>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</si>
  <si>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</si>
  <si>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</si>
  <si>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</si>
  <si>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</si>
  <si>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</si>
  <si>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</si>
  <si>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</si>
  <si>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</si>
  <si>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</si>
  <si>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</si>
  <si>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</si>
  <si>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</si>
  <si>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</si>
  <si>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</si>
  <si>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</si>
  <si>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</si>
  <si>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</si>
  <si>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</si>
  <si>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</si>
  <si>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</si>
  <si>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</si>
  <si>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</si>
  <si>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</si>
  <si>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</si>
  <si>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</si>
  <si>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</si>
  <si>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</si>
  <si>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</si>
  <si>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</si>
  <si>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</si>
  <si>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</si>
  <si>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</si>
  <si>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</si>
  <si>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</si>
  <si>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</si>
  <si>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</si>
  <si>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</si>
  <si>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</si>
  <si>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</si>
  <si>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</si>
  <si>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</si>
  <si>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</si>
  <si>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</si>
  <si>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</si>
  <si>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</si>
  <si>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</si>
  <si>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</si>
  <si>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</si>
  <si>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</si>
  <si>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</si>
  <si>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</si>
  <si>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</si>
  <si>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</si>
  <si>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</si>
  <si>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</si>
  <si>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</si>
  <si>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</si>
  <si>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</si>
  <si>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</si>
  <si>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</si>
  <si>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</si>
  <si>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</si>
  <si>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</si>
  <si>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</si>
  <si>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</si>
  <si>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</si>
  <si>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</si>
  <si>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</si>
  <si>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</si>
  <si>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</si>
  <si>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</si>
  <si>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</si>
  <si>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</si>
  <si>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</si>
  <si>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</si>
  <si>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</si>
  <si>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</si>
  <si>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</si>
  <si>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</si>
  <si>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</si>
  <si>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</si>
  <si>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</si>
  <si>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</si>
  <si>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</si>
  <si>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</si>
  <si>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</si>
  <si>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</si>
  <si>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</si>
  <si>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</si>
  <si>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</si>
  <si>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</si>
  <si>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</si>
  <si>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</si>
  <si>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</si>
  <si>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</si>
  <si>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</si>
  <si>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</si>
  <si>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</si>
  <si>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</si>
  <si>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</si>
  <si>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</si>
  <si>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</si>
  <si>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</si>
  <si>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</si>
  <si>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</si>
  <si>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</si>
  <si>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</si>
  <si>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</si>
  <si>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</si>
  <si>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</si>
  <si>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</si>
  <si>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</si>
  <si>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</si>
  <si>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</si>
  <si>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</si>
  <si>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</si>
  <si>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</si>
  <si>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</si>
  <si>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</si>
  <si>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</si>
  <si>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</si>
  <si>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</si>
  <si>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</si>
  <si>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</si>
  <si>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</si>
  <si>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</si>
  <si>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</si>
  <si>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</si>
  <si>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</si>
  <si>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</si>
  <si>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</si>
  <si>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</si>
  <si>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</si>
  <si>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</si>
  <si>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</si>
  <si>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</si>
  <si>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</si>
  <si>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</si>
  <si>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</si>
  <si>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</si>
  <si>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</si>
  <si>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</si>
  <si>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</si>
  <si>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</si>
  <si>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</si>
  <si>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</si>
  <si>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</si>
  <si>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</si>
  <si>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</si>
  <si>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</si>
  <si>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</si>
  <si>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</si>
  <si>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</si>
  <si>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</si>
  <si>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</si>
  <si>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</si>
  <si>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</si>
  <si>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</si>
  <si>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</si>
  <si>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</si>
  <si>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</si>
  <si>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</si>
  <si>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</si>
  <si>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</si>
  <si>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</si>
  <si>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</si>
  <si>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</si>
  <si>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</si>
  <si>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</si>
  <si>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</si>
  <si>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</si>
  <si>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</si>
  <si>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</si>
  <si>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</si>
  <si>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</si>
  <si>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</si>
  <si>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</si>
  <si>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</si>
  <si>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</si>
  <si>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</si>
  <si>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</si>
  <si>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</si>
  <si>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</si>
  <si>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</si>
  <si>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</si>
  <si>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</si>
  <si>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</si>
  <si>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</si>
  <si>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</si>
  <si>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</si>
  <si>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</si>
  <si>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</si>
  <si>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</si>
  <si>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</si>
  <si>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</si>
  <si>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</si>
  <si>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</si>
  <si>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</si>
  <si>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</si>
  <si>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</si>
  <si>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</si>
  <si>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</si>
  <si>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</si>
  <si>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</si>
  <si>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</si>
  <si>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</si>
  <si>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</si>
  <si>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</si>
  <si>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</si>
  <si>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</si>
  <si>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</si>
  <si>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</si>
  <si>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</si>
  <si>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</si>
  <si>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</si>
  <si>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</si>
  <si>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</si>
  <si>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</si>
  <si>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</si>
  <si>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</si>
  <si>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</si>
  <si>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</si>
  <si>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</si>
  <si>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</si>
  <si>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</si>
  <si>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</si>
  <si>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</si>
  <si>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</si>
  <si>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</si>
  <si>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</si>
  <si>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</si>
  <si>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</si>
  <si>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</si>
  <si>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</si>
  <si>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</si>
  <si>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</si>
  <si>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</si>
  <si>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</si>
  <si>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</si>
  <si>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</si>
  <si>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</si>
  <si>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</si>
  <si>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</si>
  <si>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</si>
  <si>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</si>
  <si>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</si>
  <si>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</si>
  <si>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</si>
  <si>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</si>
  <si>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</si>
  <si>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</si>
  <si>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</si>
  <si>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</si>
  <si>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</si>
  <si>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</si>
  <si>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</si>
  <si>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</si>
  <si>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</si>
  <si>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</si>
  <si>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</si>
  <si>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</si>
  <si>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</si>
  <si>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</si>
  <si>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</si>
  <si>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</si>
  <si>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</si>
  <si>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</si>
  <si>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</si>
  <si>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</si>
  <si>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</si>
  <si>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</si>
  <si>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</si>
  <si>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</si>
  <si>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</si>
  <si>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</si>
  <si>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</si>
  <si>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</si>
  <si>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</si>
  <si>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</si>
  <si>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</si>
  <si>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</si>
  <si>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</si>
  <si>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</si>
  <si>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</si>
  <si>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</si>
  <si>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</si>
  <si>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</si>
  <si>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</si>
  <si>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</si>
  <si>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</si>
  <si>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</si>
  <si>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</si>
  <si>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</si>
  <si>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</si>
  <si>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</si>
  <si>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</si>
  <si>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</si>
  <si>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</si>
  <si>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</si>
  <si>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</si>
  <si>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</si>
  <si>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</si>
  <si>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</si>
  <si>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</si>
  <si>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</si>
  <si>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</si>
  <si>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</si>
  <si>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</si>
  <si>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</si>
  <si>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</si>
  <si>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</si>
  <si>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</si>
  <si>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</si>
  <si>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</si>
  <si>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</si>
  <si>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</si>
  <si>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</si>
  <si>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</si>
  <si>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</si>
  <si>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</si>
  <si>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</si>
  <si>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</si>
  <si>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</si>
  <si>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</si>
  <si>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</si>
  <si>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</si>
  <si>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</si>
  <si>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</si>
  <si>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</si>
  <si>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</si>
  <si>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</si>
  <si>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</si>
  <si>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</si>
  <si>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</si>
  <si>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</si>
  <si>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</si>
  <si>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</si>
  <si>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</si>
  <si>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</si>
  <si>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</si>
  <si>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</si>
  <si>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</si>
  <si>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</si>
  <si>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</si>
  <si>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</si>
  <si>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</si>
  <si>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</si>
  <si>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</si>
  <si>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</si>
  <si>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</si>
  <si>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</si>
  <si>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</si>
  <si>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</si>
  <si>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</si>
  <si>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</si>
  <si>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</si>
  <si>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</si>
  <si>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</si>
  <si>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</si>
  <si>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</si>
  <si>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</si>
  <si>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</si>
  <si>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</si>
  <si>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</si>
  <si>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</si>
  <si>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</si>
  <si>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</si>
  <si>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</si>
  <si>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</si>
  <si>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</si>
  <si>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</si>
  <si>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</si>
  <si>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</si>
  <si>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</si>
  <si>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</si>
  <si>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</si>
  <si>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</si>
  <si>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</si>
  <si>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</si>
  <si>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</si>
  <si>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</si>
  <si>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</si>
  <si>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</si>
  <si>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</si>
  <si>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</si>
  <si>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</si>
  <si>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</si>
  <si>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</si>
  <si>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</si>
  <si>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</si>
  <si>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</si>
  <si>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</si>
  <si>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</si>
  <si>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</si>
  <si>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</si>
  <si>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</si>
  <si>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</si>
  <si>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</si>
  <si>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</si>
  <si>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</si>
  <si>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</si>
  <si>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</si>
  <si>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</si>
  <si>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</si>
  <si>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</si>
  <si>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</si>
  <si>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</si>
  <si>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</si>
  <si>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</si>
  <si>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</si>
  <si>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</si>
  <si>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</si>
  <si>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</si>
  <si>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</si>
  <si>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</si>
  <si>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</si>
  <si>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</si>
  <si>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</si>
  <si>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</si>
  <si>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</si>
  <si>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</si>
  <si>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</si>
  <si>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</si>
  <si>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</si>
  <si>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</si>
  <si>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</si>
  <si>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</si>
  <si>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</si>
  <si>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</si>
  <si>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</si>
  <si>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</si>
  <si>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</si>
  <si>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</si>
  <si>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</si>
  <si>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</si>
  <si>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</si>
  <si>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</si>
  <si>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</si>
  <si>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</si>
  <si>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</si>
  <si>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</si>
  <si>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</si>
  <si>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</si>
  <si>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</si>
  <si>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</si>
  <si>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</si>
  <si>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</si>
  <si>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</si>
  <si>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</si>
  <si>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</si>
  <si>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</si>
  <si>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</si>
  <si>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</si>
  <si>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</si>
  <si>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</si>
  <si>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</si>
  <si>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</si>
  <si>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</si>
  <si>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</si>
  <si>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</si>
  <si>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</si>
  <si>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</si>
  <si>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</si>
  <si>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</si>
  <si>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</si>
  <si>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</si>
  <si>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</si>
  <si>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</si>
  <si>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</si>
  <si>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</si>
  <si>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</si>
  <si>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</si>
  <si>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</si>
  <si>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</si>
  <si>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</si>
  <si>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</si>
  <si>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</si>
  <si>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</si>
  <si>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</si>
  <si>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</si>
  <si>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</si>
  <si>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</si>
  <si>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</si>
  <si>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</si>
  <si>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</si>
  <si>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</si>
  <si>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</si>
  <si>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</si>
  <si>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</si>
  <si>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</si>
  <si>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</si>
  <si>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</si>
  <si>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</si>
  <si>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</si>
  <si>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</si>
  <si>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</si>
  <si>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</si>
  <si>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</si>
  <si>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</si>
  <si>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</si>
  <si>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</si>
  <si>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</si>
  <si>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</si>
  <si>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</si>
  <si>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</si>
  <si>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</si>
  <si>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</si>
  <si>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</si>
  <si>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</si>
  <si>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</si>
  <si>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</si>
  <si>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</si>
  <si>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</si>
  <si>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</si>
  <si>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</si>
  <si>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</si>
  <si>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</si>
  <si>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</si>
  <si>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</si>
  <si>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</si>
  <si>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</si>
  <si>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</si>
  <si>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</si>
  <si>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</si>
  <si>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</si>
  <si>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</si>
  <si>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</si>
  <si>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</si>
  <si>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</si>
  <si>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</si>
  <si>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</si>
  <si>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</si>
  <si>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</si>
  <si>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</si>
  <si>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</si>
  <si>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</si>
  <si>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</si>
  <si>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</si>
  <si>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</si>
  <si>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</si>
  <si>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</si>
  <si>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</si>
  <si>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</si>
  <si>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</si>
  <si>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</si>
  <si>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</si>
  <si>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</si>
  <si>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</si>
  <si>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</si>
  <si>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</si>
  <si>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</si>
  <si>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</si>
  <si>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</si>
  <si>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</si>
  <si>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</si>
  <si>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</si>
  <si>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</si>
  <si>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</si>
  <si>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</si>
  <si>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</si>
  <si>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</si>
  <si>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</si>
  <si>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</si>
  <si>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</si>
  <si>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</si>
  <si>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</si>
  <si>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</si>
  <si>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</si>
  <si>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</si>
  <si>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</si>
  <si>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</si>
  <si>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</si>
  <si>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</si>
  <si>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</si>
  <si>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</si>
  <si>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</si>
  <si>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</si>
  <si>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</si>
  <si>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</si>
  <si>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</si>
  <si>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</si>
  <si>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</si>
  <si>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</si>
  <si>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</si>
  <si>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</si>
  <si>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</si>
  <si>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</si>
  <si>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</si>
  <si>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</si>
  <si>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</si>
  <si>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</si>
  <si>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</si>
  <si>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</si>
  <si>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</si>
  <si>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</si>
  <si>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</si>
  <si>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</si>
  <si>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</si>
  <si>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</si>
  <si>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</si>
  <si>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</si>
  <si>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</si>
  <si>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</si>
  <si>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</si>
  <si>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</si>
  <si>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</si>
  <si>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</si>
  <si>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</si>
  <si>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</si>
  <si>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</si>
  <si>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</si>
  <si>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</si>
  <si>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</si>
  <si>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</si>
  <si>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</si>
  <si>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</si>
  <si>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</si>
  <si>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</si>
  <si>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</si>
  <si>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</si>
  <si>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</si>
  <si>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</si>
  <si>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</si>
  <si>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</si>
  <si>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</si>
  <si>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</si>
  <si>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</si>
  <si>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</si>
  <si>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</si>
  <si>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</si>
  <si>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</si>
  <si>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</si>
  <si>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</si>
  <si>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</si>
  <si>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</si>
  <si>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</si>
  <si>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</si>
  <si>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</si>
  <si>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</si>
  <si>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</si>
  <si>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</si>
  <si>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</si>
  <si>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</si>
  <si>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</si>
  <si>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</si>
  <si>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</si>
  <si>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</si>
  <si>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</si>
  <si>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</si>
  <si>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</si>
  <si>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</si>
  <si>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</si>
  <si>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</si>
  <si>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</si>
  <si>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</si>
  <si>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</si>
  <si>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</si>
  <si>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</si>
  <si>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</si>
  <si>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</si>
  <si>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</si>
  <si>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</si>
  <si>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</si>
  <si>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</si>
  <si>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</si>
  <si>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</si>
  <si>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</si>
  <si>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</si>
  <si>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</si>
  <si>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</si>
  <si>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</si>
  <si>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</si>
  <si>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</si>
  <si>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</si>
  <si>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</si>
  <si>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</si>
  <si>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</si>
  <si>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</si>
  <si>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</si>
  <si>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</si>
  <si>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</si>
  <si>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</si>
  <si>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</si>
  <si>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</si>
  <si>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</si>
  <si>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</si>
  <si>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</si>
  <si>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</si>
  <si>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</si>
  <si>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</si>
  <si>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</si>
  <si>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</si>
  <si>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</si>
  <si>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</si>
  <si>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</si>
  <si>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</si>
  <si>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</si>
  <si>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</si>
  <si>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</si>
  <si>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</si>
  <si>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</si>
  <si>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</si>
  <si>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</si>
  <si>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</si>
  <si>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</si>
  <si>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</si>
  <si>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</si>
  <si>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</si>
  <si>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</si>
  <si>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</si>
  <si>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</si>
  <si>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</si>
  <si>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</si>
  <si>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</si>
  <si>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</si>
  <si>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</si>
  <si>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</si>
  <si>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</si>
  <si>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</si>
  <si>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</si>
  <si>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</si>
  <si>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</si>
  <si>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</si>
  <si>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</si>
  <si>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</si>
  <si>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</si>
  <si>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</si>
  <si>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</si>
  <si>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</si>
  <si>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</si>
  <si>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</si>
  <si>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</si>
  <si>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</si>
  <si>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</si>
  <si>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</si>
  <si>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</si>
  <si>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</si>
  <si>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</si>
  <si>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</si>
  <si>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</si>
  <si>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</si>
  <si>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</si>
  <si>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</si>
  <si>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</si>
  <si>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</si>
  <si>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</si>
  <si>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</si>
  <si>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</si>
  <si>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</si>
  <si>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</si>
  <si>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</si>
  <si>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</si>
  <si>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</si>
  <si>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</si>
  <si>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</si>
  <si>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</si>
  <si>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</si>
  <si>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</si>
  <si>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</si>
  <si>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</si>
  <si>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</si>
  <si>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</si>
  <si>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</si>
  <si>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</si>
  <si>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</si>
  <si>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</si>
  <si>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</si>
  <si>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</si>
  <si>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</si>
  <si>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</si>
  <si>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</si>
  <si>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</si>
  <si>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</si>
  <si>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</si>
  <si>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</si>
  <si>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</si>
  <si>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</si>
  <si>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</si>
  <si>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</si>
  <si>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</si>
  <si>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</si>
  <si>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</si>
  <si>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</si>
  <si>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</si>
  <si>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</si>
  <si>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</si>
  <si>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</si>
  <si>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</si>
  <si>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</si>
  <si>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</si>
  <si>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</si>
  <si>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</si>
  <si>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</si>
  <si>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</si>
  <si>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</si>
  <si>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</si>
  <si>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</si>
  <si>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</si>
  <si>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</si>
  <si>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</si>
  <si>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</si>
  <si>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</si>
  <si>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</si>
  <si>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</si>
  <si>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</si>
  <si>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</si>
  <si>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</si>
  <si>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</si>
  <si>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</si>
  <si>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</si>
  <si>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</si>
  <si>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</si>
  <si>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</si>
  <si>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</si>
  <si>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</si>
  <si>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</si>
  <si>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</si>
  <si>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</si>
  <si>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</si>
  <si>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</si>
  <si>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</si>
  <si>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</si>
  <si>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</si>
  <si>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</si>
  <si>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</si>
  <si>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</si>
  <si>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</si>
  <si>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</si>
  <si>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</si>
  <si>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</si>
  <si>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</si>
  <si>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</si>
  <si>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</si>
  <si>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</si>
  <si>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</si>
  <si>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</si>
  <si>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</si>
  <si>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</si>
  <si>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</si>
  <si>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</si>
  <si>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</si>
  <si>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</si>
  <si>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</si>
  <si>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</si>
  <si>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</si>
  <si>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</si>
  <si>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</si>
  <si>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</si>
  <si>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</si>
  <si>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</si>
  <si>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</si>
  <si>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</si>
  <si>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</si>
  <si>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</si>
  <si>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</si>
  <si>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</si>
  <si>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</si>
  <si>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</si>
  <si>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</si>
  <si>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</si>
  <si>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</si>
  <si>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</si>
  <si>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</si>
  <si>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</si>
  <si>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</si>
  <si>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</si>
  <si>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</si>
  <si>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</si>
  <si>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</si>
  <si>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</si>
  <si>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</si>
  <si>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</si>
  <si>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</si>
  <si>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</si>
  <si>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</si>
  <si>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</si>
  <si>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</si>
  <si>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</si>
  <si>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</si>
  <si>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</si>
  <si>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</si>
  <si>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</si>
  <si>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</si>
  <si>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</si>
  <si>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</si>
  <si>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</si>
  <si>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</si>
  <si>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</si>
  <si>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</si>
  <si>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</si>
  <si>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</si>
  <si>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</si>
  <si>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</si>
  <si>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</si>
  <si>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</si>
  <si>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</si>
  <si>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</si>
  <si>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</si>
  <si>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</si>
  <si>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</si>
  <si>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</si>
  <si>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</si>
  <si>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</si>
  <si>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</si>
  <si>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</si>
  <si>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</si>
  <si>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</si>
  <si>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</si>
  <si>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</si>
  <si>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</si>
  <si>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</si>
  <si>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</si>
  <si>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</si>
  <si>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</si>
  <si>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</si>
  <si>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</si>
  <si>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</si>
  <si>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</si>
  <si>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</si>
  <si>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</si>
  <si>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</si>
  <si>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</si>
  <si>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</si>
  <si>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</si>
  <si>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</si>
  <si>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</si>
  <si>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</si>
  <si>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</si>
  <si>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</si>
  <si>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</si>
  <si>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</si>
  <si>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</si>
  <si>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</si>
  <si>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</si>
  <si>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</si>
  <si>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</si>
  <si>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</si>
  <si>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</si>
  <si>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</si>
  <si>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</si>
  <si>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</si>
  <si>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</si>
  <si>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</si>
  <si>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</si>
  <si>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</si>
  <si>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</si>
  <si>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</si>
  <si>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</si>
  <si>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</si>
  <si>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</si>
  <si>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</si>
  <si>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</si>
  <si>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</si>
  <si>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</si>
  <si>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</si>
  <si>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</si>
  <si>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</si>
  <si>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</si>
  <si>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</si>
  <si>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</si>
  <si>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</si>
  <si>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</si>
  <si>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</si>
  <si>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</si>
  <si>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</si>
  <si>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</si>
  <si>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</si>
  <si>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</si>
  <si>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</si>
  <si>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</si>
  <si>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</si>
  <si>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</si>
  <si>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</si>
  <si>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</si>
  <si>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</si>
  <si>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</si>
  <si>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</si>
  <si>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</si>
  <si>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</si>
  <si>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</si>
  <si>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</si>
  <si>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</si>
  <si>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</si>
  <si>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</si>
  <si>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</si>
  <si>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</si>
  <si>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</si>
  <si>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</si>
  <si>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</si>
  <si>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</si>
  <si>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</si>
  <si>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</si>
  <si>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</si>
  <si>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</si>
  <si>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</si>
  <si>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</si>
  <si>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</si>
  <si>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</si>
  <si>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</si>
  <si>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</si>
  <si>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</si>
  <si>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</si>
  <si>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</si>
  <si>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</si>
  <si>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</si>
  <si>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</si>
  <si>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</si>
  <si>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</si>
  <si>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</si>
  <si>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</si>
  <si>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</si>
  <si>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</si>
  <si>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</si>
  <si>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</si>
  <si>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</si>
  <si>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</si>
  <si>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</si>
  <si>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</si>
  <si>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</si>
  <si>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</si>
  <si>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</si>
  <si>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</si>
  <si>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</si>
  <si>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</si>
  <si>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</si>
  <si>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</si>
  <si>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</si>
  <si>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</si>
  <si>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</si>
  <si>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</si>
  <si>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</si>
  <si>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</si>
  <si>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</si>
  <si>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</si>
  <si>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</si>
  <si>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</si>
  <si>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</si>
  <si>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</si>
  <si>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</si>
  <si>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</si>
  <si>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</si>
  <si>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</si>
  <si>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</si>
  <si>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</si>
  <si>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</si>
  <si>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</si>
  <si>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</si>
  <si>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</si>
  <si>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</si>
  <si>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</si>
  <si>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</si>
  <si>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</si>
  <si>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</si>
  <si>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</si>
  <si>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</si>
  <si>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</si>
  <si>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</si>
  <si>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</si>
  <si>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</si>
  <si>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</si>
  <si>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</si>
  <si>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</si>
  <si>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</si>
  <si>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</si>
  <si>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</si>
  <si>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</si>
  <si>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</si>
  <si>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</si>
  <si>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</si>
  <si>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</si>
  <si>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</si>
  <si>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</si>
  <si>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</si>
  <si>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</si>
  <si>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</si>
  <si>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</si>
  <si>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</si>
  <si>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</si>
  <si>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</si>
  <si>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</si>
  <si>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</si>
  <si>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</si>
  <si>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</si>
  <si>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</si>
  <si>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</si>
  <si>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</si>
  <si>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</si>
  <si>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</si>
  <si>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</si>
  <si>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</si>
  <si>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</si>
  <si>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</si>
  <si>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</si>
  <si>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</si>
  <si>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</si>
  <si>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</si>
  <si>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</si>
  <si>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</si>
  <si>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</si>
  <si>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</si>
  <si>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</si>
  <si>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</si>
  <si>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</si>
  <si>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</si>
  <si>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</si>
  <si>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</si>
  <si>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</si>
  <si>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</si>
  <si>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</si>
  <si>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</si>
  <si>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</si>
  <si>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</si>
  <si>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</si>
  <si>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</si>
  <si>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</si>
  <si>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</si>
  <si>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</si>
  <si>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</si>
  <si>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</si>
  <si>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</si>
  <si>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</si>
  <si>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</si>
  <si>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</si>
  <si>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</si>
  <si>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</si>
  <si>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</si>
  <si>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</si>
  <si>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</si>
  <si>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</si>
  <si>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</si>
  <si>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</si>
  <si>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</si>
  <si>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</si>
  <si>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</si>
  <si>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</si>
  <si>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</si>
  <si>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</si>
  <si>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</si>
  <si>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</si>
  <si>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</si>
  <si>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</si>
  <si>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</si>
  <si>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</si>
  <si>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</si>
  <si>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</si>
  <si>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</si>
  <si>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</si>
  <si>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</si>
  <si>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</si>
  <si>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</si>
  <si>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</si>
  <si>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</si>
  <si>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</si>
  <si>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</si>
  <si>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</si>
  <si>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</si>
  <si>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</si>
  <si>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</si>
  <si>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</si>
  <si>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</si>
  <si>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</si>
  <si>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</si>
  <si>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</si>
  <si>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</si>
  <si>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</si>
  <si>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</si>
  <si>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</si>
  <si>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</si>
  <si>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</si>
  <si>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</si>
  <si>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</si>
  <si>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</si>
  <si>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</si>
  <si>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</si>
  <si>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</si>
  <si>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</si>
  <si>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</si>
  <si>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</si>
  <si>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</si>
  <si>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</si>
  <si>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</si>
  <si>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</si>
  <si>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</si>
  <si>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</si>
  <si>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</si>
  <si>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</si>
  <si>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</si>
  <si>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</si>
  <si>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</si>
  <si>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</si>
  <si>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</si>
  <si>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</si>
  <si>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</si>
  <si>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</si>
  <si>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</si>
  <si>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</si>
  <si>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</si>
  <si>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</si>
  <si>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</si>
  <si>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</si>
  <si>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</si>
  <si>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</si>
  <si>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</si>
  <si>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</si>
  <si>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</si>
  <si>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</si>
  <si>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</si>
  <si>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</si>
  <si>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</si>
  <si>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</si>
  <si>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</si>
  <si>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</si>
  <si>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</si>
  <si>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</si>
  <si>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</si>
  <si>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</si>
  <si>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</si>
  <si>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</si>
  <si>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</si>
  <si>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</si>
  <si>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</si>
  <si>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</si>
  <si>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</si>
  <si>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</si>
  <si>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</si>
  <si>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</si>
  <si>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</si>
  <si>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</si>
  <si>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</si>
  <si>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</si>
  <si>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</si>
  <si>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</si>
  <si>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</si>
  <si>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</si>
  <si>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</si>
  <si>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</si>
  <si>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</si>
  <si>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</si>
  <si>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</si>
  <si>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</si>
  <si>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</si>
  <si>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</si>
  <si>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</si>
  <si>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</si>
  <si>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</si>
  <si>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</si>
  <si>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</si>
  <si>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</si>
  <si>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</si>
  <si>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</si>
  <si>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</si>
  <si>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</si>
  <si>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</si>
  <si>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</si>
  <si>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</si>
  <si>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</si>
  <si>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</si>
  <si>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</si>
  <si>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</si>
  <si>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</si>
  <si>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</si>
  <si>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</si>
  <si>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</si>
  <si>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</si>
  <si>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</si>
  <si>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</si>
  <si>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</si>
  <si>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</si>
  <si>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</si>
  <si>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</si>
  <si>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</si>
  <si>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</si>
  <si>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</si>
  <si>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</si>
  <si>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</si>
  <si>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</si>
  <si>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</si>
  <si>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</si>
  <si>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</si>
  <si>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</si>
  <si>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</si>
  <si>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</si>
  <si>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</si>
  <si>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</si>
  <si>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</si>
  <si>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</si>
  <si>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</si>
  <si>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</si>
  <si>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</si>
  <si>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</si>
  <si>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</si>
  <si>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</si>
  <si>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</si>
  <si>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</si>
  <si>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</si>
  <si>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</si>
  <si>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</si>
  <si>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</si>
  <si>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</si>
  <si>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</si>
  <si>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</si>
  <si>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</si>
  <si>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</si>
  <si>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</si>
  <si>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</si>
  <si>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</si>
  <si>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</si>
  <si>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</si>
  <si>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</si>
  <si>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</si>
  <si>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</si>
  <si>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</si>
  <si>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</si>
  <si>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</si>
  <si>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</si>
  <si>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</si>
  <si>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</si>
  <si>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</si>
  <si>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</si>
  <si>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</si>
  <si>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</si>
  <si>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</si>
  <si>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</si>
  <si>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</si>
  <si>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</si>
  <si>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</si>
  <si>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</si>
  <si>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</si>
  <si>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</si>
  <si>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</si>
  <si>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</si>
  <si>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</si>
  <si>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</si>
  <si>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</si>
  <si>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</si>
  <si>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</si>
  <si>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</si>
  <si>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</si>
  <si>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</si>
  <si>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</si>
  <si>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</si>
  <si>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</si>
  <si>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</si>
  <si>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</si>
  <si>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</si>
  <si>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</si>
  <si>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</si>
  <si>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</si>
  <si>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</si>
  <si>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</si>
  <si>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</si>
  <si>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</si>
  <si>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</si>
  <si>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</si>
  <si>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</si>
  <si>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</si>
  <si>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</si>
  <si>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</si>
  <si>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</si>
  <si>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</si>
  <si>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</si>
  <si>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</si>
  <si>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</si>
  <si>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</si>
  <si>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</si>
  <si>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</si>
  <si>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</si>
  <si>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</si>
  <si>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</si>
  <si>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</si>
  <si>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</si>
  <si>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</si>
  <si>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</si>
  <si>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</si>
  <si>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</si>
  <si>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</si>
  <si>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</si>
  <si>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</si>
  <si>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</si>
  <si>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</si>
  <si>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华强科技</t>
  </si>
  <si>
    <t>www.lixinger.com/analytics/company/sh/688151/688151/detail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</si>
  <si>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</si>
  <si>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</si>
  <si>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</si>
  <si>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</si>
  <si>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</si>
  <si>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</si>
  <si>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</si>
  <si>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</si>
  <si>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</si>
  <si>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</si>
  <si>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</si>
  <si>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</si>
  <si>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</si>
  <si>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</si>
  <si>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</si>
  <si>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</si>
  <si>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</si>
  <si>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</si>
  <si>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</si>
  <si>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</si>
  <si>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</si>
  <si>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</si>
  <si>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</si>
  <si>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</si>
  <si>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</si>
  <si>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</si>
  <si>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</si>
  <si>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</si>
  <si>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纬德信息</t>
  </si>
  <si>
    <t>www.lixinger.com/analytics/company/sh/688171/688171/detail</t>
  </si>
  <si>
    <t>希荻微</t>
  </si>
  <si>
    <t>www.lixinger.com/analytics/company/sh/688173/688173/detail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</si>
  <si>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</si>
  <si>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</si>
  <si>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</si>
  <si>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</si>
  <si>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</si>
  <si>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</si>
  <si>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</si>
  <si>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</si>
  <si>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</si>
  <si>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</si>
  <si>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</si>
  <si>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</si>
  <si>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</si>
  <si>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</si>
  <si>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</si>
  <si>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</si>
  <si>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</si>
  <si>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</si>
  <si>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</si>
  <si>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</si>
  <si>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</si>
  <si>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</si>
  <si>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</si>
  <si>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</si>
  <si>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</si>
  <si>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</si>
  <si>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</si>
  <si>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</si>
  <si>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</si>
  <si>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</si>
  <si>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</si>
  <si>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</si>
  <si>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</si>
  <si>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</si>
  <si>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</si>
  <si>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</si>
  <si>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</si>
  <si>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</si>
  <si>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</si>
  <si>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</si>
  <si>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</si>
  <si>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</si>
  <si>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</si>
  <si>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</si>
  <si>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</si>
  <si>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</si>
  <si>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</si>
  <si>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</si>
  <si>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</si>
  <si>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</si>
  <si>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</si>
  <si>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</si>
  <si>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</si>
  <si>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</si>
  <si>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</si>
  <si>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</si>
  <si>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</si>
  <si>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</si>
  <si>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</si>
  <si>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</si>
  <si>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</si>
  <si>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</si>
  <si>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</si>
  <si>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</si>
  <si>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</si>
  <si>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</si>
  <si>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</si>
  <si>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</si>
  <si>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</si>
  <si>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</si>
  <si>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</si>
  <si>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</si>
  <si>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</si>
  <si>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</si>
  <si>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</si>
  <si>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</si>
  <si>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</si>
  <si>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</si>
  <si>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</si>
  <si>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</si>
  <si>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</si>
  <si>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</si>
  <si>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</si>
  <si>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</si>
  <si>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</si>
  <si>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</si>
  <si>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</si>
  <si>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</si>
  <si>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</si>
  <si>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</si>
  <si>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</si>
  <si>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</si>
  <si>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</si>
  <si>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</si>
  <si>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</si>
  <si>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</si>
  <si>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</si>
  <si>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</si>
  <si>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</si>
  <si>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</si>
  <si>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</si>
  <si>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</si>
  <si>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</si>
  <si>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</si>
  <si>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</si>
  <si>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</si>
  <si>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</si>
  <si>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</si>
  <si>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</si>
  <si>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</si>
  <si>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</si>
  <si>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</si>
  <si>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</si>
  <si>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</si>
  <si>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</si>
  <si>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</si>
  <si>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</si>
  <si>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</si>
  <si>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</si>
  <si>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</si>
  <si>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</si>
  <si>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</si>
  <si>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</si>
  <si>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</si>
  <si>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</si>
  <si>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</si>
  <si>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</si>
  <si>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</si>
  <si>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</si>
  <si>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</si>
  <si>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</si>
  <si>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</si>
  <si>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</si>
  <si>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</si>
  <si>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</si>
  <si>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</si>
  <si>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</si>
  <si>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</si>
  <si>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</si>
  <si>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</si>
  <si>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</si>
  <si>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</si>
  <si>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</si>
  <si>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</si>
  <si>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</si>
  <si>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</si>
  <si>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</si>
  <si>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</si>
  <si>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</si>
  <si>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</si>
  <si>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</si>
  <si>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</si>
  <si>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</si>
  <si>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</si>
  <si>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</si>
  <si>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</si>
  <si>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</si>
  <si>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</si>
  <si>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</si>
  <si>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</si>
  <si>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</si>
  <si>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</si>
  <si>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</si>
  <si>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</si>
  <si>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</si>
  <si>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</si>
  <si>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</si>
  <si>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</si>
  <si>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</si>
  <si>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</si>
  <si>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</si>
  <si>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</si>
  <si>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</si>
  <si>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</si>
  <si>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</si>
  <si>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</si>
  <si>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</si>
  <si>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</si>
  <si>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</si>
  <si>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</si>
  <si>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</si>
  <si>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</si>
  <si>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</si>
  <si>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</si>
  <si>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</si>
  <si>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</si>
  <si>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</si>
  <si>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</si>
  <si>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</si>
  <si>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</si>
  <si>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</si>
  <si>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</si>
  <si>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</si>
  <si>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</si>
  <si>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</si>
  <si>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</si>
  <si>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</si>
  <si>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</si>
  <si>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</si>
  <si>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</si>
  <si>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</si>
  <si>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微芯生物</t>
  </si>
  <si>
    <t>www.lixinger.com/analytics/company/sh/688321/688321/detail</t>
  </si>
  <si>
    <t>瑞华泰</t>
  </si>
  <si>
    <t>www.lixinger.com/analytics/company/sh/688323/688323/detail</t>
  </si>
  <si>
    <t>经纬恒润</t>
  </si>
  <si>
    <t>www.lixinger.com/analytics/company/sh/688326/688326/detail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</si>
  <si>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</si>
  <si>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</si>
  <si>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</si>
  <si>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</si>
  <si>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</si>
  <si>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</si>
  <si>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</si>
  <si>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</si>
  <si>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</si>
  <si>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</si>
  <si>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</si>
  <si>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</si>
  <si>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</si>
  <si>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</si>
  <si>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</si>
  <si>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</si>
  <si>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</si>
  <si>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</si>
  <si>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</si>
  <si>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</si>
  <si>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</si>
  <si>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</si>
  <si>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</si>
  <si>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</si>
  <si>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</si>
  <si>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</si>
  <si>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</si>
  <si>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</si>
  <si>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</si>
  <si>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</si>
  <si>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</si>
  <si>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</si>
  <si>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</si>
  <si>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</si>
  <si>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</si>
  <si>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</si>
  <si>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</si>
  <si>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</si>
  <si>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</si>
  <si>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</si>
  <si>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</si>
  <si>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</si>
  <si>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</si>
  <si>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</si>
  <si>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</si>
  <si>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</si>
  <si>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</si>
  <si>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</si>
  <si>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</si>
  <si>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</si>
  <si>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</si>
  <si>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</si>
  <si>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</si>
  <si>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</si>
  <si>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</si>
  <si>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</si>
  <si>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</si>
  <si>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</si>
  <si>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</si>
  <si>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</si>
  <si>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</si>
  <si>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</si>
  <si>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</si>
  <si>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</si>
  <si>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</si>
  <si>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</si>
  <si>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</si>
  <si>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</si>
  <si>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</si>
  <si>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</si>
  <si>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</si>
  <si>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</si>
  <si>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</si>
  <si>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</si>
  <si>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</si>
  <si>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</si>
  <si>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</si>
  <si>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</si>
  <si>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</si>
  <si>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</si>
  <si>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</si>
  <si>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</si>
  <si>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</si>
  <si>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</si>
  <si>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</si>
  <si>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</si>
  <si>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</si>
  <si>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</si>
  <si>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</si>
  <si>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</si>
  <si>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</si>
  <si>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</si>
  <si>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</si>
  <si>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</si>
  <si>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</si>
  <si>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</si>
  <si>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</si>
  <si>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</si>
  <si>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</si>
  <si>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</si>
  <si>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</si>
  <si>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</si>
  <si>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</si>
  <si>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</si>
  <si>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</si>
  <si>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</si>
  <si>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</si>
  <si>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</si>
  <si>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</si>
  <si>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</si>
  <si>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</si>
  <si>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</si>
  <si>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</si>
  <si>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</si>
  <si>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</si>
  <si>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</si>
  <si>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</si>
  <si>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</si>
  <si>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</si>
  <si>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</si>
  <si>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</si>
  <si>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</si>
  <si>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</si>
  <si>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</si>
  <si>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</si>
  <si>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</si>
  <si>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</si>
  <si>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</si>
  <si>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</si>
  <si>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</si>
  <si>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</si>
  <si>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</si>
  <si>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</si>
  <si>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</si>
  <si>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</si>
  <si>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</si>
  <si>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</si>
  <si>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</si>
  <si>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</si>
  <si>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</si>
  <si>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</si>
  <si>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</si>
  <si>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</si>
  <si>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</si>
  <si>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</si>
  <si>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</si>
  <si>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</si>
  <si>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</si>
  <si>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</si>
  <si>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</si>
  <si>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</si>
  <si>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</si>
  <si>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</si>
  <si>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</si>
  <si>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</si>
  <si>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</si>
  <si>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</si>
  <si>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</si>
  <si>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</si>
  <si>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</si>
  <si>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</si>
  <si>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</si>
  <si>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</si>
  <si>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</si>
  <si>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</si>
  <si>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</si>
  <si>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</si>
  <si>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</si>
  <si>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</si>
  <si>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</si>
  <si>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</si>
  <si>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</si>
  <si>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</si>
  <si>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</si>
  <si>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</si>
  <si>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</si>
  <si>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</si>
  <si>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</si>
  <si>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</si>
  <si>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</si>
  <si>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</si>
  <si>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</si>
  <si>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</si>
  <si>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</si>
  <si>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</si>
  <si>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</si>
  <si>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</si>
  <si>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</si>
  <si>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</si>
  <si>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</si>
  <si>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</si>
  <si>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</si>
  <si>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</si>
  <si>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</si>
  <si>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</si>
  <si>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</si>
  <si>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</si>
  <si>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</si>
  <si>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</si>
  <si>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</si>
  <si>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</si>
  <si>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</si>
  <si>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</si>
  <si>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</si>
  <si>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</si>
  <si>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</si>
  <si>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</si>
  <si>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</si>
  <si>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</si>
  <si>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</si>
  <si>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</si>
  <si>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</si>
  <si>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</si>
  <si>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</si>
  <si>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</si>
  <si>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</si>
  <si>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</si>
  <si>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</si>
  <si>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</si>
  <si>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</si>
  <si>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</si>
  <si>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</si>
  <si>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</si>
  <si>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</si>
  <si>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</si>
  <si>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</si>
  <si>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</si>
  <si>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</si>
  <si>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</si>
  <si>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</si>
  <si>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</si>
  <si>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</si>
  <si>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</si>
  <si>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</si>
  <si>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</si>
  <si>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</si>
  <si>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</si>
  <si>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</si>
  <si>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</si>
  <si>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</si>
  <si>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</si>
  <si>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</si>
  <si>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</si>
  <si>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</si>
  <si>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</si>
  <si>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</si>
  <si>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</si>
  <si>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</si>
  <si>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</si>
  <si>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</si>
  <si>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</si>
  <si>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</si>
  <si>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</si>
  <si>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</si>
  <si>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</si>
  <si>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</si>
  <si>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</si>
  <si>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</si>
  <si>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</si>
  <si>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</si>
  <si>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</si>
  <si>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</si>
  <si>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</si>
  <si>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</si>
  <si>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</si>
  <si>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</si>
  <si>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</si>
  <si>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</si>
  <si>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</si>
  <si>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</si>
  <si>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</si>
  <si>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</si>
  <si>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</si>
  <si>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</si>
  <si>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</si>
  <si>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</si>
  <si>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</si>
  <si>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</si>
  <si>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</si>
  <si>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</si>
  <si>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</si>
  <si>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</si>
  <si>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</si>
  <si>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</si>
  <si>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</si>
  <si>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</si>
  <si>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</si>
  <si>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</si>
  <si>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</si>
  <si>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</si>
  <si>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</si>
  <si>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</si>
  <si>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</si>
  <si>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</si>
  <si>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</si>
  <si>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</si>
  <si>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</si>
  <si>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</si>
  <si>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</si>
  <si>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</si>
  <si>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</si>
  <si>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</si>
  <si>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</si>
  <si>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</si>
  <si>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</si>
  <si>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</si>
  <si>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</si>
  <si>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</si>
  <si>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</si>
  <si>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</si>
  <si>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</si>
  <si>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</si>
  <si>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</si>
  <si>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</si>
  <si>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</si>
  <si>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</si>
  <si>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</si>
  <si>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</si>
  <si>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</si>
  <si>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</si>
  <si>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</si>
  <si>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</si>
  <si>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</si>
  <si>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</si>
  <si>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</si>
  <si>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</si>
  <si>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</si>
  <si>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</si>
  <si>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</si>
  <si>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</si>
  <si>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</si>
  <si>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</si>
  <si>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</si>
  <si>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</si>
  <si>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</si>
  <si>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</si>
  <si>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</si>
  <si>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</si>
  <si>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</si>
  <si>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</si>
  <si>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</si>
  <si>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</si>
  <si>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</si>
  <si>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</si>
  <si>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</si>
  <si>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</si>
  <si>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</si>
  <si>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</si>
  <si>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</si>
  <si>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</si>
  <si>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</si>
  <si>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</si>
  <si>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</si>
  <si>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</si>
  <si>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</si>
  <si>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</si>
  <si>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</si>
  <si>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</si>
  <si>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</si>
  <si>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</si>
  <si>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</si>
  <si>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</si>
  <si>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</si>
  <si>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</si>
  <si>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</si>
  <si>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</si>
  <si>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</si>
  <si>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</si>
  <si>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</si>
  <si>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</si>
  <si>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</si>
  <si>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</si>
  <si>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</si>
  <si>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</si>
  <si>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</si>
  <si>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</si>
  <si>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</si>
  <si>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</si>
  <si>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</si>
  <si>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</si>
  <si>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</si>
  <si>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</si>
  <si>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</si>
  <si>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</si>
  <si>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</si>
  <si>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</si>
  <si>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</si>
  <si>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</si>
  <si>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</si>
  <si>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</si>
  <si>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</si>
  <si>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</si>
  <si>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</si>
  <si>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</si>
  <si>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</si>
  <si>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</si>
  <si>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</si>
  <si>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</si>
  <si>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</si>
  <si>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</si>
  <si>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</si>
  <si>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</si>
  <si>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</si>
  <si>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</si>
  <si>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</si>
  <si>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</si>
  <si>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</si>
  <si>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</si>
  <si>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</si>
  <si>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</si>
  <si>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</si>
  <si>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</si>
  <si>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</si>
  <si>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</si>
  <si>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</si>
  <si>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</si>
  <si>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</si>
  <si>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</si>
  <si>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</si>
  <si>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</si>
  <si>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</si>
  <si>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</si>
  <si>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</si>
  <si>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</si>
  <si>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</si>
  <si>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</si>
  <si>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</si>
  <si>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</si>
  <si>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</si>
  <si>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</si>
  <si>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</si>
  <si>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</si>
  <si>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</si>
  <si>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</si>
  <si>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</si>
  <si>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</si>
  <si>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</si>
  <si>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</si>
  <si>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</si>
  <si>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</si>
  <si>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</si>
  <si>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</si>
  <si>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</si>
  <si>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</si>
  <si>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</si>
  <si>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</si>
  <si>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</si>
  <si>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</si>
  <si>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</si>
  <si>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</si>
  <si>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</si>
  <si>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</si>
  <si>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</si>
  <si>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</si>
  <si>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</si>
  <si>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</si>
  <si>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</si>
  <si>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</si>
  <si>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</si>
  <si>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</si>
  <si>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</si>
  <si>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</si>
  <si>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</si>
  <si>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</si>
  <si>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</si>
  <si>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</si>
  <si>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</si>
  <si>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</si>
  <si>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</si>
  <si>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</si>
  <si>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</si>
  <si>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</si>
  <si>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</si>
  <si>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</si>
  <si>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</si>
  <si>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</si>
  <si>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</si>
  <si>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</si>
  <si>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</si>
  <si>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</si>
  <si>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</si>
  <si>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</si>
  <si>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</si>
  <si>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</si>
  <si>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</si>
  <si>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</si>
  <si>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</si>
  <si>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</si>
  <si>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</si>
  <si>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</si>
  <si>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</si>
  <si>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</si>
  <si>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</si>
  <si>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</si>
  <si>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</si>
  <si>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</si>
  <si>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</si>
  <si>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</si>
  <si>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</si>
  <si>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</si>
  <si>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</si>
  <si>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</si>
  <si>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</si>
  <si>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</si>
  <si>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</si>
  <si>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</si>
  <si>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</si>
  <si>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</si>
  <si>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</si>
  <si>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</si>
  <si>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</si>
  <si>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</si>
  <si>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</si>
  <si>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</si>
  <si>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</si>
  <si>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</si>
  <si>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</si>
  <si>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</si>
  <si>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</si>
  <si>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</si>
  <si>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</si>
  <si>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</si>
  <si>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</si>
  <si>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</si>
  <si>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</si>
  <si>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</si>
  <si>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</si>
  <si>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</si>
  <si>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</si>
  <si>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</si>
  <si>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</si>
  <si>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</si>
  <si>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</si>
  <si>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</si>
  <si>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</si>
  <si>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</si>
  <si>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</si>
  <si>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</si>
  <si>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</si>
  <si>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</si>
  <si>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</si>
  <si>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</si>
  <si>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</si>
  <si>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</si>
  <si>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</si>
  <si>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</si>
  <si>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</si>
  <si>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</si>
  <si>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</si>
  <si>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</si>
  <si>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</si>
  <si>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</si>
  <si>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</si>
  <si>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</si>
  <si>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</si>
  <si>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</si>
  <si>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</si>
  <si>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</si>
  <si>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</si>
  <si>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</si>
  <si>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</si>
  <si>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</si>
  <si>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</si>
  <si>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</si>
  <si>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</si>
  <si>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</si>
  <si>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</si>
  <si>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</si>
  <si>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</si>
  <si>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</si>
  <si>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</si>
  <si>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</si>
  <si>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</si>
  <si>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</si>
  <si>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</si>
  <si>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</si>
  <si>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</si>
  <si>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</si>
  <si>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</si>
  <si>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</si>
  <si>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</si>
  <si>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</si>
  <si>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</si>
  <si>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</si>
  <si>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</si>
  <si>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</si>
  <si>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</si>
  <si>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</si>
  <si>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</si>
  <si>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</si>
  <si>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</si>
  <si>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</si>
  <si>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</si>
  <si>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</si>
  <si>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</si>
  <si>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</si>
  <si>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</si>
  <si>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</si>
  <si>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</si>
  <si>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</si>
  <si>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</si>
  <si>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</si>
  <si>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</si>
  <si>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</si>
  <si>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</si>
  <si>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</si>
  <si>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</si>
  <si>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</si>
  <si>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</si>
  <si>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</si>
  <si>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</si>
  <si>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</si>
  <si>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</si>
  <si>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</si>
  <si>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</si>
  <si>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</si>
  <si>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</si>
  <si>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</si>
  <si>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</si>
  <si>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</si>
  <si>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</si>
  <si>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</si>
  <si>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</si>
  <si>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</si>
  <si>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</si>
  <si>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</si>
  <si>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</si>
  <si>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</si>
  <si>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</si>
  <si>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</si>
  <si>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</si>
  <si>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</si>
  <si>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</si>
  <si>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</si>
  <si>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</si>
  <si>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</si>
  <si>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</si>
  <si>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</si>
  <si>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</si>
  <si>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</si>
  <si>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</si>
  <si>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</si>
  <si>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</si>
  <si>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</si>
  <si>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</si>
  <si>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</si>
  <si>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</si>
  <si>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</si>
  <si>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</si>
  <si>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</si>
  <si>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</si>
  <si>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</si>
  <si>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</si>
  <si>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</si>
  <si>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</si>
  <si>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</si>
  <si>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</si>
  <si>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</si>
  <si>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</si>
  <si>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</si>
  <si>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</si>
  <si>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</si>
  <si>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</si>
  <si>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</si>
  <si>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</si>
  <si>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</si>
  <si>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</si>
  <si>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</si>
  <si>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</si>
  <si>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</si>
  <si>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</si>
  <si>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</si>
  <si>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</si>
  <si>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</si>
  <si>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</si>
  <si>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</si>
  <si>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</si>
  <si>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</si>
  <si>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</si>
  <si>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</si>
  <si>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</si>
  <si>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</si>
  <si>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</si>
  <si>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</si>
  <si>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</si>
  <si>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</si>
  <si>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</si>
  <si>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</si>
  <si>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</si>
  <si>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</si>
  <si>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</si>
  <si>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</si>
  <si>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</si>
  <si>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</si>
  <si>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</si>
  <si>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</si>
  <si>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</si>
  <si>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</si>
  <si>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</si>
  <si>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</si>
  <si>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</si>
  <si>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</si>
  <si>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</si>
  <si>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</si>
  <si>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</si>
  <si>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</si>
  <si>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</si>
  <si>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</si>
  <si>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</si>
  <si>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</si>
  <si>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</si>
  <si>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</si>
  <si>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</si>
  <si>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</si>
  <si>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</si>
  <si>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</si>
  <si>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</si>
  <si>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</si>
  <si>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</si>
  <si>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</si>
  <si>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</si>
  <si>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</si>
  <si>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</si>
  <si>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</si>
  <si>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</si>
  <si>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</si>
  <si>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</si>
  <si>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</si>
  <si>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</si>
  <si>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</si>
  <si>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</si>
  <si>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</si>
  <si>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</si>
  <si>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</si>
  <si>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</si>
  <si>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</si>
  <si>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</si>
  <si>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</si>
  <si>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</si>
  <si>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</si>
  <si>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</si>
  <si>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</si>
  <si>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</si>
  <si>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</si>
  <si>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</si>
  <si>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</si>
  <si>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</si>
  <si>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</si>
  <si>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</si>
  <si>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</si>
  <si>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</si>
  <si>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</si>
  <si>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</si>
  <si>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</si>
  <si>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</si>
  <si>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</si>
  <si>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</si>
  <si>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</si>
  <si>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</si>
  <si>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</si>
  <si>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</si>
  <si>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</si>
  <si>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</si>
  <si>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</si>
  <si>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</si>
  <si>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</si>
  <si>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</si>
  <si>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</si>
  <si>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</si>
  <si>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</si>
  <si>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</si>
  <si>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</si>
  <si>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</si>
  <si>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</si>
  <si>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</si>
  <si>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</si>
  <si>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</si>
  <si>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</si>
  <si>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</si>
  <si>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</si>
  <si>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</si>
  <si>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</si>
  <si>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</si>
  <si>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</si>
  <si>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</si>
  <si>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</si>
  <si>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</si>
  <si>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</si>
  <si>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</si>
  <si>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</si>
  <si>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</si>
  <si>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</si>
  <si>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</si>
  <si>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</si>
  <si>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</si>
  <si>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</si>
  <si>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</si>
  <si>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</si>
  <si>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</si>
  <si>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</si>
  <si>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</si>
  <si>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</si>
  <si>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</si>
  <si>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</si>
  <si>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</si>
  <si>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</si>
  <si>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</si>
  <si>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</si>
  <si>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</si>
  <si>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</si>
  <si>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</si>
  <si>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</si>
  <si>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</si>
  <si>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</si>
  <si>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</si>
  <si>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</si>
  <si>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</si>
  <si>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</si>
  <si>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</si>
  <si>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</si>
  <si>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</si>
  <si>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</si>
  <si>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</si>
  <si>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</si>
  <si>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</si>
  <si>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</si>
  <si>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</si>
  <si>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</si>
  <si>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</si>
  <si>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</si>
  <si>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</si>
  <si>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</si>
  <si>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</si>
  <si>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</si>
  <si>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</si>
  <si>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</si>
  <si>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</si>
  <si>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</si>
  <si>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</si>
  <si>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</si>
  <si>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</si>
  <si>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</si>
  <si>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</si>
  <si>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</si>
  <si>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</si>
  <si>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</si>
  <si>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</si>
  <si>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</si>
  <si>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</si>
  <si>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</si>
  <si>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</si>
  <si>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</si>
  <si>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</si>
  <si>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</si>
  <si>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</si>
  <si>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</si>
  <si>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</si>
  <si>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</si>
  <si>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</si>
  <si>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</si>
  <si>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</si>
  <si>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</si>
  <si>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</si>
  <si>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</si>
  <si>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</si>
  <si>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</si>
  <si>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</si>
  <si>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</si>
  <si>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</si>
  <si>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</si>
  <si>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</si>
  <si>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</si>
  <si>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</si>
  <si>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</si>
  <si>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</si>
  <si>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</si>
  <si>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</si>
  <si>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</si>
  <si>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</si>
  <si>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</si>
  <si>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</si>
  <si>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</si>
  <si>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</si>
  <si>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</si>
  <si>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</si>
  <si>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</si>
  <si>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</si>
  <si>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</si>
  <si>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</si>
  <si>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</si>
  <si>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</si>
  <si>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</si>
  <si>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</si>
  <si>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</si>
  <si>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</si>
  <si>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</si>
  <si>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</si>
  <si>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</si>
  <si>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</si>
  <si>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</si>
  <si>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</si>
  <si>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</si>
  <si>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</si>
  <si>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</si>
  <si>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</si>
  <si>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</si>
  <si>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</si>
  <si>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</si>
  <si>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</si>
  <si>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</si>
  <si>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</si>
  <si>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</si>
  <si>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</si>
  <si>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</si>
  <si>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</si>
  <si>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</si>
  <si>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</si>
  <si>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</si>
  <si>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</si>
  <si>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</si>
  <si>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</si>
  <si>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</si>
  <si>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</si>
  <si>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</si>
  <si>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</si>
  <si>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</si>
  <si>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</si>
  <si>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</si>
  <si>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</si>
  <si>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</si>
  <si>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</si>
  <si>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</si>
  <si>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</si>
  <si>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</si>
  <si>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</si>
  <si>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</si>
  <si>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</si>
  <si>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</si>
  <si>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</si>
  <si>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</si>
  <si>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</si>
  <si>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</si>
  <si>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</si>
  <si>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</si>
  <si>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</si>
  <si>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</si>
  <si>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</si>
  <si>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</si>
  <si>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</si>
  <si>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</si>
  <si>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</si>
  <si>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</si>
  <si>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</si>
  <si>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</si>
  <si>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</si>
  <si>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</si>
  <si>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</si>
  <si>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</si>
  <si>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</si>
  <si>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</si>
  <si>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</si>
  <si>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</si>
  <si>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</si>
  <si>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</si>
  <si>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</si>
  <si>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</si>
  <si>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</si>
  <si>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</si>
  <si>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</si>
  <si>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</si>
  <si>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</si>
  <si>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</si>
  <si>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</si>
  <si>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</si>
  <si>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</si>
  <si>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</si>
  <si>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</si>
  <si>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</si>
  <si>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</si>
  <si>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</si>
  <si>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</si>
  <si>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</si>
  <si>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</si>
  <si>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</si>
  <si>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</si>
  <si>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</si>
  <si>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</si>
  <si>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</si>
  <si>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</si>
  <si>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</si>
  <si>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</si>
  <si>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</si>
  <si>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</si>
  <si>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</si>
  <si>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</si>
  <si>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</si>
  <si>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</si>
  <si>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</si>
  <si>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</si>
  <si>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</si>
  <si>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</si>
  <si>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</si>
  <si>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</si>
  <si>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</si>
  <si>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</si>
  <si>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</si>
  <si>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</si>
  <si>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</si>
  <si>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</si>
  <si>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</si>
  <si>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</si>
  <si>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</si>
  <si>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</si>
  <si>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</si>
  <si>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</si>
  <si>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</si>
  <si>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</si>
  <si>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</si>
  <si>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</si>
  <si>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</si>
  <si>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</si>
  <si>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</si>
  <si>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</si>
  <si>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</si>
  <si>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</si>
  <si>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</si>
  <si>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</si>
  <si>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</si>
  <si>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</si>
  <si>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</si>
  <si>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</si>
  <si>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</si>
  <si>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</si>
  <si>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</si>
  <si>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</si>
  <si>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</si>
  <si>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</si>
  <si>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</si>
  <si>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</si>
  <si>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</si>
  <si>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</si>
  <si>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</si>
  <si>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</si>
  <si>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</si>
  <si>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</si>
  <si>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</si>
  <si>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</si>
  <si>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</si>
  <si>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</si>
  <si>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</si>
  <si>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</si>
  <si>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</si>
  <si>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</si>
  <si>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</si>
  <si>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</si>
  <si>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</si>
  <si>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</si>
  <si>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</si>
  <si>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</si>
  <si>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</si>
  <si>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</si>
  <si>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</si>
  <si>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</si>
  <si>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</si>
  <si>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</si>
  <si>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</si>
  <si>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</si>
  <si>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</si>
  <si>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</si>
  <si>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</si>
  <si>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</si>
  <si>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</si>
  <si>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</si>
  <si>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</si>
  <si>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</si>
  <si>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</si>
  <si>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</si>
  <si>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</si>
  <si>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</si>
  <si>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</si>
  <si>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</si>
  <si>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</si>
  <si>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</si>
  <si>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</si>
  <si>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</si>
  <si>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</si>
  <si>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</si>
  <si>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</si>
  <si>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</si>
  <si>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</si>
  <si>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</si>
  <si>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</si>
  <si>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</si>
  <si>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</si>
  <si>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</si>
  <si>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</si>
  <si>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</si>
  <si>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</si>
  <si>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</si>
  <si>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</si>
  <si>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</si>
  <si>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</si>
  <si>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</si>
  <si>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</si>
  <si>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</si>
  <si>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</si>
  <si>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</si>
  <si>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</si>
  <si>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</si>
  <si>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</si>
  <si>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</si>
  <si>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</si>
  <si>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</si>
  <si>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</si>
  <si>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</si>
  <si>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</si>
  <si>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</si>
  <si>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</si>
  <si>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</si>
  <si>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</si>
  <si>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</si>
  <si>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</si>
  <si>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</si>
  <si>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</si>
  <si>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</si>
  <si>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</si>
  <si>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</si>
  <si>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</si>
  <si>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</si>
  <si>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</si>
  <si>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</si>
  <si>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</si>
  <si>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</si>
  <si>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</si>
  <si>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</si>
  <si>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</si>
  <si>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</si>
  <si>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</si>
  <si>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</si>
  <si>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</si>
  <si>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</si>
  <si>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</si>
  <si>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</si>
  <si>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</si>
  <si>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</si>
  <si>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</si>
  <si>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</si>
  <si>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</si>
  <si>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</si>
  <si>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</si>
  <si>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</si>
  <si>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</si>
  <si>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</si>
  <si>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</si>
  <si>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</si>
  <si>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</si>
  <si>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</si>
  <si>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</si>
  <si>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</si>
  <si>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</si>
  <si>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</si>
  <si>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</si>
  <si>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</si>
  <si>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</si>
  <si>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</si>
  <si>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</si>
  <si>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</si>
  <si>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</si>
  <si>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</si>
  <si>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</si>
  <si>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</si>
  <si>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</si>
  <si>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</si>
  <si>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</si>
  <si>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</si>
  <si>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</si>
  <si>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</si>
  <si>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</si>
  <si>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</si>
  <si>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</si>
  <si>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</si>
  <si>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</si>
  <si>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</si>
  <si>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</si>
  <si>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</si>
  <si>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</si>
  <si>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</si>
  <si>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</si>
  <si>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</si>
  <si>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</si>
  <si>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</si>
  <si>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</si>
  <si>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</si>
  <si>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</si>
  <si>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</si>
  <si>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</si>
  <si>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</si>
  <si>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</si>
  <si>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</si>
  <si>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</si>
  <si>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</si>
  <si>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</si>
  <si>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</si>
  <si>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</si>
  <si>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</si>
  <si>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</si>
  <si>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</si>
  <si>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</si>
  <si>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</si>
  <si>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</si>
  <si>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</si>
  <si>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</si>
  <si>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</si>
  <si>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</si>
  <si>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</si>
  <si>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</si>
  <si>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</si>
  <si>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</si>
  <si>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</si>
  <si>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</si>
  <si>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</si>
  <si>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</si>
  <si>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</si>
  <si>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</si>
  <si>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</si>
  <si>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</si>
  <si>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</si>
  <si>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</si>
  <si>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</si>
  <si>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</si>
  <si>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</si>
  <si>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</si>
  <si>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</si>
  <si>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</si>
  <si>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</si>
  <si>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</si>
  <si>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</si>
  <si>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</si>
  <si>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</si>
  <si>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</si>
  <si>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</si>
  <si>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</si>
  <si>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</si>
  <si>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</si>
  <si>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</si>
  <si>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</si>
  <si>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</si>
  <si>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</si>
  <si>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</si>
  <si>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</si>
  <si>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</si>
  <si>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</si>
  <si>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</si>
  <si>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</si>
  <si>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</si>
  <si>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</si>
  <si>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</si>
  <si>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</si>
  <si>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</si>
  <si>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</si>
  <si>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</si>
  <si>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</si>
  <si>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</si>
  <si>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</si>
  <si>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</si>
  <si>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</si>
  <si>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</si>
  <si>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</si>
  <si>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</si>
  <si>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</si>
  <si>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</si>
  <si>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</si>
  <si>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</si>
  <si>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</si>
  <si>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</si>
  <si>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</si>
  <si>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</si>
  <si>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</si>
  <si>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</si>
  <si>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</si>
  <si>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</si>
  <si>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</si>
  <si>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</si>
  <si>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</si>
  <si>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</si>
  <si>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</si>
  <si>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</si>
  <si>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</si>
  <si>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</si>
  <si>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</si>
  <si>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</si>
  <si>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</si>
  <si>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</si>
  <si>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</si>
  <si>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</si>
  <si>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</si>
  <si>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</si>
  <si>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</si>
  <si>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</si>
  <si>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</si>
  <si>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</si>
  <si>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</si>
  <si>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</si>
  <si>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</si>
  <si>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</si>
  <si>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</si>
  <si>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</si>
  <si>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</si>
  <si>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</si>
  <si>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</si>
  <si>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</si>
  <si>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</si>
  <si>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</si>
  <si>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</si>
  <si>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</si>
  <si>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</si>
  <si>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</si>
  <si>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</si>
  <si>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</si>
  <si>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</si>
  <si>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</si>
  <si>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</si>
  <si>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</si>
  <si>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</si>
  <si>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</si>
  <si>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</si>
  <si>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</si>
  <si>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</si>
  <si>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</si>
  <si>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</si>
  <si>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</si>
  <si>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</si>
  <si>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</si>
  <si>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</si>
  <si>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</si>
  <si>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</si>
  <si>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</si>
  <si>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</si>
  <si>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</si>
  <si>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</si>
  <si>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</si>
  <si>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</si>
  <si>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</si>
  <si>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</si>
  <si>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</si>
  <si>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</si>
  <si>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</si>
  <si>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</si>
  <si>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</si>
  <si>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</si>
  <si>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</si>
  <si>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</si>
  <si>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</si>
  <si>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</si>
  <si>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</si>
  <si>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</si>
  <si>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</si>
  <si>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</si>
  <si>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</si>
  <si>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</si>
  <si>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</si>
  <si>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</si>
  <si>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</si>
  <si>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</si>
  <si>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</si>
  <si>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</si>
  <si>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</si>
  <si>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</si>
  <si>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</si>
  <si>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</si>
  <si>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</si>
  <si>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</si>
  <si>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</si>
  <si>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</si>
  <si>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</si>
  <si>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</si>
  <si>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</si>
  <si>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</si>
  <si>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</si>
  <si>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</si>
  <si>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</si>
  <si>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</si>
  <si>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</si>
  <si>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</si>
  <si>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</si>
  <si>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</si>
  <si>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</si>
  <si>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</si>
  <si>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</si>
  <si>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</si>
  <si>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</si>
  <si>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</si>
  <si>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</si>
  <si>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</si>
  <si>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</si>
  <si>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</si>
  <si>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</si>
  <si>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</si>
  <si>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</si>
  <si>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</si>
  <si>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</si>
  <si>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</si>
  <si>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</si>
  <si>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</si>
  <si>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</si>
  <si>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</si>
  <si>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</si>
  <si>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</si>
  <si>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</si>
  <si>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</si>
  <si>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</si>
  <si>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</si>
  <si>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</si>
  <si>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</si>
  <si>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</si>
  <si>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</si>
  <si>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</si>
  <si>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</si>
  <si>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</si>
  <si>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</si>
  <si>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</si>
  <si>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</si>
  <si>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</si>
  <si>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</si>
  <si>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</si>
  <si>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</si>
  <si>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</si>
  <si>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</si>
  <si>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</si>
  <si>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</si>
  <si>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</si>
  <si>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</si>
  <si>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</si>
  <si>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</si>
  <si>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</si>
  <si>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</si>
  <si>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</si>
  <si>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</si>
  <si>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</si>
  <si>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</si>
  <si>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</si>
  <si>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</si>
  <si>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</si>
  <si>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</si>
  <si>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</si>
  <si>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</si>
  <si>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</si>
  <si>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</si>
  <si>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</si>
  <si>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</si>
  <si>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</si>
  <si>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</si>
  <si>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</si>
  <si>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</si>
  <si>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</si>
  <si>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</si>
  <si>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</si>
  <si>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</si>
  <si>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</si>
  <si>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</si>
  <si>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</si>
  <si>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</si>
  <si>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</si>
  <si>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</si>
  <si>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</si>
  <si>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</si>
  <si>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</si>
  <si>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</si>
  <si>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</si>
  <si>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</si>
  <si>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</si>
  <si>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</si>
  <si>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</si>
  <si>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</si>
  <si>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</si>
  <si>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</si>
  <si>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</si>
  <si>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</si>
  <si>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</si>
  <si>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</si>
  <si>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</si>
  <si>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泰慕士</t>
  </si>
  <si>
    <t>www.lixinger.com/analytics/company/sz/001234/1234/detail</t>
  </si>
  <si>
    <t>汇绿生态</t>
  </si>
  <si>
    <t>www.lixinger.com/analytics/company/sz/001267/1267/detail</t>
  </si>
  <si>
    <t>运机集团</t>
  </si>
  <si>
    <t>www.lixinger.com/analytics/company/sz/001288/1288/detail</t>
  </si>
  <si>
    <t>长江材料</t>
  </si>
  <si>
    <t>www.lixinger.com/analytics/company/sz/001296/1296/detail</t>
  </si>
  <si>
    <t>粤海饲料</t>
  </si>
  <si>
    <t>www.lixinger.com/analytics/company/sz/001313/1313/detail</t>
  </si>
  <si>
    <t>三羊马</t>
  </si>
  <si>
    <t>www.lixinger.com/analytics/company/sz/001317/1317/detail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</si>
  <si>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</si>
  <si>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</si>
  <si>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</si>
  <si>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</si>
  <si>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</si>
  <si>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</si>
  <si>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</si>
  <si>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</si>
  <si>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</si>
  <si>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</si>
  <si>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</si>
  <si>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</si>
  <si>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</si>
  <si>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</si>
  <si>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</si>
  <si>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</si>
  <si>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</si>
  <si>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</si>
  <si>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</si>
  <si>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</si>
  <si>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</si>
  <si>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</si>
  <si>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</si>
  <si>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</si>
  <si>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</si>
  <si>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</si>
  <si>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</si>
  <si>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</si>
  <si>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</si>
  <si>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</si>
  <si>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</si>
  <si>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</si>
  <si>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</si>
  <si>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</si>
  <si>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</si>
  <si>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</si>
  <si>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</si>
  <si>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</si>
  <si>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</si>
  <si>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</si>
  <si>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</si>
  <si>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</si>
  <si>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</si>
  <si>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</si>
  <si>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</si>
  <si>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</si>
  <si>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</si>
  <si>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</si>
  <si>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</si>
  <si>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</si>
  <si>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</si>
  <si>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</si>
  <si>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</si>
  <si>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</si>
  <si>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</si>
  <si>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</si>
  <si>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</si>
  <si>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</si>
  <si>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</si>
  <si>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</si>
  <si>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</si>
  <si>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</si>
  <si>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</si>
  <si>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</si>
  <si>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</si>
  <si>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</si>
  <si>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</si>
  <si>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</si>
  <si>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</si>
  <si>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</si>
  <si>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</si>
  <si>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</si>
  <si>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</si>
  <si>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</si>
  <si>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</si>
  <si>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</si>
  <si>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</si>
  <si>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</si>
  <si>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</si>
  <si>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</si>
  <si>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</si>
  <si>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</si>
  <si>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</si>
  <si>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</si>
  <si>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</si>
  <si>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</si>
  <si>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</si>
  <si>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</si>
  <si>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</si>
  <si>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</si>
  <si>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</si>
  <si>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</si>
  <si>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</si>
  <si>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</si>
  <si>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</si>
  <si>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</si>
  <si>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</si>
  <si>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</si>
  <si>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</si>
  <si>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</si>
  <si>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</si>
  <si>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</si>
  <si>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</si>
  <si>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</si>
  <si>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</si>
  <si>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</si>
  <si>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</si>
  <si>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</si>
  <si>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</si>
  <si>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</si>
  <si>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</si>
  <si>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</si>
  <si>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</si>
  <si>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</si>
  <si>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</si>
  <si>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</si>
  <si>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</si>
  <si>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</si>
  <si>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</si>
  <si>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</si>
  <si>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</si>
  <si>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</si>
  <si>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</si>
  <si>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</si>
  <si>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</si>
  <si>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</si>
  <si>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</si>
  <si>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</si>
  <si>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</si>
  <si>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</si>
  <si>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</si>
  <si>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</si>
  <si>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</si>
  <si>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</si>
  <si>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</si>
  <si>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</si>
  <si>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</si>
  <si>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</si>
  <si>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</si>
  <si>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</si>
  <si>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</si>
  <si>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</si>
  <si>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</si>
  <si>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</si>
  <si>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</si>
  <si>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</si>
  <si>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</si>
  <si>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</si>
  <si>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</si>
  <si>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</si>
  <si>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</si>
  <si>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</si>
  <si>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</si>
  <si>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</si>
  <si>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</si>
  <si>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</si>
  <si>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</si>
  <si>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</si>
  <si>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</si>
  <si>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</si>
  <si>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</si>
  <si>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</si>
  <si>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</si>
  <si>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</si>
  <si>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</si>
  <si>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</si>
  <si>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</si>
  <si>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</si>
  <si>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</si>
  <si>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</si>
  <si>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</si>
  <si>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</si>
  <si>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</si>
  <si>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</si>
  <si>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</si>
  <si>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</si>
  <si>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</si>
  <si>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</si>
  <si>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</si>
  <si>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</si>
  <si>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</si>
  <si>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</si>
  <si>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</si>
  <si>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</si>
  <si>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</si>
  <si>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</si>
  <si>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</si>
  <si>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</si>
  <si>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</si>
  <si>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</si>
  <si>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</si>
  <si>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</si>
  <si>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</si>
  <si>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</si>
  <si>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</si>
  <si>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</si>
  <si>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</si>
  <si>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</si>
  <si>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</si>
  <si>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</si>
  <si>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</si>
  <si>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</si>
  <si>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</si>
  <si>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</si>
  <si>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</si>
  <si>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</si>
  <si>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</si>
  <si>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</si>
  <si>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</si>
  <si>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</si>
  <si>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</si>
  <si>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</si>
  <si>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</si>
  <si>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</si>
  <si>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</si>
  <si>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</si>
  <si>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</si>
  <si>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</si>
  <si>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</si>
  <si>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</si>
  <si>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</si>
  <si>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</si>
  <si>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</si>
  <si>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</si>
  <si>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</si>
  <si>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</si>
  <si>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</si>
  <si>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</si>
  <si>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</si>
  <si>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</si>
  <si>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</si>
  <si>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</si>
  <si>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</si>
  <si>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</si>
  <si>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</si>
  <si>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</si>
  <si>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</si>
  <si>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</si>
  <si>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</si>
  <si>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</si>
  <si>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</si>
  <si>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</si>
  <si>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</si>
  <si>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</si>
  <si>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</si>
  <si>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</si>
  <si>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</si>
  <si>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</si>
  <si>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</si>
  <si>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</si>
  <si>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</si>
  <si>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</si>
  <si>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</si>
  <si>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</si>
  <si>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</si>
  <si>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</si>
  <si>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</si>
  <si>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</si>
  <si>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</si>
  <si>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</si>
  <si>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</si>
  <si>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</si>
  <si>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</si>
  <si>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</si>
  <si>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</si>
  <si>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</si>
  <si>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</si>
  <si>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</si>
  <si>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</si>
  <si>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</si>
  <si>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</si>
  <si>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</si>
  <si>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</si>
  <si>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</si>
  <si>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</si>
  <si>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</si>
  <si>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</si>
  <si>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</si>
  <si>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</si>
  <si>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</si>
  <si>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</si>
  <si>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</si>
  <si>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</si>
  <si>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</si>
  <si>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</si>
  <si>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</si>
  <si>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</si>
  <si>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</si>
  <si>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</si>
  <si>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</si>
  <si>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</si>
  <si>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</si>
  <si>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</si>
  <si>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</si>
  <si>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</si>
  <si>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</si>
  <si>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</si>
  <si>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</si>
  <si>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</si>
  <si>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</si>
  <si>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</si>
  <si>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</si>
  <si>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</si>
  <si>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</si>
  <si>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</si>
  <si>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</si>
  <si>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</si>
  <si>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</si>
  <si>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</si>
  <si>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</si>
  <si>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</si>
  <si>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</si>
  <si>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</si>
  <si>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</si>
  <si>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</si>
  <si>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</si>
  <si>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</si>
  <si>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</si>
  <si>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</si>
  <si>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</si>
  <si>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</si>
  <si>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</si>
  <si>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</si>
  <si>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</si>
  <si>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</si>
  <si>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</si>
  <si>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</si>
  <si>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</si>
  <si>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</si>
  <si>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</si>
  <si>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</si>
  <si>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</si>
  <si>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</si>
  <si>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</si>
  <si>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</si>
  <si>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</si>
  <si>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</si>
  <si>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</si>
  <si>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</si>
  <si>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</si>
  <si>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</si>
  <si>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</si>
  <si>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</si>
  <si>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</si>
  <si>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</si>
  <si>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</si>
  <si>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</si>
  <si>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</si>
  <si>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</si>
  <si>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</si>
  <si>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</si>
  <si>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</si>
  <si>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</si>
  <si>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</si>
  <si>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</si>
  <si>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</si>
  <si>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</si>
  <si>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</si>
  <si>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</si>
  <si>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</si>
  <si>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</si>
  <si>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</si>
  <si>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</si>
  <si>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</si>
  <si>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</si>
  <si>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</si>
  <si>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</si>
  <si>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</si>
  <si>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</si>
  <si>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</si>
  <si>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</si>
  <si>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</si>
  <si>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</si>
  <si>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</si>
  <si>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</si>
  <si>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</si>
  <si>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</si>
  <si>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</si>
  <si>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</si>
  <si>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</si>
  <si>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</si>
  <si>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</si>
  <si>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</si>
  <si>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</si>
  <si>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</si>
  <si>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</si>
  <si>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</si>
  <si>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</si>
  <si>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</si>
  <si>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</si>
  <si>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</si>
  <si>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</si>
  <si>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</si>
  <si>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</si>
  <si>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</si>
  <si>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</si>
  <si>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</si>
  <si>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</si>
  <si>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</si>
  <si>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</si>
  <si>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</si>
  <si>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</si>
  <si>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</si>
  <si>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</si>
  <si>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</si>
  <si>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</si>
  <si>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</si>
  <si>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</si>
  <si>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</si>
  <si>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</si>
  <si>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</si>
  <si>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</si>
  <si>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</si>
  <si>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</si>
  <si>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</si>
  <si>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</si>
  <si>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</si>
  <si>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</si>
  <si>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</si>
  <si>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</si>
  <si>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</si>
  <si>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</si>
  <si>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</si>
  <si>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</si>
  <si>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</si>
  <si>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</si>
  <si>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</si>
  <si>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</si>
  <si>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</si>
  <si>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</si>
  <si>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</si>
  <si>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</si>
  <si>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</si>
  <si>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</si>
  <si>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</si>
  <si>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</si>
  <si>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</si>
  <si>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</si>
  <si>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</si>
  <si>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</si>
  <si>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</si>
  <si>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</si>
  <si>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</si>
  <si>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</si>
  <si>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</si>
  <si>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</si>
  <si>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</si>
  <si>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</si>
  <si>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</si>
  <si>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</si>
  <si>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</si>
  <si>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</si>
  <si>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</si>
  <si>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</si>
  <si>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</si>
  <si>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</si>
  <si>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</si>
  <si>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</si>
  <si>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</si>
  <si>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</si>
  <si>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</si>
  <si>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</si>
  <si>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</si>
  <si>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</si>
  <si>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</si>
  <si>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</si>
  <si>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</si>
  <si>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</si>
  <si>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</si>
  <si>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</si>
  <si>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</si>
  <si>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</si>
  <si>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</si>
  <si>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</si>
  <si>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</si>
  <si>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</si>
  <si>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</si>
  <si>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</si>
  <si>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</si>
  <si>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</si>
  <si>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</si>
  <si>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</si>
  <si>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</si>
  <si>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</si>
  <si>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</si>
  <si>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</si>
  <si>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</si>
  <si>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</si>
  <si>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</si>
  <si>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</si>
  <si>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</si>
  <si>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</si>
  <si>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</si>
  <si>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</si>
  <si>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</si>
  <si>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</si>
  <si>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</si>
  <si>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</si>
  <si>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</si>
  <si>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</si>
  <si>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</si>
  <si>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</si>
  <si>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</si>
  <si>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</si>
  <si>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</si>
  <si>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</si>
  <si>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</si>
  <si>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</si>
  <si>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</si>
  <si>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</si>
  <si>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</si>
  <si>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</si>
  <si>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</si>
  <si>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</si>
  <si>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</si>
  <si>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</si>
  <si>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</si>
  <si>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</si>
  <si>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</si>
  <si>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</si>
  <si>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</si>
  <si>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</si>
  <si>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</si>
  <si>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</si>
  <si>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</si>
  <si>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</si>
  <si>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</si>
  <si>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</si>
  <si>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</si>
  <si>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</si>
  <si>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</si>
  <si>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</si>
  <si>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</si>
  <si>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</si>
  <si>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</si>
  <si>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</si>
  <si>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</si>
  <si>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</si>
  <si>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</si>
  <si>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</si>
  <si>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</si>
  <si>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</si>
  <si>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</si>
  <si>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</si>
  <si>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</si>
  <si>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</si>
  <si>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</si>
  <si>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</si>
  <si>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</si>
  <si>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</si>
  <si>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</si>
  <si>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</si>
  <si>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</si>
  <si>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</si>
  <si>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</si>
  <si>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</si>
  <si>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</si>
  <si>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</si>
  <si>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</si>
  <si>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</si>
  <si>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</si>
  <si>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</si>
  <si>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</si>
  <si>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</si>
  <si>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</si>
  <si>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</si>
  <si>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</si>
  <si>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</si>
  <si>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</si>
  <si>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</si>
  <si>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</si>
  <si>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</si>
  <si>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</si>
  <si>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</si>
  <si>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</si>
  <si>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</si>
  <si>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</si>
  <si>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</si>
  <si>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</si>
  <si>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</si>
  <si>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</si>
  <si>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</si>
  <si>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</si>
  <si>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</si>
  <si>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</si>
  <si>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</si>
  <si>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</si>
  <si>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</si>
  <si>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</si>
  <si>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</si>
  <si>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</si>
  <si>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</si>
  <si>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</si>
  <si>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</si>
  <si>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</si>
  <si>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</si>
  <si>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</si>
  <si>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</si>
  <si>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</si>
  <si>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</si>
  <si>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</si>
  <si>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</si>
  <si>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</si>
  <si>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</si>
  <si>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</si>
  <si>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</si>
  <si>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</si>
  <si>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</si>
  <si>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</si>
  <si>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</si>
  <si>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</si>
  <si>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</si>
  <si>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</si>
  <si>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</si>
  <si>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</si>
  <si>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</si>
  <si>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</si>
  <si>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</si>
  <si>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</si>
  <si>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</si>
  <si>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</si>
  <si>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</si>
  <si>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</si>
  <si>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</si>
  <si>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</si>
  <si>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</si>
  <si>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</si>
  <si>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</si>
  <si>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</si>
  <si>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</si>
  <si>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</si>
  <si>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</si>
  <si>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</si>
  <si>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</si>
  <si>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</si>
  <si>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</si>
  <si>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</si>
  <si>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</si>
  <si>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</si>
  <si>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</si>
  <si>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</si>
  <si>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</si>
  <si>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</si>
  <si>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</si>
  <si>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</si>
  <si>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</si>
  <si>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</si>
  <si>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</si>
  <si>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</si>
  <si>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</si>
  <si>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</si>
  <si>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</si>
  <si>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</si>
  <si>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</si>
  <si>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</si>
  <si>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</si>
  <si>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</si>
  <si>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</si>
  <si>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</si>
  <si>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</si>
  <si>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</si>
  <si>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</si>
  <si>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</si>
  <si>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</si>
  <si>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</si>
  <si>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</si>
  <si>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</si>
  <si>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</si>
  <si>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</si>
  <si>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</si>
  <si>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</si>
  <si>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</si>
  <si>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</si>
  <si>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</si>
  <si>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</si>
  <si>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</si>
  <si>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</si>
  <si>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</si>
  <si>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</si>
  <si>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</si>
  <si>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</si>
  <si>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</si>
  <si>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</si>
  <si>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</si>
  <si>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</si>
  <si>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</si>
  <si>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</si>
  <si>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</si>
  <si>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</si>
  <si>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</si>
  <si>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</si>
  <si>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</si>
  <si>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</si>
  <si>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</si>
  <si>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</si>
  <si>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</si>
  <si>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</si>
  <si>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</si>
  <si>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</si>
  <si>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</si>
  <si>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</si>
  <si>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</si>
  <si>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</si>
  <si>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</si>
  <si>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</si>
  <si>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</si>
  <si>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</si>
  <si>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</si>
  <si>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</si>
  <si>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</si>
  <si>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</si>
  <si>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</si>
  <si>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</si>
  <si>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</si>
  <si>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</si>
  <si>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</si>
  <si>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</si>
  <si>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</si>
  <si>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</si>
  <si>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</si>
  <si>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</si>
  <si>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</si>
  <si>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</si>
  <si>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</si>
  <si>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</si>
  <si>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</si>
  <si>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</si>
  <si>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</si>
  <si>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</si>
  <si>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</si>
  <si>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</si>
  <si>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</si>
  <si>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</si>
  <si>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</si>
  <si>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</si>
  <si>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</si>
  <si>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</si>
  <si>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</si>
  <si>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</si>
  <si>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</si>
  <si>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</si>
  <si>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</si>
  <si>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</si>
  <si>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</si>
  <si>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</si>
  <si>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</si>
  <si>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</si>
  <si>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</si>
  <si>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</si>
  <si>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</si>
  <si>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</si>
  <si>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</si>
  <si>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</si>
  <si>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</si>
  <si>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</si>
  <si>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</si>
  <si>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</si>
  <si>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</si>
  <si>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</si>
  <si>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</si>
  <si>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</si>
  <si>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</si>
  <si>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</si>
  <si>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</si>
  <si>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</si>
  <si>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</si>
  <si>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</si>
  <si>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</si>
  <si>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</si>
  <si>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</si>
  <si>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</si>
  <si>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</si>
  <si>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</si>
  <si>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</si>
  <si>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</si>
  <si>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</si>
  <si>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</si>
  <si>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</si>
  <si>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</si>
  <si>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</si>
  <si>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</si>
  <si>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</si>
  <si>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</si>
  <si>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</si>
  <si>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</si>
  <si>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</si>
  <si>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</si>
  <si>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</si>
  <si>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</si>
  <si>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</si>
  <si>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</si>
  <si>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</si>
  <si>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</si>
  <si>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</si>
  <si>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</si>
  <si>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</si>
  <si>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</si>
  <si>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</si>
  <si>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</si>
  <si>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</si>
  <si>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</si>
  <si>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</si>
  <si>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</si>
  <si>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</si>
  <si>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</si>
  <si>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</si>
  <si>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</si>
  <si>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</si>
  <si>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</si>
  <si>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</si>
  <si>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</si>
  <si>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</si>
  <si>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</si>
  <si>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</si>
  <si>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</si>
  <si>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</si>
  <si>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</si>
  <si>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</si>
  <si>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</si>
  <si>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</si>
  <si>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</si>
  <si>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</si>
  <si>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</si>
  <si>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</si>
  <si>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</si>
  <si>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</si>
  <si>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</si>
  <si>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</si>
  <si>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</si>
  <si>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</si>
  <si>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</si>
  <si>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</si>
  <si>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</si>
  <si>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</si>
  <si>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</si>
  <si>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</si>
  <si>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</si>
  <si>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</si>
  <si>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</si>
  <si>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</si>
  <si>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</si>
  <si>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</si>
  <si>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</si>
  <si>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</si>
  <si>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</si>
  <si>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</si>
  <si>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</si>
  <si>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</si>
  <si>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</si>
  <si>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</si>
  <si>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</si>
  <si>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</si>
  <si>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</si>
  <si>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</si>
  <si>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</si>
  <si>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</si>
  <si>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</si>
  <si>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</si>
  <si>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</si>
  <si>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</si>
  <si>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</si>
  <si>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</si>
  <si>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</si>
  <si>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</si>
  <si>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</si>
  <si>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</si>
  <si>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</si>
  <si>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</si>
  <si>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</si>
  <si>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</si>
  <si>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</si>
  <si>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</si>
  <si>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</si>
  <si>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</si>
  <si>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</si>
  <si>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</si>
  <si>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</si>
  <si>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</si>
  <si>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</si>
  <si>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</si>
  <si>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</si>
  <si>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</si>
  <si>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</si>
  <si>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</si>
  <si>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</si>
  <si>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</si>
  <si>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</si>
  <si>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</si>
  <si>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</si>
  <si>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</si>
  <si>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</si>
  <si>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</si>
  <si>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</si>
  <si>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</si>
  <si>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</si>
  <si>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</si>
  <si>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</si>
  <si>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</si>
  <si>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</si>
  <si>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</si>
  <si>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</si>
  <si>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</si>
  <si>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</si>
  <si>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</si>
  <si>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</si>
  <si>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</si>
  <si>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</si>
  <si>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</si>
  <si>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</si>
  <si>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</si>
  <si>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</si>
  <si>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</si>
  <si>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</si>
  <si>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</si>
  <si>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</si>
  <si>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</si>
  <si>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</si>
  <si>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</si>
  <si>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</si>
  <si>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</si>
  <si>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</si>
  <si>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</si>
  <si>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</si>
  <si>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</si>
  <si>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</si>
  <si>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</si>
  <si>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</si>
  <si>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</si>
  <si>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</si>
  <si>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</si>
  <si>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</si>
  <si>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</si>
  <si>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</si>
  <si>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</si>
  <si>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</si>
  <si>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</si>
  <si>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</si>
  <si>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</si>
  <si>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</si>
  <si>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</si>
  <si>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</si>
  <si>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</si>
  <si>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</si>
  <si>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</si>
  <si>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</si>
  <si>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</si>
  <si>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</si>
  <si>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</si>
  <si>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</si>
  <si>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</si>
  <si>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</si>
  <si>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</si>
  <si>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</si>
  <si>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</si>
  <si>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</si>
  <si>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</si>
  <si>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</si>
  <si>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</si>
  <si>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</si>
  <si>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</si>
  <si>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</si>
  <si>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</si>
  <si>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</si>
  <si>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</si>
  <si>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</si>
  <si>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</si>
  <si>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</si>
  <si>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</si>
  <si>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</si>
  <si>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</si>
  <si>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</si>
  <si>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</si>
  <si>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</si>
  <si>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</si>
  <si>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</si>
  <si>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</si>
  <si>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</si>
  <si>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</si>
  <si>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</si>
  <si>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</si>
  <si>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</si>
  <si>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</si>
  <si>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</si>
  <si>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</si>
  <si>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</si>
  <si>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</si>
  <si>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</si>
  <si>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</si>
  <si>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</si>
  <si>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</si>
  <si>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</si>
  <si>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</si>
  <si>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</si>
  <si>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</si>
  <si>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</si>
  <si>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</si>
  <si>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</si>
  <si>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</si>
  <si>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</si>
  <si>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</si>
  <si>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</si>
  <si>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</si>
  <si>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</si>
  <si>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</si>
  <si>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</si>
  <si>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</si>
  <si>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</si>
  <si>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</si>
  <si>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</si>
  <si>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</si>
  <si>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</si>
  <si>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</si>
  <si>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</si>
  <si>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</si>
  <si>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</si>
  <si>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</si>
  <si>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</si>
  <si>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</si>
  <si>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</si>
  <si>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</si>
  <si>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</si>
  <si>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</si>
  <si>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</si>
  <si>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</si>
  <si>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</si>
  <si>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</si>
  <si>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</si>
  <si>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</si>
  <si>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</si>
  <si>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</si>
  <si>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</si>
  <si>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</si>
  <si>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</si>
  <si>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</si>
  <si>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</si>
  <si>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</si>
  <si>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</si>
  <si>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</si>
  <si>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</si>
  <si>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</si>
  <si>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</si>
  <si>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</si>
  <si>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</si>
  <si>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</si>
  <si>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</si>
  <si>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</si>
  <si>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</si>
  <si>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</si>
  <si>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</si>
  <si>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</si>
  <si>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</si>
  <si>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</si>
  <si>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</si>
  <si>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</si>
  <si>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</si>
  <si>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</si>
  <si>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</si>
  <si>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</si>
  <si>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</si>
  <si>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</si>
  <si>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</si>
  <si>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</si>
  <si>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</si>
  <si>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</si>
  <si>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</si>
  <si>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</si>
  <si>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</si>
  <si>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</si>
  <si>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</si>
  <si>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</si>
  <si>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</si>
  <si>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</si>
  <si>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</si>
  <si>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</si>
  <si>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</si>
  <si>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</si>
  <si>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</si>
  <si>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</si>
  <si>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</si>
  <si>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</si>
  <si>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</si>
  <si>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</si>
  <si>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</si>
  <si>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</si>
  <si>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</si>
  <si>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</si>
  <si>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</si>
  <si>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</si>
  <si>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</si>
  <si>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</si>
  <si>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</si>
  <si>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</si>
  <si>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</si>
  <si>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</si>
  <si>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</si>
  <si>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</si>
  <si>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</si>
  <si>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</si>
  <si>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</si>
  <si>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</si>
  <si>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</si>
  <si>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</si>
  <si>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</si>
  <si>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</si>
  <si>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</si>
  <si>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</si>
  <si>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</si>
  <si>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</si>
  <si>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</si>
  <si>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</si>
  <si>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</si>
  <si>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</si>
  <si>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</si>
  <si>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</si>
  <si>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</si>
  <si>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</si>
  <si>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</si>
  <si>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</si>
  <si>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</si>
  <si>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</si>
  <si>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</si>
  <si>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</si>
  <si>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</si>
  <si>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</si>
  <si>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</si>
  <si>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</si>
  <si>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</si>
  <si>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</si>
  <si>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</si>
  <si>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</si>
  <si>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</si>
  <si>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</si>
  <si>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</si>
  <si>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</si>
  <si>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</si>
  <si>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</si>
  <si>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</si>
  <si>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</si>
  <si>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</si>
  <si>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</si>
  <si>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</si>
  <si>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</si>
  <si>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</si>
  <si>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</si>
  <si>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</si>
  <si>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</si>
  <si>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</si>
  <si>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</si>
  <si>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</si>
  <si>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</si>
  <si>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</si>
  <si>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</si>
  <si>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</si>
  <si>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</si>
  <si>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</si>
  <si>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</si>
  <si>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</si>
  <si>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</si>
  <si>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</si>
  <si>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</si>
  <si>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</si>
  <si>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</si>
  <si>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</si>
  <si>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</si>
  <si>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</si>
  <si>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</si>
  <si>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</si>
  <si>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</si>
  <si>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</si>
  <si>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</si>
  <si>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</si>
  <si>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</si>
  <si>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</si>
  <si>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</si>
  <si>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</si>
  <si>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</si>
  <si>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</si>
  <si>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</si>
  <si>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</si>
  <si>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</si>
  <si>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</si>
  <si>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</si>
  <si>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</si>
  <si>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</si>
  <si>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</si>
  <si>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</si>
  <si>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</si>
  <si>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</si>
  <si>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</si>
  <si>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</si>
  <si>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</si>
  <si>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</si>
  <si>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</si>
  <si>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</si>
  <si>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</si>
  <si>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</si>
  <si>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</si>
  <si>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</si>
  <si>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</si>
  <si>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</si>
  <si>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</si>
  <si>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</si>
  <si>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</si>
  <si>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</si>
  <si>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</si>
  <si>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</si>
  <si>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</si>
  <si>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</si>
  <si>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</si>
  <si>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</si>
  <si>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</si>
  <si>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</si>
  <si>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</si>
  <si>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</si>
  <si>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</si>
  <si>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</si>
  <si>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</si>
  <si>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</si>
  <si>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</si>
  <si>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</si>
  <si>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</si>
  <si>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</si>
  <si>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</si>
  <si>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</si>
  <si>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</si>
  <si>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</si>
  <si>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</si>
  <si>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</si>
  <si>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</si>
  <si>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</si>
  <si>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</si>
  <si>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</si>
  <si>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</si>
  <si>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</si>
  <si>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</si>
  <si>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</si>
  <si>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</si>
  <si>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</si>
  <si>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</si>
  <si>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</si>
  <si>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</si>
  <si>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</si>
  <si>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</si>
  <si>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</si>
  <si>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</si>
  <si>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</si>
  <si>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</si>
  <si>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</si>
  <si>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</si>
  <si>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</si>
  <si>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</si>
  <si>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</si>
  <si>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</si>
  <si>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</si>
  <si>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</si>
  <si>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</si>
  <si>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</si>
  <si>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</si>
  <si>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</si>
  <si>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</si>
  <si>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</si>
  <si>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</si>
  <si>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</si>
  <si>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</si>
  <si>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</si>
  <si>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</si>
  <si>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</si>
  <si>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</si>
  <si>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</si>
  <si>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</si>
  <si>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</si>
  <si>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</si>
  <si>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</si>
  <si>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</si>
  <si>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</si>
  <si>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</si>
  <si>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</si>
  <si>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</si>
  <si>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</si>
  <si>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</si>
  <si>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</si>
  <si>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</si>
  <si>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</si>
  <si>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</si>
  <si>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</si>
  <si>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</si>
  <si>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</si>
  <si>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</si>
  <si>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</si>
  <si>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</si>
  <si>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</si>
  <si>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</si>
  <si>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</si>
  <si>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</si>
  <si>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</si>
  <si>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</si>
  <si>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</si>
  <si>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</si>
  <si>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</si>
  <si>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</si>
  <si>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</si>
  <si>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</si>
  <si>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</si>
  <si>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</si>
  <si>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</si>
  <si>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</si>
  <si>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</si>
  <si>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</si>
  <si>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</si>
  <si>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</si>
  <si>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</si>
  <si>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</si>
  <si>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</si>
  <si>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</si>
  <si>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</si>
  <si>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</si>
  <si>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</si>
  <si>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</si>
  <si>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</si>
  <si>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</si>
  <si>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</si>
  <si>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</si>
  <si>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</si>
  <si>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</si>
  <si>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</si>
  <si>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</si>
  <si>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</si>
  <si>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</si>
  <si>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</si>
  <si>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</si>
  <si>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</si>
  <si>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</si>
  <si>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</si>
  <si>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</si>
  <si>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</si>
  <si>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</si>
  <si>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</si>
  <si>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</si>
  <si>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</si>
  <si>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</si>
  <si>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</si>
  <si>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</si>
  <si>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</si>
  <si>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</si>
  <si>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</si>
  <si>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</si>
  <si>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</si>
  <si>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</si>
  <si>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</si>
  <si>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</si>
  <si>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</si>
  <si>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</si>
  <si>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</si>
  <si>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</si>
  <si>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</si>
  <si>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</si>
  <si>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</si>
  <si>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</si>
  <si>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</si>
  <si>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</si>
  <si>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</si>
  <si>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</si>
  <si>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</si>
  <si>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</si>
  <si>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</si>
  <si>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</si>
  <si>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</si>
  <si>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</si>
  <si>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</si>
  <si>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</si>
  <si>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</si>
  <si>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</si>
  <si>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</si>
  <si>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</si>
  <si>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</si>
  <si>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</si>
  <si>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</si>
  <si>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</si>
  <si>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</si>
  <si>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</si>
  <si>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</si>
  <si>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</si>
  <si>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</si>
  <si>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</si>
  <si>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</si>
  <si>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</si>
  <si>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</si>
  <si>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</si>
  <si>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</si>
  <si>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</si>
  <si>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</si>
  <si>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</si>
  <si>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</si>
  <si>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</si>
  <si>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</si>
  <si>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</si>
  <si>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</si>
  <si>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</si>
  <si>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</si>
  <si>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</si>
  <si>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</si>
  <si>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</si>
  <si>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</si>
  <si>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</si>
  <si>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</si>
  <si>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</si>
  <si>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</si>
  <si>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</si>
  <si>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</si>
  <si>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</si>
  <si>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</si>
  <si>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</si>
  <si>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</si>
  <si>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</si>
  <si>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</si>
  <si>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</si>
  <si>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</si>
  <si>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</si>
  <si>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</si>
  <si>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</si>
  <si>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</si>
  <si>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</si>
  <si>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</si>
  <si>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</si>
  <si>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</si>
  <si>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</si>
  <si>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</si>
  <si>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</si>
  <si>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</si>
  <si>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</si>
  <si>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</si>
  <si>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</si>
  <si>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</si>
  <si>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</si>
  <si>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</si>
  <si>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</si>
  <si>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</si>
  <si>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</si>
  <si>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</si>
  <si>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</si>
  <si>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</si>
  <si>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</si>
  <si>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</si>
  <si>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</si>
  <si>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</si>
  <si>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</si>
  <si>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</si>
  <si>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</si>
  <si>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</si>
  <si>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</si>
  <si>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</si>
  <si>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</si>
  <si>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</si>
  <si>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</si>
  <si>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</si>
  <si>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</si>
  <si>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</si>
  <si>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</si>
  <si>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</si>
  <si>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</si>
  <si>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</si>
  <si>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</si>
  <si>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</si>
  <si>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</si>
  <si>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</si>
  <si>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</si>
  <si>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</si>
  <si>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</si>
  <si>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</si>
  <si>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</si>
  <si>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</si>
  <si>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</si>
  <si>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</si>
  <si>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</si>
  <si>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</si>
  <si>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</si>
  <si>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</si>
  <si>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</si>
  <si>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</si>
  <si>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</si>
  <si>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</si>
  <si>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</si>
  <si>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</si>
  <si>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</si>
  <si>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</si>
  <si>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</si>
  <si>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</si>
  <si>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</si>
  <si>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</si>
  <si>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</si>
  <si>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</si>
  <si>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</si>
  <si>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</si>
  <si>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</si>
  <si>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</si>
  <si>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</si>
  <si>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</si>
  <si>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</si>
  <si>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</si>
  <si>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</si>
  <si>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</si>
  <si>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</si>
  <si>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</si>
  <si>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</si>
  <si>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</si>
  <si>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</si>
  <si>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</si>
  <si>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</si>
  <si>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</si>
  <si>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</si>
  <si>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</si>
  <si>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</si>
  <si>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</si>
  <si>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</si>
  <si>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</si>
  <si>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</si>
  <si>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</si>
  <si>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</si>
  <si>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</si>
  <si>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</si>
  <si>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</si>
  <si>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</si>
  <si>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</si>
  <si>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</si>
  <si>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</si>
  <si>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</si>
  <si>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</si>
  <si>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</si>
  <si>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</si>
  <si>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</si>
  <si>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</si>
  <si>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</si>
  <si>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</si>
  <si>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</si>
  <si>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</si>
  <si>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</si>
  <si>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</si>
  <si>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</si>
  <si>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</si>
  <si>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</si>
  <si>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</si>
  <si>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</si>
  <si>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</si>
  <si>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</si>
  <si>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</si>
  <si>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</si>
  <si>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</si>
  <si>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</si>
  <si>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</si>
  <si>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</si>
  <si>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</si>
  <si>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</si>
  <si>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</si>
  <si>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</si>
  <si>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</si>
  <si>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</si>
  <si>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</si>
  <si>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</si>
  <si>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</si>
  <si>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</si>
  <si>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</si>
  <si>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</si>
  <si>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</si>
  <si>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</si>
  <si>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</si>
  <si>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</si>
  <si>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</si>
  <si>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</si>
  <si>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</si>
  <si>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</si>
  <si>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</si>
  <si>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</si>
  <si>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</si>
  <si>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</si>
  <si>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</si>
  <si>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</si>
  <si>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</si>
  <si>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</si>
  <si>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</si>
  <si>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</si>
  <si>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</si>
  <si>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</si>
  <si>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</si>
  <si>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</si>
  <si>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</si>
  <si>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</si>
  <si>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</si>
  <si>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</si>
  <si>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</si>
  <si>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</si>
  <si>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</si>
  <si>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</si>
  <si>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</si>
  <si>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</si>
  <si>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</si>
  <si>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</si>
  <si>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</si>
  <si>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</si>
  <si>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</si>
  <si>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</si>
  <si>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</si>
  <si>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</si>
  <si>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</si>
  <si>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</si>
  <si>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</si>
  <si>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</si>
  <si>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</si>
  <si>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</si>
  <si>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</si>
  <si>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</si>
  <si>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</si>
  <si>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</si>
  <si>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</si>
  <si>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</si>
  <si>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</si>
  <si>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</si>
  <si>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</si>
  <si>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</si>
  <si>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</si>
  <si>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</si>
  <si>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</si>
  <si>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</si>
  <si>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</si>
  <si>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</si>
  <si>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</si>
  <si>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</si>
  <si>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</si>
  <si>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</si>
  <si>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</si>
  <si>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</si>
  <si>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</si>
  <si>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</si>
  <si>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</si>
  <si>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</si>
  <si>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</si>
  <si>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</si>
  <si>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</si>
  <si>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</si>
  <si>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</si>
  <si>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</si>
  <si>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</si>
  <si>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</si>
  <si>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</si>
  <si>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</si>
  <si>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</si>
  <si>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</si>
  <si>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</si>
  <si>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</si>
  <si>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</si>
  <si>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</si>
  <si>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</si>
  <si>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</si>
  <si>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</si>
  <si>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</si>
  <si>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</si>
  <si>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</si>
  <si>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</si>
  <si>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</si>
  <si>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</si>
  <si>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</si>
  <si>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</si>
  <si>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</si>
  <si>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</si>
  <si>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</si>
  <si>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</si>
  <si>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</si>
  <si>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</si>
  <si>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</si>
  <si>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</si>
  <si>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</si>
  <si>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</si>
  <si>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</si>
  <si>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</si>
  <si>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</si>
  <si>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</si>
  <si>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</si>
  <si>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</si>
  <si>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</si>
  <si>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</si>
  <si>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</si>
  <si>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</si>
  <si>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</si>
  <si>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</si>
  <si>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</si>
  <si>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</si>
  <si>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</si>
  <si>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</si>
  <si>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</si>
  <si>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</si>
  <si>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</si>
  <si>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</si>
  <si>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</si>
  <si>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</si>
  <si>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</si>
  <si>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</si>
  <si>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</si>
  <si>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</si>
  <si>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</si>
  <si>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</si>
  <si>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</si>
  <si>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</si>
  <si>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</si>
  <si>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</si>
  <si>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</si>
  <si>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</si>
  <si>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</si>
  <si>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</si>
  <si>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</si>
  <si>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</si>
  <si>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</si>
  <si>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</si>
  <si>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</si>
  <si>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</si>
  <si>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</si>
  <si>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</si>
  <si>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</si>
  <si>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</si>
  <si>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</si>
  <si>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</si>
  <si>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</si>
  <si>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</si>
  <si>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</si>
  <si>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</si>
  <si>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</si>
  <si>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</si>
  <si>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</si>
  <si>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</si>
  <si>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</si>
  <si>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</si>
  <si>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</si>
  <si>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</si>
  <si>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</si>
  <si>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</si>
  <si>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</si>
  <si>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</si>
  <si>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</si>
  <si>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</si>
  <si>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</si>
  <si>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</si>
  <si>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</si>
  <si>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</si>
  <si>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</si>
  <si>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</si>
  <si>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</si>
  <si>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</si>
  <si>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</si>
  <si>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</si>
  <si>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</si>
  <si>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</si>
  <si>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</si>
  <si>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</si>
  <si>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</si>
  <si>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</si>
  <si>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</si>
  <si>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</si>
  <si>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</si>
  <si>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</si>
  <si>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</si>
  <si>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</si>
  <si>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</si>
  <si>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</si>
  <si>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</si>
  <si>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</si>
  <si>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</si>
  <si>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</si>
  <si>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</si>
  <si>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</si>
  <si>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</si>
  <si>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</si>
  <si>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</si>
  <si>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</si>
  <si>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</si>
  <si>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</si>
  <si>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</si>
  <si>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</si>
  <si>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</si>
  <si>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</si>
  <si>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</si>
  <si>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</si>
  <si>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</si>
  <si>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</si>
  <si>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</si>
  <si>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</si>
  <si>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</si>
  <si>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</si>
  <si>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</si>
  <si>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</si>
  <si>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</si>
  <si>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</si>
  <si>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</si>
  <si>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</si>
  <si>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</si>
  <si>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</si>
  <si>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</si>
  <si>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</si>
  <si>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</si>
  <si>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</si>
  <si>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</si>
  <si>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</si>
  <si>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</si>
  <si>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</si>
  <si>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</si>
  <si>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</si>
  <si>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</si>
  <si>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</si>
  <si>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</si>
  <si>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</si>
  <si>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</si>
  <si>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</si>
  <si>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</si>
  <si>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</si>
  <si>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</si>
  <si>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</si>
  <si>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</si>
  <si>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</si>
  <si>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</si>
  <si>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</si>
  <si>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</si>
  <si>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</si>
  <si>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</si>
  <si>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</si>
  <si>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</si>
  <si>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</si>
  <si>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</si>
  <si>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</si>
  <si>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</si>
  <si>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</si>
  <si>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</si>
  <si>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</si>
  <si>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</si>
  <si>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</si>
  <si>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</si>
  <si>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</si>
  <si>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</si>
  <si>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</si>
  <si>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</si>
  <si>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</si>
  <si>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</si>
  <si>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</si>
  <si>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</si>
  <si>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</si>
  <si>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</si>
  <si>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</si>
  <si>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</si>
  <si>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</si>
  <si>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</si>
  <si>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</si>
  <si>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</si>
  <si>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</si>
  <si>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</si>
  <si>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</si>
  <si>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</si>
  <si>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</si>
  <si>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</si>
  <si>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</si>
  <si>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</si>
  <si>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</si>
  <si>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</si>
  <si>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</si>
  <si>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</si>
  <si>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</si>
  <si>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</si>
  <si>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</si>
  <si>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</si>
  <si>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</si>
  <si>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</si>
  <si>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</si>
  <si>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</si>
  <si>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</si>
  <si>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</si>
  <si>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</si>
  <si>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</si>
  <si>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</si>
  <si>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</si>
  <si>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</si>
  <si>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</si>
  <si>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</si>
  <si>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</si>
  <si>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</si>
  <si>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</si>
  <si>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</si>
  <si>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</si>
  <si>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</si>
  <si>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</si>
  <si>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</si>
  <si>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</si>
  <si>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</si>
  <si>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</si>
  <si>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</si>
  <si>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</si>
  <si>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</si>
  <si>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</si>
  <si>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</si>
  <si>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</si>
  <si>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</si>
  <si>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</si>
  <si>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</si>
  <si>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</si>
  <si>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</si>
  <si>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</si>
  <si>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</si>
  <si>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</si>
  <si>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</si>
  <si>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</si>
  <si>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</si>
  <si>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</si>
  <si>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</si>
  <si>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</si>
  <si>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</si>
  <si>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</si>
  <si>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</si>
  <si>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</si>
  <si>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</si>
  <si>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</si>
  <si>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</si>
  <si>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</si>
  <si>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</si>
  <si>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</si>
  <si>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</si>
  <si>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</si>
  <si>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</si>
  <si>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</si>
  <si>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</si>
  <si>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</si>
  <si>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</si>
  <si>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</si>
  <si>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</si>
  <si>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</si>
  <si>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</si>
  <si>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</si>
  <si>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</si>
  <si>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</si>
  <si>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</si>
  <si>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</si>
  <si>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</si>
  <si>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</si>
  <si>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</si>
  <si>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</si>
  <si>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</si>
  <si>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</si>
  <si>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</si>
  <si>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</si>
  <si>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</si>
  <si>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</si>
  <si>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</si>
  <si>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</si>
  <si>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</si>
  <si>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</si>
  <si>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</si>
  <si>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</si>
  <si>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</si>
  <si>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</si>
  <si>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</si>
  <si>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</si>
  <si>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</si>
  <si>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</si>
  <si>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</si>
  <si>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</si>
  <si>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</si>
  <si>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</si>
  <si>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</si>
  <si>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</si>
  <si>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</si>
  <si>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</si>
  <si>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</si>
  <si>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</si>
  <si>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</si>
  <si>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</si>
  <si>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</si>
  <si>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</si>
  <si>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</si>
  <si>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</si>
  <si>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</si>
  <si>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</si>
  <si>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</si>
  <si>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</si>
  <si>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</si>
  <si>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</si>
  <si>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</si>
  <si>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</si>
  <si>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</si>
  <si>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</si>
  <si>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</si>
  <si>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</si>
  <si>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</si>
  <si>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</si>
  <si>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</si>
  <si>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</si>
  <si>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</si>
  <si>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</si>
  <si>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</si>
  <si>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</si>
  <si>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</si>
  <si>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</si>
  <si>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</si>
  <si>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</si>
  <si>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</si>
  <si>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</si>
  <si>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</si>
  <si>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</si>
  <si>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</si>
  <si>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</si>
  <si>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</si>
  <si>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</si>
  <si>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</si>
  <si>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</si>
  <si>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</si>
  <si>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</si>
  <si>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</si>
  <si>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</si>
  <si>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</si>
  <si>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</si>
  <si>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</si>
  <si>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</si>
  <si>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</si>
  <si>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</si>
  <si>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</si>
  <si>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</si>
  <si>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</si>
  <si>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</si>
  <si>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</si>
  <si>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</si>
  <si>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</si>
  <si>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</si>
  <si>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</si>
  <si>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</si>
  <si>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</si>
  <si>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</si>
  <si>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</si>
  <si>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</si>
  <si>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</si>
  <si>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</si>
  <si>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</si>
  <si>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</si>
  <si>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</si>
  <si>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</si>
  <si>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</si>
  <si>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</si>
  <si>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</si>
  <si>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</si>
  <si>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</si>
  <si>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</si>
  <si>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</si>
  <si>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</si>
  <si>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</si>
  <si>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</si>
  <si>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</si>
  <si>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</si>
  <si>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</si>
  <si>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</si>
  <si>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</si>
  <si>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</si>
  <si>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</si>
  <si>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</si>
  <si>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</si>
  <si>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</si>
  <si>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</si>
  <si>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</si>
  <si>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</si>
  <si>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</si>
  <si>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</si>
  <si>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</si>
  <si>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</si>
  <si>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</si>
  <si>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</si>
  <si>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</si>
  <si>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</si>
  <si>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</si>
  <si>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</si>
  <si>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</si>
  <si>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</si>
  <si>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</si>
  <si>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</si>
  <si>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</si>
  <si>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</si>
  <si>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</si>
  <si>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</si>
  <si>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</si>
  <si>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</si>
  <si>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</si>
  <si>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</si>
  <si>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</si>
  <si>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</si>
  <si>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</si>
  <si>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</si>
  <si>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</si>
  <si>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</si>
  <si>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</si>
  <si>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</si>
  <si>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</si>
  <si>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</si>
  <si>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</si>
  <si>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</si>
  <si>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</si>
  <si>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</si>
  <si>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</si>
  <si>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</si>
  <si>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</si>
  <si>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</si>
  <si>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</si>
  <si>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</si>
  <si>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</si>
  <si>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</si>
  <si>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</si>
  <si>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</si>
  <si>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</si>
  <si>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</si>
  <si>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</si>
  <si>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</si>
  <si>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</si>
  <si>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</si>
  <si>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</si>
  <si>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</si>
  <si>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</si>
  <si>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</si>
  <si>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</si>
  <si>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</si>
  <si>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</si>
  <si>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</si>
  <si>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</si>
  <si>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</si>
  <si>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</si>
  <si>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</si>
  <si>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</si>
  <si>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</si>
  <si>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</si>
  <si>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</si>
  <si>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</si>
  <si>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</si>
  <si>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</si>
  <si>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</si>
  <si>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</si>
  <si>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</si>
  <si>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</si>
  <si>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</si>
  <si>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</si>
  <si>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</si>
  <si>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</si>
  <si>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</si>
  <si>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</si>
  <si>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</si>
  <si>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</si>
  <si>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</si>
  <si>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</si>
  <si>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</si>
  <si>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</si>
  <si>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</si>
  <si>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</si>
  <si>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</si>
  <si>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</si>
  <si>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</si>
  <si>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</si>
  <si>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</si>
  <si>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</si>
  <si>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</si>
  <si>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</si>
  <si>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</si>
  <si>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</si>
  <si>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</si>
  <si>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</si>
  <si>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</si>
  <si>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</si>
  <si>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</si>
  <si>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</si>
  <si>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</si>
  <si>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</si>
  <si>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</si>
  <si>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</si>
  <si>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</si>
  <si>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</si>
  <si>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</si>
  <si>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</si>
  <si>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</si>
  <si>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</si>
  <si>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</si>
  <si>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</si>
  <si>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</si>
  <si>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</si>
  <si>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</si>
  <si>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</si>
  <si>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</si>
  <si>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</si>
  <si>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</si>
  <si>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</si>
  <si>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</si>
  <si>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</si>
  <si>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</si>
  <si>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</si>
  <si>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</si>
  <si>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</si>
  <si>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</si>
  <si>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</si>
  <si>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</si>
  <si>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</si>
  <si>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</si>
  <si>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</si>
  <si>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</si>
  <si>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</si>
  <si>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</si>
  <si>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</si>
  <si>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</si>
  <si>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</si>
  <si>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</si>
  <si>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</si>
  <si>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</si>
  <si>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</si>
  <si>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</si>
  <si>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</si>
  <si>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</si>
  <si>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</si>
  <si>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</si>
  <si>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</si>
  <si>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</si>
  <si>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</si>
  <si>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</si>
  <si>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</si>
  <si>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</si>
  <si>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</si>
  <si>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</si>
  <si>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</si>
  <si>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</si>
  <si>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</si>
  <si>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</si>
  <si>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</si>
  <si>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</si>
  <si>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</si>
  <si>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</si>
  <si>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</si>
  <si>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</si>
  <si>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</si>
  <si>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</si>
  <si>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</si>
  <si>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</si>
  <si>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</si>
  <si>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</si>
  <si>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</si>
  <si>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</si>
  <si>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</si>
  <si>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</si>
  <si>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</si>
  <si>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</si>
  <si>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</si>
  <si>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</si>
  <si>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</si>
  <si>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</si>
  <si>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</si>
  <si>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</si>
  <si>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</si>
  <si>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</si>
  <si>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</si>
  <si>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</si>
  <si>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</si>
  <si>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</si>
  <si>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</si>
  <si>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</si>
  <si>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</si>
  <si>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</si>
  <si>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</si>
  <si>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</si>
  <si>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</si>
  <si>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</si>
  <si>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</si>
  <si>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</si>
  <si>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</si>
  <si>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</si>
  <si>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</si>
  <si>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</si>
  <si>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</si>
  <si>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</si>
  <si>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</si>
  <si>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</si>
  <si>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</si>
  <si>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</si>
  <si>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</si>
  <si>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</si>
  <si>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</si>
  <si>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</si>
  <si>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</si>
  <si>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</si>
  <si>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</si>
  <si>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</si>
  <si>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</si>
  <si>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</si>
  <si>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</si>
  <si>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</si>
  <si>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</si>
  <si>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</si>
  <si>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</si>
  <si>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</si>
  <si>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</si>
  <si>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</si>
  <si>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</si>
  <si>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</si>
  <si>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</si>
  <si>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</si>
  <si>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</si>
  <si>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</si>
  <si>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</si>
  <si>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</si>
  <si>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</si>
  <si>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</si>
  <si>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</si>
  <si>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</si>
  <si>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</si>
  <si>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</si>
  <si>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</si>
  <si>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</si>
  <si>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</si>
  <si>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</si>
  <si>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</si>
  <si>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</si>
  <si>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</si>
  <si>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</si>
  <si>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</si>
  <si>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</si>
  <si>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</si>
  <si>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</si>
  <si>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</si>
  <si>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</si>
  <si>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</si>
  <si>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</si>
  <si>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</si>
  <si>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</si>
  <si>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</si>
  <si>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</si>
  <si>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</si>
  <si>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</si>
  <si>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</si>
  <si>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</si>
  <si>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</si>
  <si>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</si>
  <si>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</si>
  <si>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</si>
  <si>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</si>
  <si>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</si>
  <si>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</si>
  <si>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</si>
  <si>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</si>
  <si>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</si>
  <si>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</si>
  <si>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</si>
  <si>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</si>
  <si>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</si>
  <si>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</si>
  <si>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</si>
  <si>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</si>
  <si>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</si>
  <si>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</si>
  <si>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</si>
  <si>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</si>
  <si>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</si>
  <si>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</si>
  <si>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</si>
  <si>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</si>
  <si>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</si>
  <si>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</si>
  <si>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</si>
  <si>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</si>
  <si>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</si>
  <si>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</si>
  <si>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</si>
  <si>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</si>
  <si>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</si>
  <si>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</si>
  <si>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</si>
  <si>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</si>
  <si>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</si>
  <si>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</si>
  <si>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</si>
  <si>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</si>
  <si>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</si>
  <si>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</si>
  <si>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</si>
  <si>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</si>
  <si>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</si>
  <si>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</si>
  <si>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</si>
  <si>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</si>
  <si>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</si>
  <si>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</si>
  <si>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</si>
  <si>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</si>
  <si>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</si>
  <si>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</si>
  <si>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</si>
  <si>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</si>
  <si>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</si>
  <si>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</si>
  <si>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</si>
  <si>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</si>
  <si>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</si>
  <si>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</si>
  <si>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</si>
  <si>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</si>
  <si>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</si>
  <si>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</si>
  <si>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</si>
  <si>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</si>
  <si>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</si>
  <si>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</si>
  <si>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</si>
  <si>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</si>
  <si>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</si>
  <si>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</si>
  <si>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</si>
  <si>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</si>
  <si>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</si>
  <si>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</si>
  <si>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</si>
  <si>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</si>
  <si>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</si>
  <si>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</si>
  <si>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</si>
  <si>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</si>
  <si>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</si>
  <si>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</si>
  <si>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</si>
  <si>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</si>
  <si>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</si>
  <si>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</si>
  <si>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</si>
  <si>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</si>
  <si>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</si>
  <si>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</si>
  <si>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</si>
  <si>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</si>
  <si>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</si>
  <si>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</si>
  <si>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</si>
  <si>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</si>
  <si>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</si>
  <si>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</si>
  <si>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</si>
  <si>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</si>
  <si>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</si>
  <si>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</si>
  <si>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</si>
  <si>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</si>
  <si>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</si>
  <si>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</si>
  <si>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</si>
  <si>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</si>
  <si>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</si>
  <si>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</si>
  <si>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</si>
  <si>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</si>
  <si>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</si>
  <si>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</si>
  <si>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</si>
  <si>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</si>
  <si>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</si>
  <si>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</si>
  <si>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</si>
  <si>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</si>
  <si>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</si>
  <si>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</si>
  <si>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</si>
  <si>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</si>
  <si>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</si>
  <si>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</si>
  <si>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</si>
  <si>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</si>
  <si>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</si>
  <si>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</si>
  <si>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</si>
  <si>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</si>
  <si>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</si>
  <si>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</si>
  <si>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</si>
  <si>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</si>
  <si>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</si>
  <si>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</si>
  <si>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</si>
  <si>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</si>
  <si>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</si>
  <si>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</si>
  <si>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</si>
  <si>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</si>
  <si>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</si>
  <si>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</si>
  <si>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</si>
  <si>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</si>
  <si>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</si>
  <si>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</si>
  <si>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</si>
  <si>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</si>
  <si>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</si>
  <si>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</si>
  <si>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</si>
  <si>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</si>
  <si>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</si>
  <si>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</si>
  <si>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</si>
  <si>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</si>
  <si>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</si>
  <si>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</si>
  <si>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</si>
  <si>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</si>
  <si>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</si>
  <si>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</si>
  <si>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</si>
  <si>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</si>
  <si>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</si>
  <si>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</si>
  <si>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</si>
  <si>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</si>
  <si>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</si>
  <si>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</si>
  <si>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</si>
  <si>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</si>
  <si>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</si>
  <si>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</si>
  <si>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</si>
  <si>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</si>
  <si>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</si>
  <si>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</si>
  <si>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</si>
  <si>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</si>
  <si>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</si>
  <si>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</si>
  <si>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</si>
  <si>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</si>
  <si>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</si>
  <si>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</si>
  <si>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</si>
  <si>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</si>
  <si>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</si>
  <si>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</si>
  <si>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</si>
  <si>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</si>
  <si>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</si>
  <si>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</si>
  <si>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</si>
  <si>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</si>
  <si>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</si>
  <si>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</si>
  <si>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</si>
  <si>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</si>
  <si>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</si>
  <si>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</si>
  <si>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</si>
  <si>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</si>
  <si>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</si>
  <si>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</si>
  <si>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</si>
  <si>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</si>
  <si>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</si>
  <si>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</si>
  <si>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</si>
  <si>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</si>
  <si>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</si>
  <si>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</si>
  <si>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</si>
  <si>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</si>
  <si>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</si>
  <si>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</si>
  <si>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</si>
  <si>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</si>
  <si>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</si>
  <si>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</si>
  <si>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</si>
  <si>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</si>
  <si>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</si>
  <si>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</si>
  <si>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</si>
  <si>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</si>
  <si>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</si>
  <si>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</si>
  <si>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</si>
  <si>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</si>
  <si>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</si>
  <si>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</si>
  <si>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</si>
  <si>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</si>
  <si>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</si>
  <si>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</si>
  <si>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</si>
  <si>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</si>
  <si>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</si>
  <si>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</si>
  <si>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</si>
  <si>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</si>
  <si>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</si>
  <si>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</si>
  <si>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</si>
  <si>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</si>
  <si>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</si>
  <si>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</si>
  <si>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</si>
  <si>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</si>
  <si>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</si>
  <si>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</si>
  <si>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</si>
  <si>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</si>
  <si>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</si>
  <si>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</si>
  <si>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</si>
  <si>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</si>
  <si>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</si>
  <si>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</si>
  <si>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</si>
  <si>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</si>
  <si>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</si>
  <si>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</si>
  <si>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</si>
  <si>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</si>
  <si>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</si>
  <si>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</si>
  <si>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</si>
  <si>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</si>
  <si>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</si>
  <si>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</si>
  <si>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</si>
  <si>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</si>
  <si>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</si>
  <si>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</si>
  <si>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</si>
  <si>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</si>
  <si>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</si>
  <si>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</si>
  <si>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</si>
  <si>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</si>
  <si>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</si>
  <si>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</si>
  <si>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</si>
  <si>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</si>
  <si>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</si>
  <si>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</si>
  <si>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</si>
  <si>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</si>
  <si>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</si>
  <si>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</si>
  <si>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</si>
  <si>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</si>
  <si>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</si>
  <si>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</si>
  <si>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</si>
  <si>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</si>
  <si>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</si>
  <si>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</si>
  <si>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</si>
  <si>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</si>
  <si>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</si>
  <si>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</si>
  <si>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</si>
  <si>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</si>
  <si>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</si>
  <si>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</si>
  <si>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</si>
  <si>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</si>
  <si>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</si>
  <si>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</si>
  <si>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</si>
  <si>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</si>
  <si>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</si>
  <si>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</si>
  <si>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</si>
  <si>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</si>
  <si>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</si>
  <si>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</si>
  <si>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</si>
  <si>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</si>
  <si>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</si>
  <si>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</si>
  <si>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</si>
  <si>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</si>
  <si>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</si>
  <si>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</si>
  <si>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</si>
  <si>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</si>
  <si>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</si>
  <si>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</si>
  <si>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</si>
  <si>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</si>
  <si>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</si>
  <si>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</si>
  <si>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</si>
  <si>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</si>
  <si>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</si>
  <si>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</si>
  <si>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</si>
  <si>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</si>
  <si>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</si>
  <si>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</si>
  <si>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</si>
  <si>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</si>
  <si>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</si>
  <si>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</si>
  <si>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</si>
  <si>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</si>
  <si>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</si>
  <si>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</si>
  <si>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</si>
  <si>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</si>
  <si>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</si>
  <si>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</si>
  <si>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</si>
  <si>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</si>
  <si>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</si>
  <si>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</si>
  <si>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</si>
  <si>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</si>
  <si>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</si>
  <si>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</si>
  <si>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</si>
  <si>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</si>
  <si>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</si>
  <si>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</si>
  <si>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</si>
  <si>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</si>
  <si>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</si>
  <si>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</si>
  <si>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</si>
  <si>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</si>
  <si>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</si>
  <si>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</si>
  <si>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</si>
  <si>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</si>
  <si>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</si>
  <si>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</si>
  <si>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</si>
  <si>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</si>
  <si>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</si>
  <si>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</si>
  <si>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</si>
  <si>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</si>
  <si>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</si>
  <si>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</si>
  <si>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</si>
  <si>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</si>
  <si>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</si>
  <si>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</si>
  <si>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</si>
  <si>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</si>
  <si>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</si>
  <si>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</si>
  <si>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</si>
  <si>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</si>
  <si>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</si>
  <si>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</si>
  <si>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</si>
  <si>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</si>
  <si>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</si>
  <si>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</si>
  <si>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</si>
  <si>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</si>
  <si>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</si>
  <si>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</si>
  <si>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</si>
  <si>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</si>
  <si>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</si>
  <si>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</si>
  <si>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</si>
  <si>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</si>
  <si>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</si>
  <si>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</si>
  <si>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</si>
  <si>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</si>
  <si>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</si>
  <si>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</si>
  <si>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</si>
  <si>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</si>
  <si>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</si>
  <si>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</si>
  <si>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</si>
  <si>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</si>
  <si>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</si>
  <si>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</si>
  <si>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</si>
  <si>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</si>
  <si>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</si>
  <si>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</si>
  <si>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</si>
  <si>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</si>
  <si>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</si>
  <si>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</si>
  <si>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</si>
  <si>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</si>
  <si>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</si>
  <si>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</si>
  <si>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</si>
  <si>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</si>
  <si>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</si>
  <si>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</si>
  <si>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</si>
  <si>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</si>
  <si>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</si>
  <si>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</si>
  <si>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</si>
  <si>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</si>
  <si>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</si>
  <si>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</si>
  <si>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</si>
  <si>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</si>
  <si>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</si>
  <si>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</si>
  <si>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</si>
  <si>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</si>
  <si>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</si>
  <si>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</si>
  <si>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</si>
  <si>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</si>
  <si>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</si>
  <si>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</si>
  <si>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</si>
  <si>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</si>
  <si>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</si>
  <si>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</si>
  <si>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</si>
  <si>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</si>
  <si>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</si>
  <si>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</si>
  <si>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</si>
  <si>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</si>
  <si>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</si>
  <si>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</si>
  <si>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</si>
  <si>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</si>
  <si>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</si>
  <si>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</si>
  <si>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</si>
  <si>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</si>
  <si>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</si>
  <si>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</si>
  <si>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</si>
  <si>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</si>
  <si>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</si>
  <si>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</si>
  <si>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</si>
  <si>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</si>
  <si>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</si>
  <si>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</si>
  <si>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</si>
  <si>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</si>
  <si>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</si>
  <si>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</si>
  <si>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</si>
  <si>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</si>
  <si>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</si>
  <si>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</si>
  <si>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</si>
  <si>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</si>
  <si>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</si>
  <si>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</si>
  <si>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</si>
  <si>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</si>
  <si>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</si>
  <si>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</si>
  <si>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</si>
  <si>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</si>
  <si>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</si>
  <si>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</si>
  <si>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</si>
  <si>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</si>
  <si>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</si>
  <si>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</si>
  <si>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</si>
  <si>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</si>
  <si>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</si>
  <si>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</si>
  <si>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</si>
  <si>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</si>
  <si>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</si>
  <si>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</si>
  <si>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</si>
  <si>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</si>
  <si>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</si>
  <si>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</si>
  <si>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</si>
  <si>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</si>
  <si>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</si>
  <si>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</si>
  <si>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</si>
  <si>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</si>
  <si>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</si>
  <si>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</si>
  <si>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</si>
  <si>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</si>
  <si>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</si>
  <si>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</si>
  <si>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</si>
  <si>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</si>
  <si>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</si>
  <si>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</si>
  <si>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</si>
  <si>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</si>
  <si>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</si>
  <si>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</si>
  <si>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</si>
  <si>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</si>
  <si>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</si>
  <si>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</si>
  <si>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</si>
  <si>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</si>
  <si>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</si>
  <si>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</si>
  <si>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</si>
  <si>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</si>
  <si>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</si>
  <si>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</si>
  <si>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</si>
  <si>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</si>
  <si>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</si>
  <si>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</si>
  <si>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</si>
  <si>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</si>
  <si>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</si>
  <si>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</si>
  <si>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</si>
  <si>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</si>
  <si>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</si>
  <si>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</si>
  <si>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</si>
  <si>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</si>
  <si>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</si>
  <si>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</si>
  <si>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</si>
  <si>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</si>
  <si>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</si>
  <si>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</si>
  <si>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</si>
  <si>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</si>
  <si>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</si>
  <si>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</si>
  <si>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</si>
  <si>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</si>
  <si>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</si>
  <si>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</si>
  <si>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</si>
  <si>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</si>
  <si>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</si>
  <si>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</si>
  <si>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</si>
  <si>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</si>
  <si>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</si>
  <si>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</si>
  <si>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</si>
  <si>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</si>
  <si>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</si>
  <si>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</si>
  <si>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</si>
  <si>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</si>
  <si>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</si>
  <si>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</si>
  <si>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</si>
  <si>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</si>
  <si>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</si>
  <si>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</si>
  <si>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</si>
  <si>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</si>
  <si>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</si>
  <si>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</si>
  <si>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</si>
  <si>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</si>
  <si>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</si>
  <si>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</si>
  <si>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</si>
  <si>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</si>
  <si>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</si>
  <si>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</si>
  <si>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</si>
  <si>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</si>
  <si>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</si>
  <si>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</si>
  <si>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</si>
  <si>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</si>
  <si>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</si>
  <si>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</si>
  <si>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</si>
  <si>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</si>
  <si>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</si>
  <si>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</si>
  <si>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</si>
  <si>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</si>
  <si>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</si>
  <si>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</si>
  <si>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</si>
  <si>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</si>
  <si>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</si>
  <si>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</si>
  <si>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</si>
  <si>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</si>
  <si>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</si>
  <si>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</si>
  <si>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</si>
  <si>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</si>
  <si>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</si>
  <si>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</si>
  <si>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</si>
  <si>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</si>
  <si>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</si>
  <si>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</si>
  <si>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</si>
  <si>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</si>
  <si>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</si>
  <si>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</si>
  <si>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</si>
  <si>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</si>
  <si>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</si>
  <si>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</si>
  <si>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</si>
  <si>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</si>
  <si>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</si>
  <si>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</si>
  <si>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</si>
  <si>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</si>
  <si>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</si>
  <si>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</si>
  <si>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</si>
  <si>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</si>
  <si>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</si>
  <si>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</si>
  <si>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</si>
  <si>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</si>
  <si>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</si>
  <si>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</si>
  <si>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</si>
  <si>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</si>
  <si>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</si>
  <si>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</si>
  <si>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</si>
  <si>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</si>
  <si>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</si>
  <si>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</si>
  <si>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</si>
  <si>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</si>
  <si>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</si>
  <si>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</si>
  <si>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</si>
  <si>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</si>
  <si>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</si>
  <si>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</si>
  <si>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</si>
  <si>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</si>
  <si>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</si>
  <si>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</si>
  <si>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</si>
  <si>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</si>
  <si>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</si>
  <si>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</si>
  <si>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</si>
  <si>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</si>
  <si>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</si>
  <si>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</si>
  <si>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</si>
  <si>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</si>
  <si>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</si>
  <si>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</si>
  <si>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</si>
  <si>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</si>
  <si>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</si>
  <si>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</si>
  <si>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</si>
  <si>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</si>
  <si>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</si>
  <si>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</si>
  <si>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</si>
  <si>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</si>
  <si>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</si>
  <si>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</si>
  <si>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</si>
  <si>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</si>
  <si>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</si>
  <si>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</si>
  <si>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</si>
  <si>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</si>
  <si>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</si>
  <si>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</si>
  <si>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</si>
  <si>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</si>
  <si>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</si>
  <si>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</si>
  <si>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</si>
  <si>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</si>
  <si>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</si>
  <si>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</si>
  <si>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</si>
  <si>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</si>
  <si>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</si>
  <si>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</si>
  <si>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</si>
  <si>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</si>
  <si>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</si>
  <si>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</si>
  <si>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</si>
  <si>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</si>
  <si>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</si>
  <si>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</si>
  <si>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</si>
  <si>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</si>
  <si>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</si>
  <si>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</si>
  <si>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</si>
  <si>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</si>
  <si>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</si>
  <si>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</si>
  <si>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</si>
  <si>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</si>
  <si>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</si>
  <si>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</si>
  <si>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</si>
  <si>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</si>
  <si>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</si>
  <si>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</si>
  <si>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</si>
  <si>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</si>
  <si>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</si>
  <si>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</si>
  <si>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</si>
  <si>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</si>
  <si>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</si>
  <si>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</si>
  <si>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</si>
  <si>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</si>
  <si>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</si>
  <si>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</si>
  <si>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</si>
  <si>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</si>
  <si>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</si>
  <si>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</si>
  <si>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</si>
  <si>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</si>
  <si>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</si>
  <si>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</si>
  <si>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</si>
  <si>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</si>
  <si>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</si>
  <si>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</si>
  <si>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</si>
  <si>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</si>
  <si>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</si>
  <si>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</si>
  <si>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</si>
  <si>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</si>
  <si>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</si>
  <si>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</si>
  <si>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</si>
  <si>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</si>
  <si>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</si>
  <si>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</si>
  <si>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</si>
  <si>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</si>
  <si>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</si>
  <si>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</si>
  <si>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</si>
  <si>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</si>
  <si>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</si>
  <si>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</si>
  <si>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</si>
  <si>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</si>
  <si>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</si>
  <si>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</si>
  <si>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</si>
  <si>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</si>
  <si>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</si>
  <si>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</si>
  <si>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</si>
  <si>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</si>
  <si>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</si>
  <si>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</si>
  <si>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</si>
  <si>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</si>
  <si>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</si>
  <si>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</si>
  <si>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</si>
  <si>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</si>
  <si>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</si>
  <si>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</si>
  <si>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</si>
  <si>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</si>
  <si>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</si>
  <si>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</si>
  <si>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</si>
  <si>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</si>
  <si>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</si>
  <si>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</si>
  <si>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</si>
  <si>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</si>
  <si>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</si>
  <si>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</si>
  <si>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</si>
  <si>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</si>
  <si>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</si>
  <si>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</si>
  <si>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</si>
  <si>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</si>
  <si>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</si>
  <si>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</si>
  <si>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</si>
  <si>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</si>
  <si>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</si>
  <si>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</si>
  <si>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</si>
  <si>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</si>
  <si>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</si>
  <si>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</si>
  <si>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</si>
  <si>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</si>
  <si>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</si>
  <si>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</si>
  <si>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</si>
  <si>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</si>
  <si>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</si>
  <si>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</si>
  <si>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</si>
  <si>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</si>
  <si>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</si>
  <si>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</si>
  <si>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</si>
  <si>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</si>
  <si>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</si>
  <si>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</si>
  <si>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</si>
  <si>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</si>
  <si>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</si>
  <si>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</si>
  <si>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</si>
  <si>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</si>
  <si>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</si>
  <si>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</si>
  <si>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</si>
  <si>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</si>
  <si>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</si>
  <si>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</si>
  <si>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</si>
  <si>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</si>
  <si>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</si>
  <si>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</si>
  <si>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</si>
  <si>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</si>
  <si>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</si>
  <si>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</si>
  <si>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</si>
  <si>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</si>
  <si>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</si>
  <si>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</si>
  <si>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</si>
  <si>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</si>
  <si>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</si>
  <si>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</si>
  <si>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</si>
  <si>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</si>
  <si>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</si>
  <si>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</si>
  <si>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</si>
  <si>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</si>
  <si>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</si>
  <si>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</si>
  <si>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</si>
  <si>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</si>
  <si>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</si>
  <si>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</si>
  <si>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</si>
  <si>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</si>
  <si>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</si>
  <si>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</si>
  <si>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</si>
  <si>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</si>
  <si>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</si>
  <si>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</si>
  <si>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</si>
  <si>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</si>
  <si>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</si>
  <si>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</si>
  <si>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</si>
  <si>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</si>
  <si>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</si>
  <si>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</si>
  <si>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</si>
  <si>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</si>
  <si>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</si>
  <si>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</si>
  <si>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</si>
  <si>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</si>
  <si>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</si>
  <si>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</si>
  <si>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</si>
  <si>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</si>
  <si>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</si>
  <si>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</si>
  <si>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</si>
  <si>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</si>
  <si>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</si>
  <si>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</si>
  <si>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</si>
  <si>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</si>
  <si>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</si>
  <si>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</si>
  <si>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</si>
  <si>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</si>
  <si>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</si>
  <si>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</si>
  <si>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</si>
  <si>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</si>
  <si>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</si>
  <si>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</si>
  <si>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</si>
  <si>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</si>
  <si>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</si>
  <si>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</si>
  <si>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</si>
  <si>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</si>
  <si>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</si>
  <si>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</si>
  <si>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</si>
  <si>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</si>
  <si>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</si>
  <si>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</si>
  <si>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</si>
  <si>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</si>
  <si>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</si>
  <si>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</si>
  <si>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</si>
  <si>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</si>
  <si>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</si>
  <si>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</si>
  <si>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</si>
  <si>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</si>
  <si>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</si>
  <si>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</si>
  <si>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</si>
  <si>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</si>
  <si>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</si>
  <si>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</si>
  <si>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</si>
  <si>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</si>
  <si>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</si>
  <si>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</si>
  <si>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</si>
  <si>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</si>
  <si>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</si>
  <si>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</si>
  <si>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</si>
  <si>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</si>
  <si>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</si>
  <si>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</si>
  <si>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</si>
  <si>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</si>
  <si>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</si>
  <si>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</si>
  <si>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</si>
  <si>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</si>
  <si>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</si>
  <si>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</si>
  <si>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</si>
  <si>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</si>
  <si>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</si>
  <si>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</si>
  <si>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</si>
  <si>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</si>
  <si>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</si>
  <si>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</si>
  <si>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</si>
  <si>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</si>
  <si>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</si>
  <si>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</si>
  <si>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</si>
  <si>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</si>
  <si>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</si>
  <si>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</si>
  <si>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</si>
  <si>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</si>
  <si>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</si>
  <si>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</si>
  <si>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</si>
  <si>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</si>
  <si>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</si>
  <si>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</si>
  <si>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</si>
  <si>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</si>
  <si>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</si>
  <si>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</si>
  <si>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</si>
  <si>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</si>
  <si>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</si>
  <si>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</si>
  <si>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</si>
  <si>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</si>
  <si>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</si>
  <si>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</si>
  <si>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</si>
  <si>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</si>
  <si>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</si>
  <si>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</si>
  <si>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</si>
  <si>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</si>
  <si>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</si>
  <si>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</si>
  <si>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</si>
  <si>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</si>
  <si>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</si>
  <si>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</si>
  <si>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</si>
  <si>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</si>
  <si>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</si>
  <si>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</si>
  <si>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</si>
  <si>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</si>
  <si>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</si>
  <si>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</si>
  <si>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</si>
  <si>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</si>
  <si>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</si>
  <si>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</si>
  <si>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</si>
  <si>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</si>
  <si>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</si>
  <si>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</si>
  <si>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</si>
  <si>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</si>
  <si>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</si>
  <si>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</si>
  <si>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</si>
  <si>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</si>
  <si>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</si>
  <si>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</si>
  <si>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</si>
  <si>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</si>
  <si>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</si>
  <si>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</si>
  <si>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</si>
  <si>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</si>
  <si>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</si>
  <si>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</si>
  <si>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</si>
  <si>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</si>
  <si>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</si>
  <si>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</si>
  <si>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</si>
  <si>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</si>
  <si>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</si>
  <si>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</si>
  <si>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</si>
  <si>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</si>
  <si>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</si>
  <si>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</si>
  <si>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</si>
  <si>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</si>
  <si>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</si>
  <si>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</si>
  <si>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</si>
  <si>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</si>
  <si>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</si>
  <si>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</si>
  <si>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</si>
  <si>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</si>
  <si>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</si>
  <si>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</si>
  <si>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</si>
  <si>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</si>
  <si>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</si>
  <si>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</si>
  <si>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</si>
  <si>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</si>
  <si>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</si>
  <si>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</si>
  <si>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</si>
  <si>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</si>
  <si>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</si>
  <si>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</si>
  <si>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</si>
  <si>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</si>
  <si>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</si>
  <si>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</si>
  <si>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</si>
  <si>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</si>
  <si>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</si>
  <si>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</si>
  <si>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</si>
  <si>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</si>
  <si>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</si>
  <si>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</si>
  <si>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</si>
  <si>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</si>
  <si>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</si>
  <si>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</si>
  <si>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</si>
  <si>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</si>
  <si>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</si>
  <si>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</si>
  <si>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</si>
  <si>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</si>
  <si>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</si>
  <si>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</si>
  <si>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</si>
  <si>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</si>
  <si>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</si>
  <si>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</si>
  <si>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</si>
  <si>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</si>
  <si>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</si>
  <si>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</si>
  <si>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</si>
  <si>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</si>
  <si>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</si>
  <si>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</si>
  <si>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</si>
  <si>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</si>
  <si>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</si>
  <si>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</si>
  <si>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</si>
  <si>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</si>
  <si>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</si>
  <si>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</si>
  <si>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</si>
  <si>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</si>
  <si>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</si>
  <si>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</si>
  <si>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</si>
  <si>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</si>
  <si>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</si>
  <si>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</si>
  <si>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</si>
  <si>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</si>
  <si>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</si>
  <si>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</si>
  <si>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</si>
  <si>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</si>
  <si>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</si>
  <si>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</si>
  <si>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</si>
  <si>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</si>
  <si>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</si>
  <si>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</si>
  <si>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</si>
  <si>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</si>
  <si>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</si>
  <si>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</si>
  <si>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</si>
  <si>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</si>
  <si>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</si>
  <si>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</si>
  <si>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</si>
  <si>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</si>
  <si>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</si>
  <si>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</si>
  <si>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</si>
  <si>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</si>
  <si>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</si>
  <si>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</si>
  <si>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</si>
  <si>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</si>
  <si>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</si>
  <si>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</si>
  <si>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</si>
  <si>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</si>
  <si>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</si>
  <si>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</si>
  <si>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</si>
  <si>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</si>
  <si>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</si>
  <si>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</si>
  <si>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</si>
  <si>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</si>
  <si>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</si>
  <si>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</si>
  <si>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</si>
  <si>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</si>
  <si>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</si>
  <si>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</si>
  <si>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</si>
  <si>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</si>
  <si>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</si>
  <si>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</si>
  <si>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</si>
  <si>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</si>
  <si>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</si>
  <si>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</si>
  <si>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</si>
  <si>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</si>
  <si>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</si>
  <si>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</si>
  <si>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</si>
  <si>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</si>
  <si>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</si>
  <si>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</si>
  <si>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</si>
  <si>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</si>
  <si>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</si>
  <si>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</si>
  <si>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</si>
  <si>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</si>
  <si>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</si>
  <si>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</si>
  <si>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</si>
  <si>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</si>
  <si>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</si>
  <si>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</si>
  <si>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</si>
  <si>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</si>
  <si>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</si>
  <si>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</si>
  <si>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</si>
  <si>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</si>
  <si>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</si>
  <si>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</si>
  <si>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</si>
  <si>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</si>
  <si>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</si>
  <si>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</si>
  <si>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</si>
  <si>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</si>
  <si>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</si>
  <si>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</si>
  <si>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</si>
  <si>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</si>
  <si>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</si>
  <si>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</si>
  <si>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</si>
  <si>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</si>
  <si>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</si>
  <si>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</si>
  <si>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</si>
  <si>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</si>
  <si>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</si>
  <si>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</si>
  <si>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</si>
  <si>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</si>
  <si>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</si>
  <si>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</si>
  <si>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</si>
  <si>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</si>
  <si>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</si>
  <si>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</si>
  <si>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</si>
  <si>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</si>
  <si>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</si>
  <si>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</si>
  <si>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</si>
  <si>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</si>
  <si>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</si>
  <si>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</si>
  <si>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</si>
  <si>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</si>
  <si>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</si>
  <si>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</si>
  <si>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</si>
  <si>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</si>
  <si>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</si>
  <si>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</si>
  <si>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</si>
  <si>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</si>
  <si>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</si>
  <si>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</si>
  <si>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</si>
  <si>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</si>
  <si>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</si>
  <si>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</si>
  <si>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</si>
  <si>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</si>
  <si>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</si>
  <si>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</si>
  <si>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</si>
  <si>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</si>
  <si>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</si>
  <si>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</si>
  <si>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</si>
  <si>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</si>
  <si>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</si>
  <si>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</si>
  <si>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</si>
  <si>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</si>
  <si>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</si>
  <si>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</si>
  <si>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</si>
  <si>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</si>
  <si>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</si>
  <si>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</si>
  <si>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</si>
  <si>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</si>
  <si>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</si>
  <si>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</si>
  <si>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</si>
  <si>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</si>
  <si>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</si>
  <si>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</si>
  <si>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</si>
  <si>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</si>
  <si>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</si>
  <si>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</si>
  <si>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</si>
  <si>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</si>
  <si>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</si>
  <si>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</si>
  <si>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</si>
  <si>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</si>
  <si>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</si>
  <si>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</si>
  <si>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</si>
  <si>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</si>
  <si>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</si>
  <si>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</si>
  <si>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</si>
  <si>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</si>
  <si>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</si>
  <si>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</si>
  <si>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</si>
  <si>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</si>
  <si>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</si>
  <si>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</si>
  <si>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</si>
  <si>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</si>
  <si>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</si>
  <si>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</si>
  <si>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</si>
  <si>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</si>
  <si>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</si>
  <si>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</si>
  <si>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</si>
  <si>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</si>
  <si>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</si>
  <si>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</si>
  <si>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</si>
  <si>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</si>
  <si>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</si>
  <si>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</si>
  <si>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</si>
  <si>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</si>
  <si>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</si>
  <si>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</si>
  <si>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</si>
  <si>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</si>
  <si>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</si>
  <si>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</si>
  <si>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</si>
  <si>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</si>
  <si>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</si>
  <si>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</si>
  <si>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</si>
  <si>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</si>
  <si>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</si>
  <si>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</si>
  <si>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</si>
  <si>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</si>
  <si>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</si>
  <si>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</si>
  <si>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</si>
  <si>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</si>
  <si>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</si>
  <si>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</si>
  <si>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</si>
  <si>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</si>
  <si>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</si>
  <si>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</si>
  <si>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</si>
  <si>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</si>
  <si>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</si>
  <si>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</si>
  <si>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</si>
  <si>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</si>
  <si>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</si>
  <si>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</si>
  <si>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</si>
  <si>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</si>
  <si>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</si>
  <si>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</si>
  <si>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</si>
  <si>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</si>
  <si>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</si>
  <si>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</si>
  <si>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</si>
  <si>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</si>
  <si>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</si>
  <si>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</si>
  <si>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</si>
  <si>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</si>
  <si>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</si>
  <si>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</si>
  <si>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</si>
  <si>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</si>
  <si>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</si>
  <si>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</si>
  <si>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</si>
  <si>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</si>
  <si>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</si>
  <si>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</si>
  <si>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</si>
  <si>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</si>
  <si>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</si>
  <si>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</si>
  <si>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</si>
  <si>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</si>
  <si>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</si>
  <si>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</si>
  <si>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</si>
  <si>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</si>
  <si>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</si>
  <si>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</si>
  <si>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</si>
  <si>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</si>
  <si>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</si>
  <si>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</si>
  <si>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</si>
  <si>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</si>
  <si>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</si>
  <si>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</si>
  <si>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</si>
  <si>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</si>
  <si>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</si>
  <si>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</si>
  <si>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</si>
  <si>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</si>
  <si>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</si>
  <si>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</si>
  <si>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</si>
  <si>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</si>
  <si>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</si>
  <si>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</si>
  <si>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</si>
  <si>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</si>
  <si>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</si>
  <si>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</si>
  <si>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</si>
  <si>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</si>
  <si>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</si>
  <si>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</si>
  <si>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</si>
  <si>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</si>
  <si>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</si>
  <si>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</si>
  <si>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</si>
  <si>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</si>
  <si>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</si>
  <si>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</si>
  <si>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</si>
  <si>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</si>
  <si>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</si>
  <si>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</si>
  <si>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</si>
  <si>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</si>
  <si>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</si>
  <si>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</si>
  <si>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</si>
  <si>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</si>
  <si>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</si>
  <si>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</si>
  <si>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</si>
  <si>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</si>
  <si>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</si>
  <si>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</si>
  <si>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</si>
  <si>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</si>
  <si>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</si>
  <si>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</si>
  <si>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</si>
  <si>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</si>
  <si>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</si>
  <si>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</si>
  <si>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</si>
  <si>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</si>
  <si>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</si>
  <si>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</si>
  <si>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</si>
  <si>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</si>
  <si>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</si>
  <si>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</si>
  <si>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</si>
  <si>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</si>
  <si>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</si>
  <si>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</si>
  <si>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</si>
  <si>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</si>
  <si>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</si>
  <si>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</si>
  <si>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</si>
  <si>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</si>
  <si>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</si>
  <si>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</si>
  <si>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</si>
  <si>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</si>
  <si>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</si>
  <si>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</si>
  <si>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</si>
  <si>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</si>
  <si>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</si>
  <si>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</si>
  <si>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</si>
  <si>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</si>
  <si>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</si>
  <si>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</si>
  <si>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</si>
  <si>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</si>
  <si>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</si>
  <si>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</si>
  <si>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</si>
  <si>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</si>
  <si>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</si>
  <si>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</si>
  <si>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</si>
  <si>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</si>
  <si>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</si>
  <si>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</si>
  <si>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</si>
  <si>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</si>
  <si>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</si>
  <si>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</si>
  <si>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</si>
  <si>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</si>
  <si>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</si>
  <si>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</si>
  <si>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</si>
  <si>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</si>
  <si>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</si>
  <si>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</si>
  <si>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</si>
  <si>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</si>
  <si>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</si>
  <si>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</si>
  <si>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</si>
  <si>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</si>
  <si>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</si>
  <si>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</si>
  <si>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</si>
  <si>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</si>
  <si>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</si>
  <si>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</si>
  <si>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</si>
  <si>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</si>
  <si>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</si>
  <si>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</si>
  <si>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</si>
  <si>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</si>
  <si>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</si>
  <si>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</si>
  <si>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</si>
  <si>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</si>
  <si>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</si>
  <si>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</si>
  <si>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</si>
  <si>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</si>
  <si>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</si>
  <si>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</si>
  <si>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</si>
  <si>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</si>
  <si>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</si>
  <si>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</si>
  <si>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</si>
  <si>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</si>
  <si>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</si>
  <si>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</si>
  <si>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</si>
  <si>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</si>
  <si>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</si>
  <si>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</si>
  <si>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</si>
  <si>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</si>
  <si>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</si>
  <si>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</si>
  <si>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</si>
  <si>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</si>
  <si>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</si>
  <si>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</si>
  <si>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</si>
  <si>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</si>
  <si>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</si>
  <si>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</si>
  <si>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</si>
  <si>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</si>
  <si>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</si>
  <si>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</si>
  <si>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</si>
  <si>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</si>
  <si>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</si>
  <si>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</si>
  <si>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</si>
  <si>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</si>
  <si>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</si>
  <si>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</si>
  <si>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</si>
  <si>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</si>
  <si>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</si>
  <si>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</si>
  <si>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</si>
  <si>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</si>
  <si>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</si>
  <si>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</si>
  <si>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</si>
  <si>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</si>
  <si>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</si>
  <si>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</si>
  <si>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</si>
  <si>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</si>
  <si>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</si>
  <si>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</si>
  <si>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</si>
  <si>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</si>
  <si>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</si>
  <si>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</si>
  <si>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</si>
  <si>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</si>
  <si>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</si>
  <si>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</si>
  <si>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</si>
  <si>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</si>
  <si>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</si>
  <si>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</si>
  <si>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</si>
  <si>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</si>
  <si>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</si>
  <si>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</si>
  <si>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</si>
  <si>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</si>
  <si>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</si>
  <si>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</si>
  <si>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</si>
  <si>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</si>
  <si>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</si>
  <si>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</si>
  <si>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</si>
  <si>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</si>
  <si>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</si>
  <si>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</si>
  <si>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</si>
  <si>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</si>
  <si>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</si>
  <si>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</si>
  <si>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</si>
  <si>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</si>
  <si>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</si>
  <si>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</si>
  <si>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</si>
  <si>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</si>
  <si>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</si>
  <si>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</si>
  <si>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</si>
  <si>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</si>
  <si>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</si>
  <si>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</si>
  <si>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</si>
  <si>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</si>
  <si>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</si>
  <si>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</si>
  <si>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</si>
  <si>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</si>
  <si>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</si>
  <si>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</si>
  <si>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</si>
  <si>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</si>
  <si>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</si>
  <si>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</si>
  <si>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</si>
  <si>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</si>
  <si>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</si>
  <si>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</si>
  <si>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</si>
  <si>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</si>
  <si>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</si>
  <si>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</si>
  <si>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</si>
  <si>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</si>
  <si>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</si>
  <si>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</si>
  <si>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</si>
  <si>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</si>
  <si>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</si>
  <si>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</si>
  <si>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</si>
  <si>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</si>
  <si>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</si>
  <si>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</si>
  <si>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</si>
  <si>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</si>
  <si>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</si>
  <si>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</si>
  <si>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</si>
  <si>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</si>
  <si>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</si>
  <si>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</si>
  <si>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</si>
  <si>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</si>
  <si>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</si>
  <si>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</si>
  <si>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</si>
  <si>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</si>
  <si>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</si>
  <si>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</si>
  <si>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</si>
  <si>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</si>
  <si>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</si>
  <si>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</si>
  <si>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</si>
  <si>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</si>
  <si>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</si>
  <si>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</si>
  <si>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</si>
  <si>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</si>
  <si>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</si>
  <si>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</si>
  <si>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</si>
  <si>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</si>
  <si>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</si>
  <si>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</si>
  <si>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</si>
  <si>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</si>
  <si>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</si>
  <si>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</si>
  <si>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</si>
  <si>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</si>
  <si>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</si>
  <si>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</si>
  <si>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</si>
  <si>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</si>
  <si>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</si>
  <si>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</si>
  <si>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</si>
  <si>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</si>
  <si>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</si>
  <si>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</si>
  <si>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</si>
  <si>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</si>
  <si>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</si>
  <si>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</si>
  <si>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</si>
  <si>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</si>
  <si>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</si>
  <si>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</si>
  <si>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</si>
  <si>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</si>
  <si>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</si>
  <si>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</si>
  <si>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</si>
  <si>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</si>
  <si>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</si>
  <si>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</si>
  <si>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</si>
  <si>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</si>
  <si>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</si>
  <si>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</si>
  <si>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</si>
  <si>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</si>
  <si>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</si>
  <si>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</si>
  <si>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</si>
  <si>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</si>
  <si>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</si>
  <si>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</si>
  <si>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</si>
  <si>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</si>
  <si>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</si>
  <si>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</si>
  <si>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</si>
  <si>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</si>
  <si>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</si>
  <si>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</si>
  <si>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</si>
  <si>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</si>
  <si>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</si>
  <si>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</si>
  <si>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</si>
  <si>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</si>
  <si>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</si>
  <si>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</si>
  <si>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</si>
  <si>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</si>
  <si>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</si>
  <si>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</si>
  <si>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</si>
  <si>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</si>
  <si>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</si>
  <si>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</si>
  <si>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</si>
  <si>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</si>
  <si>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</si>
  <si>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</si>
  <si>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</si>
  <si>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</si>
  <si>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</si>
  <si>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</si>
  <si>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</si>
  <si>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</si>
  <si>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</si>
  <si>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</si>
  <si>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</si>
  <si>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</si>
  <si>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</si>
  <si>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</si>
  <si>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</si>
  <si>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</si>
  <si>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</si>
  <si>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</si>
  <si>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</si>
  <si>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</si>
  <si>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</si>
  <si>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</si>
  <si>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</si>
  <si>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</si>
  <si>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</si>
  <si>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</si>
  <si>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</si>
  <si>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</si>
  <si>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</si>
  <si>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</si>
  <si>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</si>
  <si>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</si>
  <si>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</si>
  <si>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</si>
  <si>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</si>
  <si>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</si>
  <si>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</si>
  <si>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</si>
  <si>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</si>
  <si>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</si>
  <si>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</si>
  <si>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</si>
  <si>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</si>
  <si>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</si>
  <si>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</si>
  <si>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</si>
  <si>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</si>
  <si>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</si>
  <si>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</si>
  <si>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</si>
  <si>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</si>
  <si>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</si>
  <si>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</si>
  <si>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</si>
  <si>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</si>
  <si>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</si>
  <si>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</si>
  <si>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</si>
  <si>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</si>
  <si>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</si>
  <si>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</si>
  <si>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</si>
  <si>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</si>
  <si>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</si>
  <si>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</si>
  <si>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</si>
  <si>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</si>
  <si>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</si>
  <si>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</si>
  <si>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</si>
  <si>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</si>
  <si>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</si>
  <si>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</si>
  <si>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</si>
  <si>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</si>
  <si>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</si>
  <si>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</si>
  <si>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</si>
  <si>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</si>
  <si>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</si>
  <si>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</si>
  <si>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</si>
  <si>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</si>
  <si>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</si>
  <si>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</si>
  <si>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</si>
  <si>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</si>
  <si>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</si>
  <si>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</si>
  <si>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</si>
  <si>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</si>
  <si>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</si>
  <si>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</si>
  <si>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</si>
  <si>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</si>
  <si>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</si>
  <si>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</si>
  <si>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</si>
  <si>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</si>
  <si>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</si>
  <si>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</si>
  <si>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</si>
  <si>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</si>
  <si>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</si>
  <si>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</si>
  <si>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</si>
  <si>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</si>
  <si>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</si>
  <si>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</si>
  <si>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</si>
  <si>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</si>
  <si>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</si>
  <si>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</si>
  <si>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</si>
  <si>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</si>
  <si>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</si>
  <si>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</si>
  <si>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</si>
  <si>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</si>
  <si>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</si>
  <si>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</si>
  <si>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</si>
  <si>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</si>
  <si>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</si>
  <si>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</si>
  <si>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</si>
  <si>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</si>
  <si>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</si>
  <si>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</si>
  <si>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</si>
  <si>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</si>
  <si>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</si>
  <si>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</si>
  <si>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</si>
  <si>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</si>
  <si>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</si>
  <si>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</si>
  <si>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</si>
  <si>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</si>
  <si>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</si>
  <si>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</si>
  <si>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</si>
  <si>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</si>
  <si>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</si>
  <si>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</si>
  <si>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</si>
  <si>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</si>
  <si>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</si>
  <si>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</si>
  <si>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</si>
  <si>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</si>
  <si>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</si>
  <si>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</si>
  <si>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</si>
  <si>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</si>
  <si>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</si>
  <si>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</si>
  <si>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</si>
  <si>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</si>
  <si>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</si>
  <si>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</si>
  <si>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</si>
  <si>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</si>
  <si>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</si>
  <si>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</si>
  <si>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</si>
  <si>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</si>
  <si>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</si>
  <si>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</si>
  <si>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</si>
  <si>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</si>
  <si>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</si>
  <si>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</si>
  <si>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</si>
  <si>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</si>
  <si>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</si>
  <si>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</si>
  <si>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金钟股份</t>
  </si>
  <si>
    <t>www.lixinger.com/analytics/company/sz/301133/301133/detail</t>
  </si>
  <si>
    <t>招标股份</t>
  </si>
  <si>
    <t>www.lixinger.com/analytics/company/sz/301136/301136/detail</t>
  </si>
  <si>
    <t>华研精机</t>
  </si>
  <si>
    <t>www.lixinger.com/analytics/company/sz/301138/301138/detail</t>
  </si>
  <si>
    <t>隆华新材</t>
  </si>
  <si>
    <t>www.lixinger.com/analytics/company/sz/301149/301149/detail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</si>
  <si>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</si>
  <si>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</si>
  <si>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</si>
  <si>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</si>
  <si>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</si>
  <si>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</si>
  <si>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</si>
  <si>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</si>
  <si>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</si>
  <si>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</si>
  <si>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</si>
  <si>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</si>
  <si>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</si>
  <si>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</si>
  <si>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</si>
  <si>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</si>
  <si>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</si>
  <si>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</si>
  <si>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</si>
  <si>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</si>
  <si>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</si>
  <si>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</si>
  <si>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</si>
  <si>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</si>
  <si>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</si>
  <si>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</si>
  <si>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</si>
  <si>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</si>
  <si>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</si>
  <si>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</si>
  <si>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</si>
  <si>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</si>
  <si>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</si>
  <si>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</si>
  <si>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</si>
  <si>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</si>
  <si>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</si>
  <si>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</si>
  <si>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</si>
  <si>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</si>
  <si>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</si>
  <si>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</si>
  <si>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</si>
  <si>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</si>
  <si>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</si>
  <si>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</si>
  <si>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</si>
  <si>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</si>
  <si>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</si>
  <si>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</si>
  <si>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</si>
  <si>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</si>
  <si>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</si>
  <si>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</si>
  <si>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</si>
  <si>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</si>
  <si>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</si>
  <si>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</si>
  <si>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</si>
  <si>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</si>
  <si>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铜冠铜箔</t>
  </si>
  <si>
    <t>www.lixinger.com/analytics/company/sz/301217/301217/detail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</si>
  <si>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</si>
  <si>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</si>
  <si>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</si>
  <si>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</si>
  <si>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</si>
  <si>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</si>
  <si>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</si>
  <si>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</si>
  <si>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</si>
  <si>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</si>
  <si>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</si>
  <si>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</si>
  <si>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</si>
  <si>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</si>
  <si>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铭利达</t>
  </si>
  <si>
    <t>www.lixinger.com/analytics/company/sz/301268/301268/detail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</si>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</sst>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86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6.6300999999999997</v>
      </c>
      <c r="G3">
        <v>7.1891999999999996</v>
      </c>
      <c r="H3">
        <v>4.7996999999999996</v>
      </c>
      <c r="I3">
        <v>6.6792999999999996</v>
      </c>
      <c r="J3">
        <v>8.5861000000000001</v>
      </c>
      <c r="K3">
        <v>9.2530000000000001</v>
      </c>
      <c r="L3">
        <v>9.6302000000000003</v>
      </c>
      <c r="M3">
        <v>7.798</v>
      </c>
      <c r="N3">
        <v>8.4159000000000006</v>
      </c>
      <c r="O3">
        <v>7.2939999999999996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107.4753</v>
      </c>
      <c r="L4">
        <v>94.435100000000006</v>
      </c>
      <c r="M4">
        <v>77.801599999999993</v>
      </c>
      <c r="N4">
        <v>73.338099999999997</v>
      </c>
      <c r="O4">
        <v>99.964399999999998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76.095799999999997</v>
      </c>
      <c r="G5">
        <v>92.195999999999998</v>
      </c>
      <c r="H5">
        <v>71.823300000000003</v>
      </c>
      <c r="I5">
        <v>71.764600000000002</v>
      </c>
      <c r="J5">
        <v>74.256100000000004</v>
      </c>
      <c r="K5">
        <v>64.922300000000007</v>
      </c>
      <c r="L5">
        <v>69.872299999999996</v>
      </c>
      <c r="M5">
        <v>63.554600000000001</v>
      </c>
      <c r="N5">
        <v>64.724800000000002</v>
      </c>
      <c r="O5">
        <v>77.817300000000003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10.348100000000001</v>
      </c>
      <c r="G6">
        <v>11.097899999999999</v>
      </c>
      <c r="H6">
        <v>8.8112999999999992</v>
      </c>
      <c r="I6">
        <v>8.6638000000000002</v>
      </c>
      <c r="J6">
        <v>8.9496000000000002</v>
      </c>
      <c r="K6">
        <v>10.230399999999999</v>
      </c>
      <c r="L6">
        <v>11.2979</v>
      </c>
      <c r="M6">
        <v>11.811400000000001</v>
      </c>
      <c r="N6">
        <v>13.866300000000001</v>
      </c>
      <c r="O6">
        <v>14.266299999999999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39.415999999999997</v>
      </c>
      <c r="G7">
        <v>48.015000000000001</v>
      </c>
      <c r="H7">
        <v>61.769300000000001</v>
      </c>
      <c r="I7">
        <v>62.737400000000001</v>
      </c>
      <c r="J7">
        <v>112.0744</v>
      </c>
      <c r="K7">
        <v>476.2543</v>
      </c>
      <c r="L7">
        <v>728.50340000000006</v>
      </c>
      <c r="M7">
        <v>578.53710000000001</v>
      </c>
      <c r="N7">
        <v>1244.8378</v>
      </c>
      <c r="O7">
        <v>871.06110000000001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1.8883000000000001</v>
      </c>
      <c r="G8">
        <v>1.0025999999999999</v>
      </c>
      <c r="H8">
        <v>1.5986</v>
      </c>
      <c r="I8">
        <v>2.4956999999999998</v>
      </c>
      <c r="J8">
        <v>2.1713</v>
      </c>
      <c r="K8">
        <v>2.4514</v>
      </c>
      <c r="L8">
        <v>2.7568999999999999</v>
      </c>
      <c r="M8">
        <v>2.6814</v>
      </c>
      <c r="N8">
        <v>3.4775</v>
      </c>
      <c r="O8">
        <v>3.0371000000000001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129.1901</v>
      </c>
      <c r="G9">
        <v>182.36539999999999</v>
      </c>
      <c r="H9">
        <v>195.9177</v>
      </c>
      <c r="I9">
        <v>176.4939</v>
      </c>
      <c r="J9">
        <v>196.22200000000001</v>
      </c>
      <c r="K9">
        <v>277.72469999999998</v>
      </c>
      <c r="L9">
        <v>330.84359999999998</v>
      </c>
      <c r="M9">
        <v>306.54919999999998</v>
      </c>
      <c r="N9">
        <v>205.01</v>
      </c>
      <c r="O9">
        <v>203.8236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19.046900000000001</v>
      </c>
      <c r="G10">
        <v>30.068899999999999</v>
      </c>
      <c r="H10">
        <v>31.514800000000001</v>
      </c>
      <c r="I10">
        <v>26.775500000000001</v>
      </c>
      <c r="J10">
        <v>26.704999999999998</v>
      </c>
      <c r="K10">
        <v>32.93</v>
      </c>
      <c r="L10">
        <v>32.956699999999998</v>
      </c>
      <c r="M10">
        <v>33.776200000000003</v>
      </c>
      <c r="N10">
        <v>31.363399999999999</v>
      </c>
      <c r="O10">
        <v>31.608699999999999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2.2995000000000001</v>
      </c>
      <c r="G11">
        <v>2.0468000000000002</v>
      </c>
      <c r="H11">
        <v>2.1497999999999999</v>
      </c>
      <c r="I11">
        <v>2.4937999999999998</v>
      </c>
      <c r="J11">
        <v>2.2501000000000002</v>
      </c>
      <c r="K11">
        <v>2.5286</v>
      </c>
      <c r="L11">
        <v>1.9825999999999999</v>
      </c>
      <c r="M11">
        <v>2.0402999999999998</v>
      </c>
      <c r="N11">
        <v>1.9249000000000001</v>
      </c>
      <c r="O11">
        <v>2.2081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19.254300000000001</v>
      </c>
      <c r="G14">
        <v>12.843</v>
      </c>
      <c r="H14">
        <v>12.742599999999999</v>
      </c>
      <c r="I14">
        <v>11.6191</v>
      </c>
      <c r="J14">
        <v>11.518599999999999</v>
      </c>
      <c r="K14">
        <v>13.7333</v>
      </c>
      <c r="L14">
        <v>15.975099999999999</v>
      </c>
      <c r="M14">
        <v>14.997400000000001</v>
      </c>
      <c r="N14">
        <v>17.714099999999998</v>
      </c>
      <c r="O14">
        <v>18.689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367.87819999999999</v>
      </c>
      <c r="G15">
        <v>456.66539999999998</v>
      </c>
      <c r="H15">
        <v>240.13140000000001</v>
      </c>
      <c r="I15">
        <v>505.04899999999998</v>
      </c>
      <c r="J15">
        <v>146.79130000000001</v>
      </c>
      <c r="K15">
        <v>83.994399999999999</v>
      </c>
      <c r="L15">
        <v>83.713399999999993</v>
      </c>
      <c r="M15">
        <v>78.620599999999996</v>
      </c>
      <c r="N15">
        <v>75.022499999999994</v>
      </c>
      <c r="O15">
        <v>40.855800000000002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72.625100000000003</v>
      </c>
      <c r="G16">
        <v>85.612700000000004</v>
      </c>
      <c r="H16">
        <v>80.7911</v>
      </c>
      <c r="I16">
        <v>78.274000000000001</v>
      </c>
      <c r="J16">
        <v>66.462800000000001</v>
      </c>
      <c r="K16">
        <v>80.898399999999995</v>
      </c>
      <c r="L16">
        <v>86.219200000000001</v>
      </c>
      <c r="M16">
        <v>83.793899999999994</v>
      </c>
      <c r="N16">
        <v>82.942800000000005</v>
      </c>
      <c r="O16">
        <v>91.906599999999997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629.30449999999996</v>
      </c>
      <c r="G17">
        <v>520.15170000000001</v>
      </c>
      <c r="H17">
        <v>518.04150000000004</v>
      </c>
      <c r="I17">
        <v>211.33879999999999</v>
      </c>
      <c r="J17">
        <v>212.44280000000001</v>
      </c>
      <c r="K17">
        <v>449.43239999999997</v>
      </c>
      <c r="L17">
        <v>436.02719999999999</v>
      </c>
      <c r="M17">
        <v>792.43619999999999</v>
      </c>
      <c r="N17">
        <v>422.7491</v>
      </c>
      <c r="O17">
        <v>408.71339999999998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9.5968</v>
      </c>
      <c r="G18">
        <v>12.0425</v>
      </c>
      <c r="H18">
        <v>14.7683</v>
      </c>
      <c r="I18">
        <v>12.002700000000001</v>
      </c>
      <c r="J18">
        <v>14.0001</v>
      </c>
      <c r="K18">
        <v>13.7363</v>
      </c>
      <c r="L18">
        <v>16.386500000000002</v>
      </c>
      <c r="M18">
        <v>18.361899999999999</v>
      </c>
      <c r="N18">
        <v>18.883800000000001</v>
      </c>
      <c r="O18">
        <v>26.2026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26.317599999999999</v>
      </c>
      <c r="G19">
        <v>28.820699999999999</v>
      </c>
      <c r="H19">
        <v>39.78</v>
      </c>
      <c r="I19">
        <v>39.929900000000004</v>
      </c>
      <c r="J19">
        <v>32.446599999999997</v>
      </c>
      <c r="K19">
        <v>30.465299999999999</v>
      </c>
      <c r="L19">
        <v>46.0946</v>
      </c>
      <c r="M19">
        <v>50.746899999999997</v>
      </c>
      <c r="N19">
        <v>41.633200000000002</v>
      </c>
      <c r="O19">
        <v>36.203499999999998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24.035799999999998</v>
      </c>
      <c r="G20">
        <v>29.5565</v>
      </c>
      <c r="H20">
        <v>32.953099999999999</v>
      </c>
      <c r="I20">
        <v>26.523499999999999</v>
      </c>
      <c r="J20">
        <v>28.7592</v>
      </c>
      <c r="K20">
        <v>35.371699999999997</v>
      </c>
      <c r="L20">
        <v>44.133099999999999</v>
      </c>
      <c r="M20">
        <v>47.705199999999998</v>
      </c>
      <c r="N20">
        <v>17.507000000000001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2.3995000000000002</v>
      </c>
      <c r="G21">
        <v>2.0480999999999998</v>
      </c>
      <c r="H21">
        <v>1.3909</v>
      </c>
      <c r="I21">
        <v>2.2486000000000002</v>
      </c>
      <c r="J21">
        <v>3.0663</v>
      </c>
      <c r="K21">
        <v>1.9112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39.352499999999999</v>
      </c>
      <c r="G22">
        <v>30.810700000000001</v>
      </c>
      <c r="H22">
        <v>34.5792</v>
      </c>
      <c r="I22">
        <v>36.985799999999998</v>
      </c>
      <c r="J22">
        <v>35.336399999999998</v>
      </c>
      <c r="K22">
        <v>20.674800000000001</v>
      </c>
      <c r="L22">
        <v>34.119599999999998</v>
      </c>
      <c r="M22">
        <v>38.349699999999999</v>
      </c>
      <c r="N22">
        <v>40.229799999999997</v>
      </c>
      <c r="O22">
        <v>37.095500000000001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11.969799999999999</v>
      </c>
      <c r="G23">
        <v>20.278400000000001</v>
      </c>
      <c r="H23">
        <v>22.113299999999999</v>
      </c>
      <c r="I23">
        <v>18.871400000000001</v>
      </c>
      <c r="J23">
        <v>19.9208</v>
      </c>
      <c r="K23">
        <v>20.660499999999999</v>
      </c>
      <c r="L23">
        <v>29.601600000000001</v>
      </c>
      <c r="M23">
        <v>30.493300000000001</v>
      </c>
      <c r="N23">
        <v>29.386900000000001</v>
      </c>
      <c r="O23">
        <v>32.432000000000002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39.277799999999999</v>
      </c>
      <c r="G24">
        <v>51.870399999999997</v>
      </c>
      <c r="H24">
        <v>37.637</v>
      </c>
      <c r="I24">
        <v>42.445500000000003</v>
      </c>
      <c r="J24">
        <v>40.645000000000003</v>
      </c>
      <c r="K24">
        <v>49.617600000000003</v>
      </c>
      <c r="L24">
        <v>50.7744</v>
      </c>
      <c r="M24">
        <v>45.305399999999999</v>
      </c>
      <c r="N24">
        <v>43.670900000000003</v>
      </c>
      <c r="O24">
        <v>41.872999999999998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8.2490000000000006</v>
      </c>
      <c r="G25">
        <v>10.719200000000001</v>
      </c>
      <c r="H25">
        <v>6.9036999999999997</v>
      </c>
      <c r="I25">
        <v>6.8815999999999997</v>
      </c>
      <c r="J25">
        <v>7.4782000000000002</v>
      </c>
      <c r="K25">
        <v>8.7242999999999995</v>
      </c>
      <c r="L25">
        <v>9.1168999999999993</v>
      </c>
      <c r="M25">
        <v>8.5067000000000004</v>
      </c>
      <c r="N25">
        <v>9.5696999999999992</v>
      </c>
      <c r="O25">
        <v>9.4253999999999998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104.5103</v>
      </c>
      <c r="G27">
        <v>103.2736</v>
      </c>
      <c r="H27">
        <v>102.0428</v>
      </c>
      <c r="I27">
        <v>113.05029999999999</v>
      </c>
      <c r="J27">
        <v>116.7205</v>
      </c>
      <c r="K27">
        <v>168.0153</v>
      </c>
      <c r="L27">
        <v>172.62540000000001</v>
      </c>
      <c r="M27">
        <v>152.54069999999999</v>
      </c>
      <c r="N27">
        <v>171.9812</v>
      </c>
      <c r="O27">
        <v>119.95350000000001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2.2713000000000001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6.8312999999999997</v>
      </c>
      <c r="G29">
        <v>8.0292999999999992</v>
      </c>
      <c r="H29">
        <v>8.8149999999999995</v>
      </c>
      <c r="I29">
        <v>4.9142000000000001</v>
      </c>
      <c r="J29">
        <v>4.9463999999999997</v>
      </c>
      <c r="K29">
        <v>7.3704999999999998</v>
      </c>
      <c r="L29">
        <v>3.6684999999999999</v>
      </c>
      <c r="M29">
        <v>5.6135000000000002</v>
      </c>
      <c r="N29">
        <v>9.6496999999999993</v>
      </c>
      <c r="O29">
        <v>12.427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59.6768</v>
      </c>
      <c r="G30">
        <v>90.494</v>
      </c>
      <c r="H30">
        <v>108.6567</v>
      </c>
      <c r="I30">
        <v>48.953800000000001</v>
      </c>
      <c r="J30">
        <v>32.19</v>
      </c>
      <c r="K30">
        <v>2.5013000000000001</v>
      </c>
      <c r="L30">
        <v>2.0764999999999998</v>
      </c>
      <c r="M30">
        <v>0</v>
      </c>
      <c r="N30">
        <v>0</v>
      </c>
      <c r="O30">
        <v>0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90.150300000000001</v>
      </c>
      <c r="G32">
        <v>109.6859</v>
      </c>
      <c r="H32">
        <v>109.5917</v>
      </c>
      <c r="I32">
        <v>89.018600000000006</v>
      </c>
      <c r="J32">
        <v>71.606099999999998</v>
      </c>
      <c r="K32">
        <v>53.328299999999999</v>
      </c>
      <c r="L32">
        <v>34.823900000000002</v>
      </c>
      <c r="M32">
        <v>35.184100000000001</v>
      </c>
      <c r="N32">
        <v>27.267199999999999</v>
      </c>
      <c r="O32">
        <v>38.783799999999999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442.69279999999998</v>
      </c>
      <c r="G33">
        <v>550.05920000000003</v>
      </c>
      <c r="H33">
        <v>559.58730000000003</v>
      </c>
      <c r="I33">
        <v>673.08879999999999</v>
      </c>
      <c r="J33">
        <v>626.32169999999996</v>
      </c>
      <c r="K33">
        <v>574.6336</v>
      </c>
      <c r="L33">
        <v>585.09490000000005</v>
      </c>
      <c r="M33">
        <v>576.077</v>
      </c>
      <c r="N33">
        <v>856.05010000000004</v>
      </c>
      <c r="O33">
        <v>762.23119999999994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23.6191</v>
      </c>
      <c r="G34">
        <v>133.51929999999999</v>
      </c>
      <c r="H34">
        <v>273.0403</v>
      </c>
      <c r="I34">
        <v>241.5104</v>
      </c>
      <c r="J34">
        <v>277.43189999999998</v>
      </c>
      <c r="K34">
        <v>226.09729999999999</v>
      </c>
      <c r="L34">
        <v>327.40519999999998</v>
      </c>
      <c r="M34">
        <v>288.4545</v>
      </c>
      <c r="N34">
        <v>240.19569999999999</v>
      </c>
      <c r="O34">
        <v>128.96520000000001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2928.799</v>
      </c>
      <c r="G35">
        <v>2940.1053000000002</v>
      </c>
      <c r="H35">
        <v>2634.6201999999998</v>
      </c>
      <c r="I35">
        <v>2671.2568999999999</v>
      </c>
      <c r="J35">
        <v>2445.6289999999999</v>
      </c>
      <c r="K35">
        <v>1731.2247</v>
      </c>
      <c r="L35">
        <v>2424.5252</v>
      </c>
      <c r="M35">
        <v>2674.6941000000002</v>
      </c>
      <c r="N35">
        <v>2543.2019</v>
      </c>
      <c r="O35">
        <v>3087.2899000000002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5.1280999999999999</v>
      </c>
      <c r="G36">
        <v>5.0513000000000003</v>
      </c>
      <c r="H36">
        <v>5.9840999999999998</v>
      </c>
      <c r="I36">
        <v>5.5871000000000004</v>
      </c>
      <c r="J36">
        <v>5.0998999999999999</v>
      </c>
      <c r="K36">
        <v>8.5259</v>
      </c>
      <c r="L36">
        <v>10.930400000000001</v>
      </c>
      <c r="M36">
        <v>11.297599999999999</v>
      </c>
      <c r="N36">
        <v>14.180199999999999</v>
      </c>
      <c r="O36">
        <v>12.0915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652.39880000000005</v>
      </c>
      <c r="G37">
        <v>442.8886</v>
      </c>
      <c r="H37">
        <v>492.12990000000002</v>
      </c>
      <c r="I37">
        <v>476.44510000000002</v>
      </c>
      <c r="J37">
        <v>424.54950000000002</v>
      </c>
      <c r="K37">
        <v>860.2373</v>
      </c>
      <c r="L37">
        <v>1089.2732000000001</v>
      </c>
      <c r="M37">
        <v>770.09770000000003</v>
      </c>
      <c r="N37">
        <v>836.21969999999999</v>
      </c>
      <c r="O37">
        <v>514.34040000000005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1009.4038</v>
      </c>
      <c r="G38">
        <v>150.39879999999999</v>
      </c>
      <c r="H38">
        <v>468.02969999999999</v>
      </c>
      <c r="I38">
        <v>1052.6648</v>
      </c>
      <c r="J38">
        <v>8109.8935000000001</v>
      </c>
      <c r="K38">
        <v>4238.4966000000004</v>
      </c>
      <c r="L38">
        <v>3935.9223999999999</v>
      </c>
      <c r="M38">
        <v>2260.4146000000001</v>
      </c>
      <c r="N38">
        <v>4045.2237</v>
      </c>
      <c r="O38">
        <v>3553.8980999999999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90497.546000000002</v>
      </c>
      <c r="G39">
        <v>159364.9681</v>
      </c>
      <c r="H39">
        <v>69825.394799999995</v>
      </c>
      <c r="I39">
        <v>19107.532999999999</v>
      </c>
      <c r="J39">
        <v>44966.368300000002</v>
      </c>
      <c r="K39">
        <v>2905.4297999999999</v>
      </c>
      <c r="L39">
        <v>3292.2015000000001</v>
      </c>
      <c r="M39">
        <v>3224.7069999999999</v>
      </c>
      <c r="N39">
        <v>2713.6587</v>
      </c>
      <c r="O39">
        <v>19096.207200000001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26.428599999999999</v>
      </c>
      <c r="G40">
        <v>30.7239</v>
      </c>
      <c r="H40">
        <v>18.069199999999999</v>
      </c>
      <c r="I40">
        <v>16.0274</v>
      </c>
      <c r="J40">
        <v>431.13080000000002</v>
      </c>
      <c r="K40">
        <v>476.32920000000001</v>
      </c>
      <c r="L40">
        <v>512.17129999999997</v>
      </c>
      <c r="M40">
        <v>555.3682</v>
      </c>
      <c r="N40">
        <v>422.31189999999998</v>
      </c>
      <c r="O40">
        <v>373.298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197.1755</v>
      </c>
      <c r="G41">
        <v>259.0883</v>
      </c>
      <c r="H41">
        <v>219.82849999999999</v>
      </c>
      <c r="I41">
        <v>201.06870000000001</v>
      </c>
      <c r="J41">
        <v>201.1155</v>
      </c>
      <c r="K41">
        <v>172.10720000000001</v>
      </c>
      <c r="L41">
        <v>195.7046</v>
      </c>
      <c r="M41">
        <v>281.18650000000002</v>
      </c>
      <c r="N41">
        <v>266.0163</v>
      </c>
      <c r="O41">
        <v>291.73489999999998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102.6587</v>
      </c>
      <c r="G42">
        <v>92.074299999999994</v>
      </c>
      <c r="H42">
        <v>94.120500000000007</v>
      </c>
      <c r="I42">
        <v>102.3416</v>
      </c>
      <c r="J42">
        <v>90.299099999999996</v>
      </c>
      <c r="K42">
        <v>98.3596</v>
      </c>
      <c r="L42">
        <v>124.69589999999999</v>
      </c>
      <c r="M42">
        <v>124.01309999999999</v>
      </c>
      <c r="N42">
        <v>123.39190000000001</v>
      </c>
      <c r="O42">
        <v>153.9204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25.970700000000001</v>
      </c>
      <c r="G43">
        <v>30.204999999999998</v>
      </c>
      <c r="H43">
        <v>33.393599999999999</v>
      </c>
      <c r="I43">
        <v>30.721399999999999</v>
      </c>
      <c r="J43">
        <v>32.1083</v>
      </c>
      <c r="K43">
        <v>38.407600000000002</v>
      </c>
      <c r="L43">
        <v>42.878100000000003</v>
      </c>
      <c r="M43">
        <v>43.776400000000002</v>
      </c>
      <c r="N43">
        <v>34.847900000000003</v>
      </c>
      <c r="O43">
        <v>32.613300000000002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33.060099999999998</v>
      </c>
      <c r="G44">
        <v>38.106000000000002</v>
      </c>
      <c r="H44">
        <v>41.439900000000002</v>
      </c>
      <c r="I44">
        <v>41.107599999999998</v>
      </c>
      <c r="J44">
        <v>44.593600000000002</v>
      </c>
      <c r="K44">
        <v>64.927000000000007</v>
      </c>
      <c r="L44">
        <v>73.536299999999997</v>
      </c>
      <c r="M44">
        <v>37.181399999999996</v>
      </c>
      <c r="N44">
        <v>29.307300000000001</v>
      </c>
      <c r="O44">
        <v>47.814900000000002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1060.2112</v>
      </c>
      <c r="G45">
        <v>1304.2628999999999</v>
      </c>
      <c r="H45">
        <v>879.01049999999998</v>
      </c>
      <c r="I45">
        <v>827.74749999999995</v>
      </c>
      <c r="J45">
        <v>871.85289999999998</v>
      </c>
      <c r="K45">
        <v>930.76199999999994</v>
      </c>
      <c r="L45">
        <v>1087.7276999999999</v>
      </c>
      <c r="M45">
        <v>1071.9770000000001</v>
      </c>
      <c r="N45">
        <v>830.43439999999998</v>
      </c>
      <c r="O45">
        <v>749.37180000000001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65.194599999999994</v>
      </c>
      <c r="G46">
        <v>51.031799999999997</v>
      </c>
      <c r="H46">
        <v>60.018999999999998</v>
      </c>
      <c r="I46">
        <v>53.330199999999998</v>
      </c>
      <c r="J46">
        <v>56.4634</v>
      </c>
      <c r="K46">
        <v>53.653799999999997</v>
      </c>
      <c r="L46">
        <v>61.3782</v>
      </c>
      <c r="M46">
        <v>65.290599999999998</v>
      </c>
      <c r="N46">
        <v>68.464100000000002</v>
      </c>
      <c r="O46">
        <v>64.926199999999994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38.973700000000001</v>
      </c>
      <c r="G47">
        <v>91.029600000000002</v>
      </c>
      <c r="H47">
        <v>42.600099999999998</v>
      </c>
      <c r="I47">
        <v>34.113</v>
      </c>
      <c r="J47">
        <v>105.4842</v>
      </c>
      <c r="K47">
        <v>50.860900000000001</v>
      </c>
      <c r="L47">
        <v>63.053600000000003</v>
      </c>
      <c r="M47">
        <v>103.54130000000001</v>
      </c>
      <c r="N47">
        <v>92.250299999999996</v>
      </c>
      <c r="O47">
        <v>96.050299999999993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178.56870000000001</v>
      </c>
      <c r="G48">
        <v>179.4282</v>
      </c>
      <c r="H48">
        <v>131.93450000000001</v>
      </c>
      <c r="I48">
        <v>155.77029999999999</v>
      </c>
      <c r="J48">
        <v>150.39410000000001</v>
      </c>
      <c r="K48">
        <v>142.0326</v>
      </c>
      <c r="L48">
        <v>151.55969999999999</v>
      </c>
      <c r="M48">
        <v>130.94290000000001</v>
      </c>
      <c r="N48">
        <v>71.756600000000006</v>
      </c>
      <c r="O48">
        <v>67.204800000000006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41.015300000000003</v>
      </c>
      <c r="G49">
        <v>51.595399999999998</v>
      </c>
      <c r="H49">
        <v>61.273000000000003</v>
      </c>
      <c r="I49">
        <v>64.065299999999993</v>
      </c>
      <c r="J49">
        <v>69.56</v>
      </c>
      <c r="K49">
        <v>80.364400000000003</v>
      </c>
      <c r="L49">
        <v>81.104299999999995</v>
      </c>
      <c r="M49">
        <v>73.3553</v>
      </c>
      <c r="N49">
        <v>98.537800000000004</v>
      </c>
      <c r="O49">
        <v>107.4671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1245.0346999999999</v>
      </c>
      <c r="G50">
        <v>2626.1017999999999</v>
      </c>
      <c r="H50">
        <v>4913.4458000000004</v>
      </c>
      <c r="I50">
        <v>2449.3256000000001</v>
      </c>
      <c r="J50">
        <v>2913.5019000000002</v>
      </c>
      <c r="K50">
        <v>1009.1028</v>
      </c>
      <c r="L50">
        <v>1647.6331</v>
      </c>
      <c r="M50">
        <v>1957.86</v>
      </c>
      <c r="N50">
        <v>1417.6538</v>
      </c>
      <c r="O50">
        <v>2643.6734000000001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29.903300000000002</v>
      </c>
      <c r="L51">
        <v>236.3355</v>
      </c>
      <c r="M51">
        <v>155.3365</v>
      </c>
      <c r="N51">
        <v>99.290199999999999</v>
      </c>
      <c r="O51">
        <v>123.5147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158.2825</v>
      </c>
      <c r="G52">
        <v>148.92850000000001</v>
      </c>
      <c r="H52">
        <v>95.272800000000004</v>
      </c>
      <c r="I52">
        <v>93.470500000000001</v>
      </c>
      <c r="J52">
        <v>54.6477</v>
      </c>
      <c r="K52">
        <v>36.974899999999998</v>
      </c>
      <c r="L52">
        <v>32.915199999999999</v>
      </c>
      <c r="M52">
        <v>44.251100000000001</v>
      </c>
      <c r="N52">
        <v>43.063000000000002</v>
      </c>
      <c r="O52">
        <v>33.0822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1023.2765000000001</v>
      </c>
      <c r="G53">
        <v>1459.4408000000001</v>
      </c>
      <c r="H53">
        <v>1388.1882000000001</v>
      </c>
      <c r="I53">
        <v>1359.7728999999999</v>
      </c>
      <c r="J53">
        <v>1133.3223</v>
      </c>
      <c r="K53">
        <v>987.77739999999994</v>
      </c>
      <c r="L53">
        <v>1274.5906</v>
      </c>
      <c r="M53">
        <v>1105.2692999999999</v>
      </c>
      <c r="N53">
        <v>753.89290000000005</v>
      </c>
      <c r="O53">
        <v>637.14559999999994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307.20890000000003</v>
      </c>
      <c r="H54">
        <v>306.85309999999998</v>
      </c>
      <c r="I54">
        <v>388.72449999999998</v>
      </c>
      <c r="J54">
        <v>280.7056</v>
      </c>
      <c r="K54">
        <v>256.97379999999998</v>
      </c>
      <c r="L54">
        <v>249.68600000000001</v>
      </c>
      <c r="M54">
        <v>219.6541</v>
      </c>
      <c r="N54">
        <v>214.81809999999999</v>
      </c>
      <c r="O54">
        <v>201.5026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46.507399999999997</v>
      </c>
      <c r="I55">
        <v>52.0411</v>
      </c>
      <c r="J55">
        <v>54.152099999999997</v>
      </c>
      <c r="K55">
        <v>59.313099999999999</v>
      </c>
      <c r="L55">
        <v>64.419499999999999</v>
      </c>
      <c r="M55">
        <v>72.727900000000005</v>
      </c>
      <c r="N55">
        <v>79.520700000000005</v>
      </c>
      <c r="O55">
        <v>82.363699999999994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2.3858999999999999</v>
      </c>
      <c r="G56">
        <v>18.527999999999999</v>
      </c>
      <c r="H56">
        <v>95.288799999999995</v>
      </c>
      <c r="I56">
        <v>118.1143</v>
      </c>
      <c r="J56">
        <v>130.14259999999999</v>
      </c>
      <c r="K56">
        <v>267.22179999999997</v>
      </c>
      <c r="L56">
        <v>208.6431</v>
      </c>
      <c r="M56">
        <v>192.4725</v>
      </c>
      <c r="N56">
        <v>143.4222</v>
      </c>
      <c r="O56">
        <v>124.7148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95.473500000000001</v>
      </c>
      <c r="G57">
        <v>93.558300000000003</v>
      </c>
      <c r="H57">
        <v>80.370400000000004</v>
      </c>
      <c r="I57">
        <v>94.867500000000007</v>
      </c>
      <c r="J57">
        <v>78.290400000000005</v>
      </c>
      <c r="K57">
        <v>90.986699999999999</v>
      </c>
      <c r="L57">
        <v>85.831800000000001</v>
      </c>
      <c r="M57">
        <v>81.425799999999995</v>
      </c>
      <c r="N57">
        <v>81.068299999999994</v>
      </c>
      <c r="O57">
        <v>51.992800000000003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251.90260000000001</v>
      </c>
      <c r="G58">
        <v>439.78160000000003</v>
      </c>
      <c r="H58">
        <v>262.14589999999998</v>
      </c>
      <c r="I58">
        <v>250.7773</v>
      </c>
      <c r="J58">
        <v>187.88159999999999</v>
      </c>
      <c r="K58">
        <v>412.37920000000003</v>
      </c>
      <c r="L58">
        <v>290.67899999999997</v>
      </c>
      <c r="M58">
        <v>329.20819999999998</v>
      </c>
      <c r="N58">
        <v>293.06970000000001</v>
      </c>
      <c r="O58">
        <v>262.42129999999997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67.669499999999999</v>
      </c>
      <c r="G59">
        <v>64.906300000000002</v>
      </c>
      <c r="H59">
        <v>51.439700000000002</v>
      </c>
      <c r="I59">
        <v>46.607199999999999</v>
      </c>
      <c r="J59">
        <v>39.224400000000003</v>
      </c>
      <c r="K59">
        <v>51.357700000000001</v>
      </c>
      <c r="L59">
        <v>39.736600000000003</v>
      </c>
      <c r="M59">
        <v>49.865299999999998</v>
      </c>
      <c r="N59">
        <v>52.384099999999997</v>
      </c>
      <c r="O59">
        <v>58.641199999999998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815.70050000000003</v>
      </c>
      <c r="I60">
        <v>1370.0891999999999</v>
      </c>
      <c r="J60">
        <v>167.96430000000001</v>
      </c>
      <c r="K60">
        <v>118.59269999999999</v>
      </c>
      <c r="L60">
        <v>131.8974</v>
      </c>
      <c r="M60">
        <v>71.754199999999997</v>
      </c>
      <c r="N60">
        <v>52.746200000000002</v>
      </c>
      <c r="O60">
        <v>49.711100000000002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53.567900000000002</v>
      </c>
      <c r="G61">
        <v>64.325100000000006</v>
      </c>
      <c r="H61">
        <v>110.62609999999999</v>
      </c>
      <c r="I61">
        <v>137.63820000000001</v>
      </c>
      <c r="J61">
        <v>148.40170000000001</v>
      </c>
      <c r="K61">
        <v>123.2013</v>
      </c>
      <c r="L61">
        <v>342.9785</v>
      </c>
      <c r="M61">
        <v>178.30439999999999</v>
      </c>
      <c r="N61">
        <v>200.68639999999999</v>
      </c>
      <c r="O61">
        <v>206.4331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1544.1727000000001</v>
      </c>
      <c r="G62">
        <v>1796.4937</v>
      </c>
      <c r="H62">
        <v>896.36289999999997</v>
      </c>
      <c r="I62">
        <v>517.16909999999996</v>
      </c>
      <c r="J62">
        <v>663.89369999999997</v>
      </c>
      <c r="K62">
        <v>635.68129999999996</v>
      </c>
      <c r="L62">
        <v>86952.902499999997</v>
      </c>
      <c r="M62">
        <v>32069.166099999999</v>
      </c>
      <c r="N62">
        <v>60697.174800000001</v>
      </c>
      <c r="O62">
        <v>59624.8724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2885.8499000000002</v>
      </c>
      <c r="G63">
        <v>3656.8020999999999</v>
      </c>
      <c r="H63">
        <v>10314.7014</v>
      </c>
      <c r="I63">
        <v>5636.9694</v>
      </c>
      <c r="J63">
        <v>4101.3477000000003</v>
      </c>
      <c r="K63">
        <v>790.58420000000001</v>
      </c>
      <c r="L63">
        <v>2641.1853999999998</v>
      </c>
      <c r="M63">
        <v>2763.1947</v>
      </c>
      <c r="N63">
        <v>17082.999</v>
      </c>
      <c r="O63">
        <v>1782.0664999999999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138.19880000000001</v>
      </c>
      <c r="G64">
        <v>196.3854</v>
      </c>
      <c r="H64">
        <v>211.20869999999999</v>
      </c>
      <c r="I64">
        <v>216.73500000000001</v>
      </c>
      <c r="J64">
        <v>205.6063</v>
      </c>
      <c r="K64">
        <v>228.6337</v>
      </c>
      <c r="L64">
        <v>297.90280000000001</v>
      </c>
      <c r="M64">
        <v>252.6421</v>
      </c>
      <c r="N64">
        <v>232.48570000000001</v>
      </c>
      <c r="O64">
        <v>215.34229999999999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116.5123</v>
      </c>
      <c r="G65">
        <v>143.03389999999999</v>
      </c>
      <c r="H65">
        <v>122.12220000000001</v>
      </c>
      <c r="I65">
        <v>130.9178</v>
      </c>
      <c r="J65">
        <v>144.512</v>
      </c>
      <c r="K65">
        <v>121.0688</v>
      </c>
      <c r="L65">
        <v>118.73</v>
      </c>
      <c r="M65">
        <v>123.77160000000001</v>
      </c>
      <c r="N65">
        <v>120.898</v>
      </c>
      <c r="O65">
        <v>179.3175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131.59039999999999</v>
      </c>
      <c r="G66">
        <v>134.51329999999999</v>
      </c>
      <c r="H66">
        <v>106.68089999999999</v>
      </c>
      <c r="I66">
        <v>88.299400000000006</v>
      </c>
      <c r="J66">
        <v>91.212199999999996</v>
      </c>
      <c r="K66">
        <v>106.05459999999999</v>
      </c>
      <c r="L66">
        <v>56.989899999999999</v>
      </c>
      <c r="M66">
        <v>83.172899999999998</v>
      </c>
      <c r="N66">
        <v>136.2535</v>
      </c>
      <c r="O66">
        <v>99.979699999999994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26.230799999999999</v>
      </c>
      <c r="G67">
        <v>23.765999999999998</v>
      </c>
      <c r="H67">
        <v>27.1478</v>
      </c>
      <c r="I67">
        <v>29.113700000000001</v>
      </c>
      <c r="J67">
        <v>32.585299999999997</v>
      </c>
      <c r="K67">
        <v>42.834499999999998</v>
      </c>
      <c r="L67">
        <v>55.353000000000002</v>
      </c>
      <c r="M67">
        <v>36.802399999999999</v>
      </c>
      <c r="N67">
        <v>39.365099999999998</v>
      </c>
      <c r="O67">
        <v>50.1843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1452.1904999999999</v>
      </c>
      <c r="G68">
        <v>3654.3319999999999</v>
      </c>
      <c r="H68">
        <v>2792.7276000000002</v>
      </c>
      <c r="I68">
        <v>2869.3150999999998</v>
      </c>
      <c r="J68">
        <v>3014.3290999999999</v>
      </c>
      <c r="K68">
        <v>1938.6102000000001</v>
      </c>
      <c r="L68">
        <v>2213.9872999999998</v>
      </c>
      <c r="M68">
        <v>1771.2375999999999</v>
      </c>
      <c r="N68">
        <v>1565.7276999999999</v>
      </c>
      <c r="O68">
        <v>952.88250000000005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3.5900000000000001E-2</v>
      </c>
      <c r="G69">
        <v>350.6386</v>
      </c>
      <c r="H69">
        <v>45.035400000000003</v>
      </c>
      <c r="I69">
        <v>6.4436</v>
      </c>
      <c r="J69">
        <v>263.29239999999999</v>
      </c>
      <c r="K69">
        <v>243.42420000000001</v>
      </c>
      <c r="L69">
        <v>145.45679999999999</v>
      </c>
      <c r="M69">
        <v>174.27699999999999</v>
      </c>
      <c r="N69">
        <v>108.0879</v>
      </c>
      <c r="O69">
        <v>0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9260.1592000000001</v>
      </c>
      <c r="G70">
        <v>18190.394199999999</v>
      </c>
      <c r="H70">
        <v>6210.74</v>
      </c>
      <c r="I70">
        <v>2580.9776000000002</v>
      </c>
      <c r="J70">
        <v>2452.5978</v>
      </c>
      <c r="K70">
        <v>4693.2933000000003</v>
      </c>
      <c r="L70">
        <v>6753.7057999999997</v>
      </c>
      <c r="M70">
        <v>5178.9340000000002</v>
      </c>
      <c r="N70">
        <v>3262.1826999999998</v>
      </c>
      <c r="O70">
        <v>2795.2233999999999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388.79259999999999</v>
      </c>
      <c r="G71">
        <v>456.42860000000002</v>
      </c>
      <c r="H71">
        <v>441.64760000000001</v>
      </c>
      <c r="I71">
        <v>410.21429999999998</v>
      </c>
      <c r="J71">
        <v>392.14400000000001</v>
      </c>
      <c r="K71">
        <v>400.25110000000001</v>
      </c>
      <c r="L71">
        <v>399.27190000000002</v>
      </c>
      <c r="M71">
        <v>377.30279999999999</v>
      </c>
      <c r="N71">
        <v>359.71960000000001</v>
      </c>
      <c r="O71">
        <v>364.19880000000001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110483.8367</v>
      </c>
      <c r="H72">
        <v>6276.6185999999998</v>
      </c>
      <c r="I72">
        <v>1773.9857999999999</v>
      </c>
      <c r="J72">
        <v>473.09879999999998</v>
      </c>
      <c r="K72">
        <v>518.88099999999997</v>
      </c>
      <c r="L72">
        <v>281.24090000000001</v>
      </c>
      <c r="M72">
        <v>429.22430000000003</v>
      </c>
      <c r="N72">
        <v>316.10399999999998</v>
      </c>
      <c r="O72">
        <v>380.84070000000003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9.5678000000000001</v>
      </c>
      <c r="L73">
        <v>12.8725</v>
      </c>
      <c r="M73">
        <v>28.7577</v>
      </c>
      <c r="N73">
        <v>24.529800000000002</v>
      </c>
      <c r="O73">
        <v>30.478300000000001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25.929200000000002</v>
      </c>
      <c r="G74">
        <v>49.984699999999997</v>
      </c>
      <c r="H74">
        <v>62.072400000000002</v>
      </c>
      <c r="I74">
        <v>70.2697</v>
      </c>
      <c r="J74">
        <v>80.877600000000001</v>
      </c>
      <c r="K74">
        <v>146.66810000000001</v>
      </c>
      <c r="L74">
        <v>183.19890000000001</v>
      </c>
      <c r="M74">
        <v>123.3764</v>
      </c>
      <c r="N74">
        <v>63.8155</v>
      </c>
      <c r="O74">
        <v>133.1628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95.415899999999993</v>
      </c>
      <c r="G75">
        <v>158.80420000000001</v>
      </c>
      <c r="H75">
        <v>187.07390000000001</v>
      </c>
      <c r="I75">
        <v>189.10300000000001</v>
      </c>
      <c r="J75">
        <v>202.6686</v>
      </c>
      <c r="K75">
        <v>200.3965</v>
      </c>
      <c r="L75">
        <v>150.1223</v>
      </c>
      <c r="M75">
        <v>111.36799999999999</v>
      </c>
      <c r="N75">
        <v>123.5171</v>
      </c>
      <c r="O75">
        <v>100.104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81.501499999999993</v>
      </c>
      <c r="G76">
        <v>115.59439999999999</v>
      </c>
      <c r="H76">
        <v>31.859300000000001</v>
      </c>
      <c r="I76">
        <v>27.7376</v>
      </c>
      <c r="J76">
        <v>27.939399999999999</v>
      </c>
      <c r="K76">
        <v>24.2182</v>
      </c>
      <c r="L76">
        <v>127.2991</v>
      </c>
      <c r="M76">
        <v>161.0437</v>
      </c>
      <c r="N76">
        <v>137.012</v>
      </c>
      <c r="O76">
        <v>153.328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0</v>
      </c>
      <c r="G77">
        <v>0</v>
      </c>
      <c r="H77">
        <v>0</v>
      </c>
      <c r="I77">
        <v>0</v>
      </c>
      <c r="J77">
        <v>0</v>
      </c>
      <c r="K77">
        <v>3.3273000000000001</v>
      </c>
      <c r="L77">
        <v>10136.731900000001</v>
      </c>
      <c r="M77">
        <v>10796.3056</v>
      </c>
      <c r="N77">
        <v>10299.8002</v>
      </c>
      <c r="O77">
        <v>13646.187099999999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3255.5529999999999</v>
      </c>
      <c r="L78">
        <v>8425.0162999999993</v>
      </c>
      <c r="M78">
        <v>1951.2668000000001</v>
      </c>
      <c r="N78">
        <v>3023.8243000000002</v>
      </c>
      <c r="O78">
        <v>10797.126200000001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0.1249</v>
      </c>
      <c r="G79">
        <v>5.3800000000000001E-2</v>
      </c>
      <c r="H79">
        <v>0.44369999999999998</v>
      </c>
      <c r="I79">
        <v>6.0925000000000002</v>
      </c>
      <c r="J79">
        <v>2.8593999999999999</v>
      </c>
      <c r="K79">
        <v>5.1672000000000002</v>
      </c>
      <c r="L79">
        <v>17.258199999999999</v>
      </c>
      <c r="M79">
        <v>116.78270000000001</v>
      </c>
      <c r="N79">
        <v>150.36969999999999</v>
      </c>
      <c r="O79">
        <v>130.2184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2269.1003999999998</v>
      </c>
      <c r="G80">
        <v>1448.3452</v>
      </c>
      <c r="H80">
        <v>2547.0065</v>
      </c>
      <c r="I80">
        <v>2882.922</v>
      </c>
      <c r="J80">
        <v>5055.3810999999996</v>
      </c>
      <c r="K80">
        <v>2688.5014999999999</v>
      </c>
      <c r="L80">
        <v>3176.5005000000001</v>
      </c>
      <c r="M80">
        <v>7901.1256999999996</v>
      </c>
      <c r="N80">
        <v>3720.7422999999999</v>
      </c>
      <c r="O80">
        <v>10547.4143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3.3965000000000001</v>
      </c>
      <c r="G81">
        <v>153.14150000000001</v>
      </c>
      <c r="H81">
        <v>234.11240000000001</v>
      </c>
      <c r="I81">
        <v>1113.2248999999999</v>
      </c>
      <c r="J81">
        <v>1514.8291999999999</v>
      </c>
      <c r="K81">
        <v>1497.1899000000001</v>
      </c>
      <c r="L81">
        <v>1749.7828999999999</v>
      </c>
      <c r="M81">
        <v>813.19749999999999</v>
      </c>
      <c r="N81">
        <v>1920.9084</v>
      </c>
      <c r="O81">
        <v>1497.0664999999999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55.924599999999998</v>
      </c>
      <c r="G82">
        <v>75.997699999999995</v>
      </c>
      <c r="H82">
        <v>93.758300000000006</v>
      </c>
      <c r="I82">
        <v>99.109399999999994</v>
      </c>
      <c r="J82">
        <v>80.971199999999996</v>
      </c>
      <c r="K82">
        <v>155.11799999999999</v>
      </c>
      <c r="L82">
        <v>139.13319999999999</v>
      </c>
      <c r="M82">
        <v>121.7542</v>
      </c>
      <c r="N82">
        <v>79.131399999999999</v>
      </c>
      <c r="O82">
        <v>123.32210000000001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159.79759999999999</v>
      </c>
      <c r="G83">
        <v>149.78919999999999</v>
      </c>
      <c r="H83">
        <v>145.68600000000001</v>
      </c>
      <c r="I83">
        <v>139.1634</v>
      </c>
      <c r="J83">
        <v>146.33949999999999</v>
      </c>
      <c r="K83">
        <v>183.75899999999999</v>
      </c>
      <c r="L83">
        <v>166.78139999999999</v>
      </c>
      <c r="M83">
        <v>92.213200000000001</v>
      </c>
      <c r="N83">
        <v>77.836299999999994</v>
      </c>
      <c r="O83">
        <v>82.571600000000004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34.778399999999998</v>
      </c>
      <c r="G84">
        <v>40.725499999999997</v>
      </c>
      <c r="H84">
        <v>34.441099999999999</v>
      </c>
      <c r="I84">
        <v>36.899299999999997</v>
      </c>
      <c r="J84">
        <v>44.715899999999998</v>
      </c>
      <c r="K84">
        <v>38.596499999999999</v>
      </c>
      <c r="L84">
        <v>47.815100000000001</v>
      </c>
      <c r="M84">
        <v>29.816600000000001</v>
      </c>
      <c r="N84">
        <v>30.340699999999998</v>
      </c>
      <c r="O84">
        <v>28.288699999999999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135.32859999999999</v>
      </c>
      <c r="G85">
        <v>127.4666</v>
      </c>
      <c r="H85">
        <v>124.7838</v>
      </c>
      <c r="I85">
        <v>119.6746</v>
      </c>
      <c r="J85">
        <v>91.351299999999995</v>
      </c>
      <c r="K85">
        <v>89.808300000000003</v>
      </c>
      <c r="L85">
        <v>104.7223</v>
      </c>
      <c r="M85">
        <v>85.485799999999998</v>
      </c>
      <c r="N85">
        <v>88.3262</v>
      </c>
      <c r="O85">
        <v>69.750299999999996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243.6857</v>
      </c>
      <c r="G86">
        <v>323.81639999999999</v>
      </c>
      <c r="H86">
        <v>317.93310000000002</v>
      </c>
      <c r="I86">
        <v>289.37580000000003</v>
      </c>
      <c r="J86">
        <v>267.13240000000002</v>
      </c>
      <c r="K86">
        <v>254.2381</v>
      </c>
      <c r="L86">
        <v>228.78129999999999</v>
      </c>
      <c r="M86">
        <v>206.54490000000001</v>
      </c>
      <c r="N86">
        <v>183.08969999999999</v>
      </c>
      <c r="O86">
        <v>156.88999999999999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17.092300000000002</v>
      </c>
      <c r="G87">
        <v>23.3599</v>
      </c>
      <c r="H87">
        <v>18.252600000000001</v>
      </c>
      <c r="I87">
        <v>13.5549</v>
      </c>
      <c r="J87">
        <v>22.5916</v>
      </c>
      <c r="K87">
        <v>26.022300000000001</v>
      </c>
      <c r="L87">
        <v>40.949300000000001</v>
      </c>
      <c r="M87">
        <v>54.090499999999999</v>
      </c>
      <c r="N87">
        <v>44.192999999999998</v>
      </c>
      <c r="O87">
        <v>46.682200000000002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41.633200000000002</v>
      </c>
      <c r="O88">
        <v>46.775300000000001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120.1139</v>
      </c>
      <c r="G89">
        <v>169.44739999999999</v>
      </c>
      <c r="H89">
        <v>155.7747</v>
      </c>
      <c r="I89">
        <v>115.9068</v>
      </c>
      <c r="J89">
        <v>133.58449999999999</v>
      </c>
      <c r="K89">
        <v>141.56129999999999</v>
      </c>
      <c r="L89">
        <v>168.01779999999999</v>
      </c>
      <c r="M89">
        <v>219.30260000000001</v>
      </c>
      <c r="N89">
        <v>205.3802</v>
      </c>
      <c r="O89">
        <v>221.19059999999999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43.075699999999998</v>
      </c>
      <c r="G90">
        <v>44.925400000000003</v>
      </c>
      <c r="H90">
        <v>42.462200000000003</v>
      </c>
      <c r="I90">
        <v>33.759</v>
      </c>
      <c r="J90">
        <v>31.834</v>
      </c>
      <c r="K90">
        <v>30.466000000000001</v>
      </c>
      <c r="L90">
        <v>33.468800000000002</v>
      </c>
      <c r="M90">
        <v>29.436499999999999</v>
      </c>
      <c r="N90">
        <v>24.909600000000001</v>
      </c>
      <c r="O90">
        <v>35.4863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73.150300000000001</v>
      </c>
      <c r="G91">
        <v>98.192999999999998</v>
      </c>
      <c r="H91">
        <v>117.1233</v>
      </c>
      <c r="I91">
        <v>136.1942</v>
      </c>
      <c r="J91">
        <v>123.8086</v>
      </c>
      <c r="K91">
        <v>119.2586</v>
      </c>
      <c r="L91">
        <v>109.32769999999999</v>
      </c>
      <c r="M91">
        <v>123.48739999999999</v>
      </c>
      <c r="N91">
        <v>859.87130000000002</v>
      </c>
      <c r="O91">
        <v>747.87120000000004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7121.9645</v>
      </c>
      <c r="G92">
        <v>6973.2866000000004</v>
      </c>
      <c r="H92">
        <v>6281.1118999999999</v>
      </c>
      <c r="I92">
        <v>5191.3024999999998</v>
      </c>
      <c r="J92">
        <v>6627.7308000000003</v>
      </c>
      <c r="K92">
        <v>4358.5316999999995</v>
      </c>
      <c r="L92">
        <v>4304.6009999999997</v>
      </c>
      <c r="M92">
        <v>4693.8527000000004</v>
      </c>
      <c r="N92">
        <v>10028.3336</v>
      </c>
      <c r="O92">
        <v>5451.8447999999999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381.44709999999998</v>
      </c>
      <c r="G93">
        <v>481.97500000000002</v>
      </c>
      <c r="H93">
        <v>725.19979999999998</v>
      </c>
      <c r="I93">
        <v>695.8578</v>
      </c>
      <c r="J93">
        <v>719.1</v>
      </c>
      <c r="K93">
        <v>690.66729999999995</v>
      </c>
      <c r="L93">
        <v>678.30920000000003</v>
      </c>
      <c r="M93">
        <v>726.98860000000002</v>
      </c>
      <c r="N93">
        <v>735.36569999999995</v>
      </c>
      <c r="O93">
        <v>566.81420000000003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239.0772</v>
      </c>
      <c r="G94">
        <v>306.78379999999999</v>
      </c>
      <c r="H94">
        <v>271.12670000000003</v>
      </c>
      <c r="I94">
        <v>294.20060000000001</v>
      </c>
      <c r="J94">
        <v>293.678</v>
      </c>
      <c r="K94">
        <v>211.21379999999999</v>
      </c>
      <c r="L94">
        <v>248.53399999999999</v>
      </c>
      <c r="M94">
        <v>245.78440000000001</v>
      </c>
      <c r="N94">
        <v>152.5549</v>
      </c>
      <c r="O94">
        <v>144.08539999999999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61.937399999999997</v>
      </c>
      <c r="G96">
        <v>148.55070000000001</v>
      </c>
      <c r="H96">
        <v>71.596599999999995</v>
      </c>
      <c r="I96">
        <v>147.35910000000001</v>
      </c>
      <c r="J96">
        <v>60.059800000000003</v>
      </c>
      <c r="K96">
        <v>69.918099999999995</v>
      </c>
      <c r="L96">
        <v>109.378</v>
      </c>
      <c r="M96">
        <v>109.7255</v>
      </c>
      <c r="N96">
        <v>116.99460000000001</v>
      </c>
      <c r="O96">
        <v>137.87389999999999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183.60939999999999</v>
      </c>
      <c r="G97">
        <v>241.12389999999999</v>
      </c>
      <c r="H97">
        <v>259.95760000000001</v>
      </c>
      <c r="I97">
        <v>394.4</v>
      </c>
      <c r="J97">
        <v>360.1875</v>
      </c>
      <c r="K97">
        <v>559.98919999999998</v>
      </c>
      <c r="L97">
        <v>647.32560000000001</v>
      </c>
      <c r="M97">
        <v>1013.1588</v>
      </c>
      <c r="N97">
        <v>572.12639999999999</v>
      </c>
      <c r="O97">
        <v>534.21849999999995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390.89640000000003</v>
      </c>
      <c r="G98">
        <v>341.67349999999999</v>
      </c>
      <c r="H98">
        <v>361.86970000000002</v>
      </c>
      <c r="I98">
        <v>199.09889999999999</v>
      </c>
      <c r="J98">
        <v>201.9529</v>
      </c>
      <c r="K98">
        <v>275.42140000000001</v>
      </c>
      <c r="L98">
        <v>171.66669999999999</v>
      </c>
      <c r="M98">
        <v>417.08539999999999</v>
      </c>
      <c r="N98">
        <v>265.95920000000001</v>
      </c>
      <c r="O98">
        <v>219.22730000000001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357.05889999999999</v>
      </c>
      <c r="G99">
        <v>54.749699999999997</v>
      </c>
      <c r="H99">
        <v>85.0899</v>
      </c>
      <c r="I99">
        <v>8.2598000000000003</v>
      </c>
      <c r="J99">
        <v>17.261500000000002</v>
      </c>
      <c r="K99">
        <v>136.941</v>
      </c>
      <c r="L99">
        <v>1240.5920000000001</v>
      </c>
      <c r="M99">
        <v>801.97270000000003</v>
      </c>
      <c r="N99">
        <v>861.18790000000001</v>
      </c>
      <c r="O99">
        <v>677.65809999999999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116.28959999999999</v>
      </c>
      <c r="G100">
        <v>114.4336</v>
      </c>
      <c r="H100">
        <v>142.20189999999999</v>
      </c>
      <c r="I100">
        <v>113.10809999999999</v>
      </c>
      <c r="J100">
        <v>106.8977</v>
      </c>
      <c r="K100">
        <v>110.455</v>
      </c>
      <c r="L100">
        <v>110.2521</v>
      </c>
      <c r="M100">
        <v>97.605099999999993</v>
      </c>
      <c r="N100">
        <v>90.718699999999998</v>
      </c>
      <c r="O100">
        <v>104.4646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12.1645</v>
      </c>
      <c r="G101">
        <v>16.8184</v>
      </c>
      <c r="H101">
        <v>9.8000000000000007</v>
      </c>
      <c r="I101">
        <v>10.816599999999999</v>
      </c>
      <c r="J101">
        <v>12.7453</v>
      </c>
      <c r="K101">
        <v>13.0242</v>
      </c>
      <c r="L101">
        <v>14.192299999999999</v>
      </c>
      <c r="M101">
        <v>13.571999999999999</v>
      </c>
      <c r="N101">
        <v>13.176</v>
      </c>
      <c r="O101">
        <v>11.3307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17.738700000000001</v>
      </c>
      <c r="G102">
        <v>28.715399999999999</v>
      </c>
      <c r="H102">
        <v>54.051400000000001</v>
      </c>
      <c r="I102">
        <v>62.777299999999997</v>
      </c>
      <c r="J102">
        <v>117.9727</v>
      </c>
      <c r="K102">
        <v>141.78639999999999</v>
      </c>
      <c r="L102">
        <v>119.5985</v>
      </c>
      <c r="M102">
        <v>175.464</v>
      </c>
      <c r="N102">
        <v>122.07470000000001</v>
      </c>
      <c r="O102">
        <v>187.80109999999999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114.01439999999999</v>
      </c>
      <c r="G103">
        <v>144.77610000000001</v>
      </c>
      <c r="H103">
        <v>187.2971</v>
      </c>
      <c r="I103">
        <v>241.32429999999999</v>
      </c>
      <c r="J103">
        <v>284.62889999999999</v>
      </c>
      <c r="K103">
        <v>165.2089</v>
      </c>
      <c r="L103">
        <v>237.20679999999999</v>
      </c>
      <c r="M103">
        <v>148.31190000000001</v>
      </c>
      <c r="N103">
        <v>115.39919999999999</v>
      </c>
      <c r="O103">
        <v>90.104900000000001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242.00839999999999</v>
      </c>
      <c r="G104">
        <v>217.26439999999999</v>
      </c>
      <c r="H104">
        <v>155.9907</v>
      </c>
      <c r="I104">
        <v>141.36150000000001</v>
      </c>
      <c r="J104">
        <v>132.9504</v>
      </c>
      <c r="K104">
        <v>136.286</v>
      </c>
      <c r="L104">
        <v>119.1931</v>
      </c>
      <c r="M104">
        <v>83.990700000000004</v>
      </c>
      <c r="N104">
        <v>86.972999999999999</v>
      </c>
      <c r="O104">
        <v>82.345399999999998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20.251000000000001</v>
      </c>
      <c r="G105">
        <v>48.808100000000003</v>
      </c>
      <c r="H105">
        <v>27.697199999999999</v>
      </c>
      <c r="I105">
        <v>50.884900000000002</v>
      </c>
      <c r="J105">
        <v>39.182899999999997</v>
      </c>
      <c r="K105">
        <v>90.897400000000005</v>
      </c>
      <c r="L105">
        <v>20.718299999999999</v>
      </c>
      <c r="M105">
        <v>17.4679</v>
      </c>
      <c r="N105">
        <v>9.1105999999999998</v>
      </c>
      <c r="O105">
        <v>62.929000000000002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20.184000000000001</v>
      </c>
      <c r="G106">
        <v>33.101500000000001</v>
      </c>
      <c r="H106">
        <v>47.587600000000002</v>
      </c>
      <c r="I106">
        <v>71.933899999999994</v>
      </c>
      <c r="J106">
        <v>92.393900000000002</v>
      </c>
      <c r="K106">
        <v>294.11020000000002</v>
      </c>
      <c r="L106">
        <v>226.6772</v>
      </c>
      <c r="M106">
        <v>155.881</v>
      </c>
      <c r="N106">
        <v>144.73339999999999</v>
      </c>
      <c r="O106">
        <v>213.6319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69.133099999999999</v>
      </c>
      <c r="G107">
        <v>57.490400000000001</v>
      </c>
      <c r="H107">
        <v>48.228400000000001</v>
      </c>
      <c r="I107">
        <v>45.943300000000001</v>
      </c>
      <c r="J107">
        <v>36.352899999999998</v>
      </c>
      <c r="K107">
        <v>13.9551</v>
      </c>
      <c r="L107">
        <v>11.2958</v>
      </c>
      <c r="M107">
        <v>9.6085999999999991</v>
      </c>
      <c r="N107">
        <v>9.3673999999999999</v>
      </c>
      <c r="O107">
        <v>65.339299999999994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76.029399999999995</v>
      </c>
      <c r="G108">
        <v>263.92619999999999</v>
      </c>
      <c r="H108">
        <v>401.76100000000002</v>
      </c>
      <c r="I108">
        <v>95.804900000000004</v>
      </c>
      <c r="J108">
        <v>78.492099999999994</v>
      </c>
      <c r="K108">
        <v>83.642200000000003</v>
      </c>
      <c r="L108">
        <v>95.595299999999995</v>
      </c>
      <c r="M108">
        <v>115.89360000000001</v>
      </c>
      <c r="N108">
        <v>130.66900000000001</v>
      </c>
      <c r="O108">
        <v>125.46429999999999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47.677199999999999</v>
      </c>
      <c r="G109">
        <v>70.547200000000004</v>
      </c>
      <c r="H109">
        <v>55.404499999999999</v>
      </c>
      <c r="I109">
        <v>61.000300000000003</v>
      </c>
      <c r="J109">
        <v>57.245899999999999</v>
      </c>
      <c r="K109">
        <v>79.186099999999996</v>
      </c>
      <c r="L109">
        <v>83.186999999999998</v>
      </c>
      <c r="M109">
        <v>83.065700000000007</v>
      </c>
      <c r="N109">
        <v>85.468599999999995</v>
      </c>
      <c r="O109">
        <v>102.0026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62.513800000000003</v>
      </c>
      <c r="G110">
        <v>69.467699999999994</v>
      </c>
      <c r="H110">
        <v>90.1113</v>
      </c>
      <c r="I110">
        <v>97.590999999999994</v>
      </c>
      <c r="J110">
        <v>132.58940000000001</v>
      </c>
      <c r="K110">
        <v>202.1037</v>
      </c>
      <c r="L110">
        <v>182.2637</v>
      </c>
      <c r="M110">
        <v>211.49789999999999</v>
      </c>
      <c r="N110">
        <v>228.12649999999999</v>
      </c>
      <c r="O110">
        <v>190.6086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31.647099999999998</v>
      </c>
      <c r="G111">
        <v>39.5578</v>
      </c>
      <c r="H111">
        <v>38.009500000000003</v>
      </c>
      <c r="I111">
        <v>38.352899999999998</v>
      </c>
      <c r="J111">
        <v>30.601600000000001</v>
      </c>
      <c r="K111">
        <v>22.403199999999998</v>
      </c>
      <c r="L111">
        <v>63.2502</v>
      </c>
      <c r="M111">
        <v>58.9131</v>
      </c>
      <c r="N111">
        <v>46.8718</v>
      </c>
      <c r="O111">
        <v>44.546100000000003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69.428799999999995</v>
      </c>
      <c r="G112">
        <v>66.302999999999997</v>
      </c>
      <c r="H112">
        <v>78.127200000000002</v>
      </c>
      <c r="I112">
        <v>99.131200000000007</v>
      </c>
      <c r="J112">
        <v>91.693100000000001</v>
      </c>
      <c r="K112">
        <v>88.1952</v>
      </c>
      <c r="L112">
        <v>85.471599999999995</v>
      </c>
      <c r="M112">
        <v>66.9495</v>
      </c>
      <c r="N112">
        <v>109.9649</v>
      </c>
      <c r="O112">
        <v>133.33529999999999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19.102499999999999</v>
      </c>
      <c r="G113">
        <v>21.665500000000002</v>
      </c>
      <c r="H113">
        <v>27.3445</v>
      </c>
      <c r="I113">
        <v>23.961200000000002</v>
      </c>
      <c r="J113">
        <v>21.634499999999999</v>
      </c>
      <c r="K113">
        <v>25.715</v>
      </c>
      <c r="L113">
        <v>28.6751</v>
      </c>
      <c r="M113">
        <v>30.805099999999999</v>
      </c>
      <c r="N113">
        <v>43.395000000000003</v>
      </c>
      <c r="O113">
        <v>57.1434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158.65479999999999</v>
      </c>
      <c r="G114">
        <v>207.6208</v>
      </c>
      <c r="H114">
        <v>194.56809999999999</v>
      </c>
      <c r="I114">
        <v>208.38550000000001</v>
      </c>
      <c r="J114">
        <v>161.82300000000001</v>
      </c>
      <c r="K114">
        <v>158.54759999999999</v>
      </c>
      <c r="L114">
        <v>158.04499999999999</v>
      </c>
      <c r="M114">
        <v>146.0701</v>
      </c>
      <c r="N114">
        <v>131.04769999999999</v>
      </c>
      <c r="O114">
        <v>118.1768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53.068600000000004</v>
      </c>
      <c r="G115">
        <v>40.823700000000002</v>
      </c>
      <c r="H115">
        <v>41.36</v>
      </c>
      <c r="I115">
        <v>73.012</v>
      </c>
      <c r="J115">
        <v>66.275800000000004</v>
      </c>
      <c r="K115">
        <v>35.544600000000003</v>
      </c>
      <c r="L115">
        <v>52.245899999999999</v>
      </c>
      <c r="M115">
        <v>39.510199999999998</v>
      </c>
      <c r="N115">
        <v>24.822399999999998</v>
      </c>
      <c r="O115">
        <v>48.478900000000003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34.252800000000001</v>
      </c>
      <c r="G116">
        <v>27.940200000000001</v>
      </c>
      <c r="H116">
        <v>0.38429999999999997</v>
      </c>
      <c r="I116">
        <v>0.4335</v>
      </c>
      <c r="J116">
        <v>0.59370000000000001</v>
      </c>
      <c r="K116">
        <v>0.54510000000000003</v>
      </c>
      <c r="L116">
        <v>0.7288</v>
      </c>
      <c r="M116">
        <v>1.3669</v>
      </c>
      <c r="N116">
        <v>0.50290000000000001</v>
      </c>
      <c r="O116">
        <v>0.27850000000000003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94.490099999999998</v>
      </c>
      <c r="G117">
        <v>75.582800000000006</v>
      </c>
      <c r="H117">
        <v>65.881100000000004</v>
      </c>
      <c r="I117">
        <v>98.412499999999994</v>
      </c>
      <c r="J117">
        <v>167.386</v>
      </c>
      <c r="K117">
        <v>225.59690000000001</v>
      </c>
      <c r="L117">
        <v>247.60810000000001</v>
      </c>
      <c r="M117">
        <v>314.57499999999999</v>
      </c>
      <c r="N117">
        <v>303.8732</v>
      </c>
      <c r="O117">
        <v>279.43079999999998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178.39240000000001</v>
      </c>
      <c r="G118">
        <v>334.57209999999998</v>
      </c>
      <c r="H118">
        <v>612.55330000000004</v>
      </c>
      <c r="I118">
        <v>767.2799</v>
      </c>
      <c r="J118">
        <v>866.37959999999998</v>
      </c>
      <c r="K118">
        <v>1120.9437</v>
      </c>
      <c r="L118">
        <v>715.47699999999998</v>
      </c>
      <c r="M118">
        <v>535.23530000000005</v>
      </c>
      <c r="N118">
        <v>563.24720000000002</v>
      </c>
      <c r="O118">
        <v>901.55510000000004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98.586299999999994</v>
      </c>
      <c r="G119">
        <v>149.2174</v>
      </c>
      <c r="H119">
        <v>119.2141</v>
      </c>
      <c r="I119">
        <v>107.0956</v>
      </c>
      <c r="J119">
        <v>88.735500000000002</v>
      </c>
      <c r="K119">
        <v>114.01260000000001</v>
      </c>
      <c r="L119">
        <v>137.75040000000001</v>
      </c>
      <c r="M119">
        <v>156.8656</v>
      </c>
      <c r="N119">
        <v>150.61449999999999</v>
      </c>
      <c r="O119">
        <v>156.95519999999999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542.19079999999997</v>
      </c>
      <c r="G120">
        <v>839.32140000000004</v>
      </c>
      <c r="H120">
        <v>502.99740000000003</v>
      </c>
      <c r="I120">
        <v>597.87260000000003</v>
      </c>
      <c r="J120">
        <v>1519.3143</v>
      </c>
      <c r="K120">
        <v>1295.0866000000001</v>
      </c>
      <c r="L120">
        <v>526.22519999999997</v>
      </c>
      <c r="M120">
        <v>28.931000000000001</v>
      </c>
      <c r="N120">
        <v>16.3202</v>
      </c>
      <c r="O120">
        <v>41.18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156.02850000000001</v>
      </c>
      <c r="G121">
        <v>231.80240000000001</v>
      </c>
      <c r="H121">
        <v>200.5069</v>
      </c>
      <c r="I121">
        <v>193.6652</v>
      </c>
      <c r="J121">
        <v>169.631</v>
      </c>
      <c r="K121">
        <v>304.77030000000002</v>
      </c>
      <c r="L121">
        <v>463.9898</v>
      </c>
      <c r="M121">
        <v>317.8288</v>
      </c>
      <c r="N121">
        <v>257.80680000000001</v>
      </c>
      <c r="O121">
        <v>489.02319999999997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184.99760000000001</v>
      </c>
      <c r="G122">
        <v>237.63319999999999</v>
      </c>
      <c r="H122">
        <v>115.47629999999999</v>
      </c>
      <c r="I122">
        <v>105.8473</v>
      </c>
      <c r="J122">
        <v>28.000299999999999</v>
      </c>
      <c r="K122">
        <v>29.732700000000001</v>
      </c>
      <c r="L122">
        <v>35.745899999999999</v>
      </c>
      <c r="M122">
        <v>41.932899999999997</v>
      </c>
      <c r="N122">
        <v>58.3108</v>
      </c>
      <c r="O122">
        <v>68.275499999999994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0</v>
      </c>
      <c r="G123">
        <v>0</v>
      </c>
      <c r="H123">
        <v>0</v>
      </c>
      <c r="I123">
        <v>124.2623</v>
      </c>
      <c r="J123">
        <v>176.98179999999999</v>
      </c>
      <c r="K123">
        <v>106.9918</v>
      </c>
      <c r="L123">
        <v>93.783900000000003</v>
      </c>
      <c r="M123">
        <v>177.66380000000001</v>
      </c>
      <c r="N123">
        <v>169.22649999999999</v>
      </c>
      <c r="O123">
        <v>145.22810000000001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50.930300000000003</v>
      </c>
      <c r="G124">
        <v>54.1492</v>
      </c>
      <c r="H124">
        <v>51.459800000000001</v>
      </c>
      <c r="I124">
        <v>46.609699999999997</v>
      </c>
      <c r="J124">
        <v>35.815199999999997</v>
      </c>
      <c r="K124">
        <v>41.813899999999997</v>
      </c>
      <c r="L124">
        <v>44.662999999999997</v>
      </c>
      <c r="M124">
        <v>42.397500000000001</v>
      </c>
      <c r="N124">
        <v>43.146500000000003</v>
      </c>
      <c r="O124">
        <v>41.394199999999998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63.7986</v>
      </c>
      <c r="G125">
        <v>66.010900000000007</v>
      </c>
      <c r="H125">
        <v>62.519799999999996</v>
      </c>
      <c r="I125">
        <v>80.956400000000002</v>
      </c>
      <c r="J125">
        <v>89.134</v>
      </c>
      <c r="K125">
        <v>99.241</v>
      </c>
      <c r="L125">
        <v>109.50700000000001</v>
      </c>
      <c r="M125">
        <v>113.68940000000001</v>
      </c>
      <c r="N125">
        <v>123.1622</v>
      </c>
      <c r="O125">
        <v>136.64789999999999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1147.2511999999999</v>
      </c>
      <c r="G126">
        <v>0</v>
      </c>
      <c r="H126">
        <v>22.509399999999999</v>
      </c>
      <c r="I126">
        <v>0</v>
      </c>
      <c r="J126">
        <v>5.1999999999999998E-3</v>
      </c>
      <c r="K126">
        <v>0</v>
      </c>
      <c r="L126">
        <v>1141.4938</v>
      </c>
      <c r="M126">
        <v>122.715</v>
      </c>
      <c r="N126">
        <v>693.80219999999997</v>
      </c>
      <c r="O126">
        <v>601.18079999999998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965.20169999999996</v>
      </c>
      <c r="G127">
        <v>4281.1252000000004</v>
      </c>
      <c r="H127">
        <v>224.4461</v>
      </c>
      <c r="I127">
        <v>89.550299999999993</v>
      </c>
      <c r="J127">
        <v>60.3979</v>
      </c>
      <c r="K127">
        <v>138.47640000000001</v>
      </c>
      <c r="L127">
        <v>533.14679999999998</v>
      </c>
      <c r="M127">
        <v>377.63260000000002</v>
      </c>
      <c r="N127">
        <v>303.56909999999999</v>
      </c>
      <c r="O127">
        <v>468.09640000000002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110.9083</v>
      </c>
      <c r="G128">
        <v>104.47709999999999</v>
      </c>
      <c r="H128">
        <v>106.36669999999999</v>
      </c>
      <c r="I128">
        <v>125.3999</v>
      </c>
      <c r="J128">
        <v>110.3951</v>
      </c>
      <c r="K128">
        <v>134.54150000000001</v>
      </c>
      <c r="L128">
        <v>141.60769999999999</v>
      </c>
      <c r="M128">
        <v>132.43819999999999</v>
      </c>
      <c r="N128">
        <v>134.37479999999999</v>
      </c>
      <c r="O128">
        <v>158.39859999999999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35.111699999999999</v>
      </c>
      <c r="G129">
        <v>106.2684</v>
      </c>
      <c r="H129">
        <v>5.1821999999999999</v>
      </c>
      <c r="I129">
        <v>0</v>
      </c>
      <c r="J129">
        <v>0</v>
      </c>
      <c r="K129">
        <v>0</v>
      </c>
      <c r="L129">
        <v>0</v>
      </c>
      <c r="M129">
        <v>90.5214</v>
      </c>
      <c r="N129">
        <v>234.36930000000001</v>
      </c>
      <c r="O129">
        <v>2285.5785000000001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347.82619999999997</v>
      </c>
      <c r="G130">
        <v>77.888199999999998</v>
      </c>
      <c r="H130">
        <v>165.274</v>
      </c>
      <c r="I130">
        <v>300.18650000000002</v>
      </c>
      <c r="J130">
        <v>529.56439999999998</v>
      </c>
      <c r="K130">
        <v>352.34070000000003</v>
      </c>
      <c r="L130">
        <v>238.50989999999999</v>
      </c>
      <c r="M130">
        <v>202.6815</v>
      </c>
      <c r="N130">
        <v>106.7907</v>
      </c>
      <c r="O130">
        <v>75.729500000000002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74.009600000000006</v>
      </c>
      <c r="G131">
        <v>74.998500000000007</v>
      </c>
      <c r="H131">
        <v>75.502899999999997</v>
      </c>
      <c r="I131">
        <v>86.5946</v>
      </c>
      <c r="J131">
        <v>88.087000000000003</v>
      </c>
      <c r="K131">
        <v>116.8707</v>
      </c>
      <c r="L131">
        <v>130.77969999999999</v>
      </c>
      <c r="M131">
        <v>218.77869999999999</v>
      </c>
      <c r="N131">
        <v>157.0763</v>
      </c>
      <c r="O131">
        <v>270.33010000000002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145.1626</v>
      </c>
      <c r="G132">
        <v>163.72069999999999</v>
      </c>
      <c r="H132">
        <v>132.7972</v>
      </c>
      <c r="I132">
        <v>151.6063</v>
      </c>
      <c r="J132">
        <v>87.455100000000002</v>
      </c>
      <c r="K132">
        <v>128.85059999999999</v>
      </c>
      <c r="L132">
        <v>120.0792</v>
      </c>
      <c r="M132">
        <v>121.6581</v>
      </c>
      <c r="N132">
        <v>100.7542</v>
      </c>
      <c r="O132">
        <v>98.358199999999997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246.2825</v>
      </c>
      <c r="G133">
        <v>295.33339999999998</v>
      </c>
      <c r="H133">
        <v>291.6696</v>
      </c>
      <c r="I133">
        <v>233.44030000000001</v>
      </c>
      <c r="J133">
        <v>188.13140000000001</v>
      </c>
      <c r="K133">
        <v>289.2346</v>
      </c>
      <c r="L133">
        <v>265.8218</v>
      </c>
      <c r="M133">
        <v>235.3571</v>
      </c>
      <c r="N133">
        <v>193.91990000000001</v>
      </c>
      <c r="O133">
        <v>204.63749999999999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87.886300000000006</v>
      </c>
      <c r="G134">
        <v>176.51</v>
      </c>
      <c r="H134">
        <v>448.92559999999997</v>
      </c>
      <c r="I134">
        <v>618.26509999999996</v>
      </c>
      <c r="J134">
        <v>63.144300000000001</v>
      </c>
      <c r="K134">
        <v>83.456999999999994</v>
      </c>
      <c r="L134">
        <v>1146.3439000000001</v>
      </c>
      <c r="M134">
        <v>1889.886</v>
      </c>
      <c r="N134">
        <v>454.05459999999999</v>
      </c>
      <c r="O134">
        <v>34.309399999999997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78.3018</v>
      </c>
      <c r="G135">
        <v>100.9786</v>
      </c>
      <c r="H135">
        <v>88.182000000000002</v>
      </c>
      <c r="I135">
        <v>105.8815</v>
      </c>
      <c r="J135">
        <v>183.8509</v>
      </c>
      <c r="K135">
        <v>314.77519999999998</v>
      </c>
      <c r="L135">
        <v>235.63749999999999</v>
      </c>
      <c r="M135">
        <v>145.47980000000001</v>
      </c>
      <c r="N135">
        <v>257.08109999999999</v>
      </c>
      <c r="O135">
        <v>237.6326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14.960599999999999</v>
      </c>
      <c r="G136">
        <v>23.273599999999998</v>
      </c>
      <c r="H136">
        <v>20.631399999999999</v>
      </c>
      <c r="I136">
        <v>16.702000000000002</v>
      </c>
      <c r="J136">
        <v>12.6021</v>
      </c>
      <c r="K136">
        <v>23.754000000000001</v>
      </c>
      <c r="L136">
        <v>36.227200000000003</v>
      </c>
      <c r="M136">
        <v>54.467399999999998</v>
      </c>
      <c r="N136">
        <v>26.192599999999999</v>
      </c>
      <c r="O136">
        <v>32.095300000000002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1237.711</v>
      </c>
      <c r="G137">
        <v>903.91830000000004</v>
      </c>
      <c r="H137">
        <v>1371.9347</v>
      </c>
      <c r="I137">
        <v>1442.3922</v>
      </c>
      <c r="J137">
        <v>1542.3527999999999</v>
      </c>
      <c r="K137">
        <v>1628.3707999999999</v>
      </c>
      <c r="L137">
        <v>2698.4005999999999</v>
      </c>
      <c r="M137">
        <v>1227.8397</v>
      </c>
      <c r="N137">
        <v>1474.8175000000001</v>
      </c>
      <c r="O137">
        <v>1180.7175999999999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2430.3838999999998</v>
      </c>
      <c r="G138">
        <v>2988.3757000000001</v>
      </c>
      <c r="H138">
        <v>5993.7047000000002</v>
      </c>
      <c r="I138">
        <v>2848.4198999999999</v>
      </c>
      <c r="J138">
        <v>3124.2534999999998</v>
      </c>
      <c r="K138">
        <v>1302.8340000000001</v>
      </c>
      <c r="L138">
        <v>1991.6936000000001</v>
      </c>
      <c r="M138">
        <v>1522.3715</v>
      </c>
      <c r="N138">
        <v>3400.0273000000002</v>
      </c>
      <c r="O138">
        <v>10056.003000000001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42.711300000000001</v>
      </c>
      <c r="G139">
        <v>40.699599999999997</v>
      </c>
      <c r="H139">
        <v>42.502499999999998</v>
      </c>
      <c r="I139">
        <v>37.022399999999998</v>
      </c>
      <c r="J139">
        <v>31.432700000000001</v>
      </c>
      <c r="K139">
        <v>40.8889</v>
      </c>
      <c r="L139">
        <v>45.915900000000001</v>
      </c>
      <c r="M139">
        <v>37.299700000000001</v>
      </c>
      <c r="N139">
        <v>26.074400000000001</v>
      </c>
      <c r="O139">
        <v>29.311399999999999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553.57709999999997</v>
      </c>
      <c r="G140">
        <v>517.97739999999999</v>
      </c>
      <c r="H140">
        <v>488.61020000000002</v>
      </c>
      <c r="I140">
        <v>446.60449999999997</v>
      </c>
      <c r="J140">
        <v>596.42539999999997</v>
      </c>
      <c r="K140">
        <v>551.56299999999999</v>
      </c>
      <c r="L140">
        <v>477.72680000000003</v>
      </c>
      <c r="M140">
        <v>433.04680000000002</v>
      </c>
      <c r="N140">
        <v>510.78930000000003</v>
      </c>
      <c r="O140">
        <v>548.28980000000001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2707.1396</v>
      </c>
      <c r="G141">
        <v>5380.1360000000004</v>
      </c>
      <c r="H141">
        <v>3829.5772000000002</v>
      </c>
      <c r="I141">
        <v>2237.3908999999999</v>
      </c>
      <c r="J141">
        <v>2141.7817</v>
      </c>
      <c r="K141">
        <v>1713.9041999999999</v>
      </c>
      <c r="L141">
        <v>2560.3263999999999</v>
      </c>
      <c r="M141">
        <v>1828.146</v>
      </c>
      <c r="N141">
        <v>3421.2554</v>
      </c>
      <c r="O141">
        <v>7055.7266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26.116800000000001</v>
      </c>
      <c r="G142">
        <v>24.906500000000001</v>
      </c>
      <c r="H142">
        <v>35.294400000000003</v>
      </c>
      <c r="I142">
        <v>31.149000000000001</v>
      </c>
      <c r="J142">
        <v>32.420499999999997</v>
      </c>
      <c r="K142">
        <v>24.1831</v>
      </c>
      <c r="L142">
        <v>124.1604</v>
      </c>
      <c r="M142">
        <v>132.1808</v>
      </c>
      <c r="N142">
        <v>132.4571</v>
      </c>
      <c r="O142">
        <v>143.3074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226.0241</v>
      </c>
      <c r="G143">
        <v>255.2714</v>
      </c>
      <c r="H143">
        <v>175.27279999999999</v>
      </c>
      <c r="I143">
        <v>84.4499</v>
      </c>
      <c r="J143">
        <v>77.364400000000003</v>
      </c>
      <c r="K143">
        <v>54.893000000000001</v>
      </c>
      <c r="L143">
        <v>240.8623</v>
      </c>
      <c r="M143">
        <v>174.4076</v>
      </c>
      <c r="N143">
        <v>125.2282</v>
      </c>
      <c r="O143">
        <v>169.11590000000001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51.976199999999999</v>
      </c>
      <c r="G144">
        <v>42.047600000000003</v>
      </c>
      <c r="H144">
        <v>49.995600000000003</v>
      </c>
      <c r="I144">
        <v>66.057400000000001</v>
      </c>
      <c r="J144">
        <v>47.4876</v>
      </c>
      <c r="K144">
        <v>46.414000000000001</v>
      </c>
      <c r="L144">
        <v>37.405000000000001</v>
      </c>
      <c r="M144">
        <v>52.302599999999998</v>
      </c>
      <c r="N144">
        <v>52.148699999999998</v>
      </c>
      <c r="O144">
        <v>60.7881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118.5227</v>
      </c>
      <c r="G145">
        <v>126.0962</v>
      </c>
      <c r="H145">
        <v>108.3646</v>
      </c>
      <c r="I145">
        <v>78.335700000000003</v>
      </c>
      <c r="J145">
        <v>51.823399999999999</v>
      </c>
      <c r="K145">
        <v>40.975700000000003</v>
      </c>
      <c r="L145">
        <v>61.615000000000002</v>
      </c>
      <c r="M145">
        <v>116.1113</v>
      </c>
      <c r="N145">
        <v>187.62139999999999</v>
      </c>
      <c r="O145">
        <v>172.6925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5.3737000000000004</v>
      </c>
      <c r="G146">
        <v>2.0831</v>
      </c>
      <c r="H146">
        <v>2.1732999999999998</v>
      </c>
      <c r="I146">
        <v>9.7202999999999999</v>
      </c>
      <c r="J146">
        <v>1.4193</v>
      </c>
      <c r="K146">
        <v>1.3435999999999999</v>
      </c>
      <c r="L146">
        <v>1.79</v>
      </c>
      <c r="M146">
        <v>2.5141</v>
      </c>
      <c r="N146">
        <v>167.5189</v>
      </c>
      <c r="O146">
        <v>796.86220000000003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817.23779999999999</v>
      </c>
      <c r="G147">
        <v>792.12639999999999</v>
      </c>
      <c r="H147">
        <v>922.96510000000001</v>
      </c>
      <c r="I147">
        <v>1063.6394</v>
      </c>
      <c r="J147">
        <v>795.1</v>
      </c>
      <c r="K147">
        <v>1229.9324999999999</v>
      </c>
      <c r="L147">
        <v>701.04920000000004</v>
      </c>
      <c r="M147">
        <v>366.28359999999998</v>
      </c>
      <c r="N147">
        <v>259.94979999999998</v>
      </c>
      <c r="O147">
        <v>191.55969999999999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138.58920000000001</v>
      </c>
      <c r="G148">
        <v>165.20930000000001</v>
      </c>
      <c r="H148">
        <v>212.15719999999999</v>
      </c>
      <c r="I148">
        <v>273.36630000000002</v>
      </c>
      <c r="J148">
        <v>281.15609999999998</v>
      </c>
      <c r="K148">
        <v>253.97470000000001</v>
      </c>
      <c r="L148">
        <v>204.49950000000001</v>
      </c>
      <c r="M148">
        <v>171.1301</v>
      </c>
      <c r="N148">
        <v>174.73490000000001</v>
      </c>
      <c r="O148">
        <v>148.95849999999999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115.2413</v>
      </c>
      <c r="G149">
        <v>127.00239999999999</v>
      </c>
      <c r="H149">
        <v>124.6831</v>
      </c>
      <c r="I149">
        <v>115.1623</v>
      </c>
      <c r="J149">
        <v>113.03830000000001</v>
      </c>
      <c r="K149">
        <v>93.247299999999996</v>
      </c>
      <c r="L149">
        <v>85.875100000000003</v>
      </c>
      <c r="M149">
        <v>93.852900000000005</v>
      </c>
      <c r="N149">
        <v>110.37009999999999</v>
      </c>
      <c r="O149">
        <v>111.70440000000001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230.3383</v>
      </c>
      <c r="G150">
        <v>209.48089999999999</v>
      </c>
      <c r="H150">
        <v>213.61949999999999</v>
      </c>
      <c r="I150">
        <v>179.94049999999999</v>
      </c>
      <c r="J150">
        <v>143.6378</v>
      </c>
      <c r="K150">
        <v>124.051</v>
      </c>
      <c r="L150">
        <v>208.50219999999999</v>
      </c>
      <c r="M150">
        <v>261.77960000000002</v>
      </c>
      <c r="N150">
        <v>245.02180000000001</v>
      </c>
      <c r="O150">
        <v>320.90809999999999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898.20960000000002</v>
      </c>
      <c r="G151">
        <v>2279.0918999999999</v>
      </c>
      <c r="H151">
        <v>1783.9703</v>
      </c>
      <c r="I151">
        <v>878.52449999999999</v>
      </c>
      <c r="J151">
        <v>1473.8672999999999</v>
      </c>
      <c r="K151">
        <v>1486.3268</v>
      </c>
      <c r="L151">
        <v>1433.1762000000001</v>
      </c>
      <c r="M151">
        <v>2047.5605</v>
      </c>
      <c r="N151">
        <v>1837.7897</v>
      </c>
      <c r="O151">
        <v>1845.1478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192.84229999999999</v>
      </c>
      <c r="I152">
        <v>137.29</v>
      </c>
      <c r="J152">
        <v>167.679</v>
      </c>
      <c r="K152">
        <v>259.58980000000003</v>
      </c>
      <c r="L152">
        <v>403.71899999999999</v>
      </c>
      <c r="M152">
        <v>461.6567</v>
      </c>
      <c r="N152">
        <v>400.78530000000001</v>
      </c>
      <c r="O152">
        <v>362.87729999999999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80.857799999999997</v>
      </c>
      <c r="G153">
        <v>129.452</v>
      </c>
      <c r="H153">
        <v>145.41800000000001</v>
      </c>
      <c r="I153">
        <v>121.13079999999999</v>
      </c>
      <c r="J153">
        <v>130.50380000000001</v>
      </c>
      <c r="K153">
        <v>155.97229999999999</v>
      </c>
      <c r="L153">
        <v>142.8603</v>
      </c>
      <c r="M153">
        <v>179.63329999999999</v>
      </c>
      <c r="N153">
        <v>239.50460000000001</v>
      </c>
      <c r="O153">
        <v>203.01060000000001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1126.5628999999999</v>
      </c>
      <c r="G154">
        <v>1164.309</v>
      </c>
      <c r="H154">
        <v>2080.7408999999998</v>
      </c>
      <c r="I154">
        <v>2314.6703000000002</v>
      </c>
      <c r="J154">
        <v>1076.9018000000001</v>
      </c>
      <c r="K154">
        <v>821.05730000000005</v>
      </c>
      <c r="L154">
        <v>676.74239999999998</v>
      </c>
      <c r="M154">
        <v>1208.7940000000001</v>
      </c>
      <c r="N154">
        <v>1359.3667</v>
      </c>
      <c r="O154">
        <v>2189.1275999999998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42.416699999999999</v>
      </c>
      <c r="G155">
        <v>53.162500000000001</v>
      </c>
      <c r="H155">
        <v>68.845299999999995</v>
      </c>
      <c r="I155">
        <v>92.224999999999994</v>
      </c>
      <c r="J155">
        <v>77.032799999999995</v>
      </c>
      <c r="K155">
        <v>54.467599999999997</v>
      </c>
      <c r="L155">
        <v>63.623100000000001</v>
      </c>
      <c r="M155">
        <v>62.351999999999997</v>
      </c>
      <c r="N155">
        <v>60.8934</v>
      </c>
      <c r="O155">
        <v>63.276800000000001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5.3217999999999996</v>
      </c>
      <c r="G156">
        <v>6.7545000000000002</v>
      </c>
      <c r="H156">
        <v>5.8781999999999996</v>
      </c>
      <c r="I156">
        <v>4.5659000000000001</v>
      </c>
      <c r="J156">
        <v>3.2031000000000001</v>
      </c>
      <c r="K156">
        <v>9.5868000000000002</v>
      </c>
      <c r="L156">
        <v>46.682099999999998</v>
      </c>
      <c r="M156">
        <v>80.140100000000004</v>
      </c>
      <c r="N156">
        <v>67.747299999999996</v>
      </c>
      <c r="O156">
        <v>63.797499999999999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14.0639</v>
      </c>
      <c r="G157">
        <v>19.1738</v>
      </c>
      <c r="H157">
        <v>18.165500000000002</v>
      </c>
      <c r="I157">
        <v>16.001200000000001</v>
      </c>
      <c r="J157">
        <v>11.691000000000001</v>
      </c>
      <c r="K157">
        <v>19.0274</v>
      </c>
      <c r="L157">
        <v>39.8461</v>
      </c>
      <c r="M157">
        <v>34.652200000000001</v>
      </c>
      <c r="N157">
        <v>34.581899999999997</v>
      </c>
      <c r="O157">
        <v>18.256900000000002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81.103999999999999</v>
      </c>
      <c r="G158">
        <v>91.744200000000006</v>
      </c>
      <c r="H158">
        <v>87.423400000000001</v>
      </c>
      <c r="I158">
        <v>91.831999999999994</v>
      </c>
      <c r="J158">
        <v>73.45</v>
      </c>
      <c r="K158">
        <v>74.683599999999998</v>
      </c>
      <c r="L158">
        <v>74.223799999999997</v>
      </c>
      <c r="M158">
        <v>67.943700000000007</v>
      </c>
      <c r="N158">
        <v>62.482199999999999</v>
      </c>
      <c r="O158">
        <v>68.759699999999995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96.639300000000006</v>
      </c>
      <c r="G159">
        <v>111.01049999999999</v>
      </c>
      <c r="H159">
        <v>100.2726</v>
      </c>
      <c r="I159">
        <v>89.162700000000001</v>
      </c>
      <c r="J159">
        <v>83.741299999999995</v>
      </c>
      <c r="K159">
        <v>82.162400000000005</v>
      </c>
      <c r="L159">
        <v>98.705500000000001</v>
      </c>
      <c r="M159">
        <v>92.457599999999999</v>
      </c>
      <c r="N159">
        <v>88.936800000000005</v>
      </c>
      <c r="O159">
        <v>73.243700000000004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155.98339999999999</v>
      </c>
      <c r="G160">
        <v>209.7533</v>
      </c>
      <c r="H160">
        <v>280.0641</v>
      </c>
      <c r="I160">
        <v>237.83629999999999</v>
      </c>
      <c r="J160">
        <v>394.8279</v>
      </c>
      <c r="K160">
        <v>491.12049999999999</v>
      </c>
      <c r="L160">
        <v>204.61600000000001</v>
      </c>
      <c r="M160">
        <v>225.76910000000001</v>
      </c>
      <c r="N160">
        <v>357.392</v>
      </c>
      <c r="O160">
        <v>287.36700000000002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2025.3680999999999</v>
      </c>
      <c r="G161">
        <v>3133.0644000000002</v>
      </c>
      <c r="H161">
        <v>3214.6972000000001</v>
      </c>
      <c r="I161">
        <v>7615.5423000000001</v>
      </c>
      <c r="J161">
        <v>5289.8987999999999</v>
      </c>
      <c r="K161">
        <v>4814.2374</v>
      </c>
      <c r="L161">
        <v>15405.6888</v>
      </c>
      <c r="M161">
        <v>4385.1347999999998</v>
      </c>
      <c r="N161">
        <v>5339.9675999999999</v>
      </c>
      <c r="O161">
        <v>6027.6148999999996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30.1967</v>
      </c>
      <c r="G162">
        <v>26.5124</v>
      </c>
      <c r="H162">
        <v>31.140499999999999</v>
      </c>
      <c r="I162">
        <v>31.3171</v>
      </c>
      <c r="J162">
        <v>32.507300000000001</v>
      </c>
      <c r="K162">
        <v>41.766300000000001</v>
      </c>
      <c r="L162">
        <v>45.712299999999999</v>
      </c>
      <c r="M162">
        <v>48.777799999999999</v>
      </c>
      <c r="N162">
        <v>55.605899999999998</v>
      </c>
      <c r="O162">
        <v>51.738199999999999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339.21940000000001</v>
      </c>
      <c r="G163">
        <v>382.4425</v>
      </c>
      <c r="H163">
        <v>295.0788</v>
      </c>
      <c r="I163">
        <v>236.34829999999999</v>
      </c>
      <c r="J163">
        <v>190.44929999999999</v>
      </c>
      <c r="K163">
        <v>197.04839999999999</v>
      </c>
      <c r="L163">
        <v>98.180300000000003</v>
      </c>
      <c r="M163">
        <v>117.14619999999999</v>
      </c>
      <c r="N163">
        <v>80.480800000000002</v>
      </c>
      <c r="O163">
        <v>23.3156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42.474200000000003</v>
      </c>
      <c r="G164">
        <v>21.14</v>
      </c>
      <c r="H164">
        <v>17.3446</v>
      </c>
      <c r="I164">
        <v>17.377800000000001</v>
      </c>
      <c r="J164">
        <v>12.2722</v>
      </c>
      <c r="K164">
        <v>15.438599999999999</v>
      </c>
      <c r="L164">
        <v>23.8645</v>
      </c>
      <c r="M164">
        <v>15.950900000000001</v>
      </c>
      <c r="N164">
        <v>17.498000000000001</v>
      </c>
      <c r="O164">
        <v>19.842300000000002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91.130799999999994</v>
      </c>
      <c r="G165">
        <v>641.08370000000002</v>
      </c>
      <c r="H165">
        <v>731.98569999999995</v>
      </c>
      <c r="I165">
        <v>584.64009999999996</v>
      </c>
      <c r="J165">
        <v>379.7688</v>
      </c>
      <c r="K165">
        <v>680.69880000000001</v>
      </c>
      <c r="L165">
        <v>250.6183</v>
      </c>
      <c r="M165">
        <v>212.25530000000001</v>
      </c>
      <c r="N165">
        <v>196.74019999999999</v>
      </c>
      <c r="O165">
        <v>217.2517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0.93110000000000004</v>
      </c>
      <c r="G166">
        <v>9.3158999999999992</v>
      </c>
      <c r="H166">
        <v>13.2333</v>
      </c>
      <c r="I166">
        <v>16.523900000000001</v>
      </c>
      <c r="J166">
        <v>19.646899999999999</v>
      </c>
      <c r="K166">
        <v>35.071599999999997</v>
      </c>
      <c r="L166">
        <v>61.5976</v>
      </c>
      <c r="M166">
        <v>32.859299999999998</v>
      </c>
      <c r="N166">
        <v>28.8537</v>
      </c>
      <c r="O166">
        <v>7.8414000000000001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11.6899</v>
      </c>
      <c r="G167">
        <v>9.7599</v>
      </c>
      <c r="H167">
        <v>26.783000000000001</v>
      </c>
      <c r="I167">
        <v>353.84280000000001</v>
      </c>
      <c r="J167">
        <v>43.125500000000002</v>
      </c>
      <c r="K167">
        <v>240.46350000000001</v>
      </c>
      <c r="L167">
        <v>357.49849999999998</v>
      </c>
      <c r="M167">
        <v>129.5333</v>
      </c>
      <c r="N167">
        <v>106.6644</v>
      </c>
      <c r="O167">
        <v>280.48970000000003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328.65350000000001</v>
      </c>
      <c r="G168">
        <v>359.97660000000002</v>
      </c>
      <c r="H168">
        <v>341.63010000000003</v>
      </c>
      <c r="I168">
        <v>294.01990000000001</v>
      </c>
      <c r="J168">
        <v>358.42020000000002</v>
      </c>
      <c r="K168">
        <v>360.2448</v>
      </c>
      <c r="L168">
        <v>313.8116</v>
      </c>
      <c r="M168">
        <v>241.74119999999999</v>
      </c>
      <c r="N168">
        <v>227.58500000000001</v>
      </c>
      <c r="O168">
        <v>205.78139999999999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5.1299999999999998E-2</v>
      </c>
      <c r="G169">
        <v>163.9162</v>
      </c>
      <c r="H169">
        <v>255.48050000000001</v>
      </c>
      <c r="I169">
        <v>15.5594</v>
      </c>
      <c r="J169">
        <v>142.19380000000001</v>
      </c>
      <c r="K169">
        <v>5.4135</v>
      </c>
      <c r="L169">
        <v>2177.5372000000002</v>
      </c>
      <c r="M169">
        <v>122.4543</v>
      </c>
      <c r="N169">
        <v>91.801000000000002</v>
      </c>
      <c r="O169">
        <v>65.613399999999999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96.044300000000007</v>
      </c>
      <c r="G170">
        <v>97.592799999999997</v>
      </c>
      <c r="H170">
        <v>133.9837</v>
      </c>
      <c r="I170">
        <v>98.6845</v>
      </c>
      <c r="J170">
        <v>117.5134</v>
      </c>
      <c r="K170">
        <v>120.9534</v>
      </c>
      <c r="L170">
        <v>106.18129999999999</v>
      </c>
      <c r="M170">
        <v>88.742500000000007</v>
      </c>
      <c r="N170">
        <v>93.292699999999996</v>
      </c>
      <c r="O170">
        <v>93.552099999999996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144.84800000000001</v>
      </c>
      <c r="G171">
        <v>159.8218</v>
      </c>
      <c r="H171">
        <v>150.68219999999999</v>
      </c>
      <c r="I171">
        <v>137.691</v>
      </c>
      <c r="J171">
        <v>121.3429</v>
      </c>
      <c r="K171">
        <v>119.8146</v>
      </c>
      <c r="L171">
        <v>129.88120000000001</v>
      </c>
      <c r="M171">
        <v>124.0801</v>
      </c>
      <c r="N171">
        <v>132.02760000000001</v>
      </c>
      <c r="O171">
        <v>140.95930000000001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551.94880000000001</v>
      </c>
      <c r="G172">
        <v>484.81209999999999</v>
      </c>
      <c r="H172">
        <v>359.56209999999999</v>
      </c>
      <c r="I172">
        <v>344.0643</v>
      </c>
      <c r="J172">
        <v>361.09500000000003</v>
      </c>
      <c r="K172">
        <v>361.4502</v>
      </c>
      <c r="L172">
        <v>402.29039999999998</v>
      </c>
      <c r="M172">
        <v>402.6825</v>
      </c>
      <c r="N172">
        <v>316.40960000000001</v>
      </c>
      <c r="O172">
        <v>334.27969999999999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316.62029999999999</v>
      </c>
      <c r="G173">
        <v>294.76440000000002</v>
      </c>
      <c r="H173">
        <v>288.0351</v>
      </c>
      <c r="I173">
        <v>197.58009999999999</v>
      </c>
      <c r="J173">
        <v>167.21469999999999</v>
      </c>
      <c r="K173">
        <v>167.23150000000001</v>
      </c>
      <c r="L173">
        <v>175.239</v>
      </c>
      <c r="M173">
        <v>184.02119999999999</v>
      </c>
      <c r="N173">
        <v>152.6335</v>
      </c>
      <c r="O173">
        <v>154.7911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673.45910000000003</v>
      </c>
      <c r="G174">
        <v>671.13679999999999</v>
      </c>
      <c r="H174">
        <v>638.17949999999996</v>
      </c>
      <c r="I174">
        <v>522.32690000000002</v>
      </c>
      <c r="J174">
        <v>471.00799999999998</v>
      </c>
      <c r="K174">
        <v>376.01760000000002</v>
      </c>
      <c r="L174">
        <v>321.85899999999998</v>
      </c>
      <c r="M174">
        <v>273.57440000000003</v>
      </c>
      <c r="N174">
        <v>236.45920000000001</v>
      </c>
      <c r="O174">
        <v>157.70500000000001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46.873899999999999</v>
      </c>
      <c r="G175">
        <v>71.657300000000006</v>
      </c>
      <c r="H175">
        <v>224.88460000000001</v>
      </c>
      <c r="I175">
        <v>393.0222</v>
      </c>
      <c r="J175">
        <v>202.52440000000001</v>
      </c>
      <c r="K175">
        <v>217.10130000000001</v>
      </c>
      <c r="L175">
        <v>352.6354</v>
      </c>
      <c r="M175">
        <v>297.72239999999999</v>
      </c>
      <c r="N175">
        <v>244.15979999999999</v>
      </c>
      <c r="O175">
        <v>271.90129999999999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238.22319999999999</v>
      </c>
      <c r="G176">
        <v>228.72399999999999</v>
      </c>
      <c r="H176">
        <v>318.96640000000002</v>
      </c>
      <c r="I176">
        <v>263.44409999999999</v>
      </c>
      <c r="J176">
        <v>286.48079999999999</v>
      </c>
      <c r="K176">
        <v>312.04860000000002</v>
      </c>
      <c r="L176">
        <v>374.05119999999999</v>
      </c>
      <c r="M176">
        <v>333.15120000000002</v>
      </c>
      <c r="N176">
        <v>1035.1586</v>
      </c>
      <c r="O176">
        <v>1887.6110000000001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191.08330000000001</v>
      </c>
      <c r="G177">
        <v>224.3655</v>
      </c>
      <c r="H177">
        <v>233.7141</v>
      </c>
      <c r="I177">
        <v>258.28550000000001</v>
      </c>
      <c r="J177">
        <v>407.64670000000001</v>
      </c>
      <c r="K177">
        <v>498.75009999999997</v>
      </c>
      <c r="L177">
        <v>427.947</v>
      </c>
      <c r="M177">
        <v>339.49799999999999</v>
      </c>
      <c r="N177">
        <v>321.23930000000001</v>
      </c>
      <c r="O177">
        <v>357.28530000000001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52.046700000000001</v>
      </c>
      <c r="G178">
        <v>49.817100000000003</v>
      </c>
      <c r="H178">
        <v>64.086500000000001</v>
      </c>
      <c r="I178">
        <v>74.307299999999998</v>
      </c>
      <c r="J178">
        <v>61.3202</v>
      </c>
      <c r="K178">
        <v>45.890700000000002</v>
      </c>
      <c r="L178">
        <v>47.151899999999998</v>
      </c>
      <c r="M178">
        <v>37.075800000000001</v>
      </c>
      <c r="N178">
        <v>27.875299999999999</v>
      </c>
      <c r="O178">
        <v>6.4029999999999996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35.015099999999997</v>
      </c>
      <c r="G179">
        <v>43.229700000000001</v>
      </c>
      <c r="H179">
        <v>33.621200000000002</v>
      </c>
      <c r="I179">
        <v>69.806200000000004</v>
      </c>
      <c r="J179">
        <v>76.346400000000003</v>
      </c>
      <c r="K179">
        <v>74.4071</v>
      </c>
      <c r="L179">
        <v>84.938400000000001</v>
      </c>
      <c r="M179">
        <v>90.489400000000003</v>
      </c>
      <c r="N179">
        <v>231.67580000000001</v>
      </c>
      <c r="O179">
        <v>283.02929999999998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25.6004</v>
      </c>
      <c r="G180">
        <v>36.726799999999997</v>
      </c>
      <c r="H180">
        <v>39.232500000000002</v>
      </c>
      <c r="I180">
        <v>37.965899999999998</v>
      </c>
      <c r="J180">
        <v>39.9161</v>
      </c>
      <c r="K180">
        <v>38.491500000000002</v>
      </c>
      <c r="L180">
        <v>55.108600000000003</v>
      </c>
      <c r="M180">
        <v>56.822299999999998</v>
      </c>
      <c r="N180">
        <v>55.051400000000001</v>
      </c>
      <c r="O180">
        <v>71.151300000000006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2634.5994999999998</v>
      </c>
      <c r="G181">
        <v>4181.0114000000003</v>
      </c>
      <c r="H181">
        <v>3686.1633999999999</v>
      </c>
      <c r="I181">
        <v>4676.6207999999997</v>
      </c>
      <c r="J181">
        <v>2634.3719999999998</v>
      </c>
      <c r="K181">
        <v>2610.8071</v>
      </c>
      <c r="L181">
        <v>3202.8312000000001</v>
      </c>
      <c r="M181">
        <v>3957.8171000000002</v>
      </c>
      <c r="N181">
        <v>3169.4553000000001</v>
      </c>
      <c r="O181">
        <v>2752.3975999999998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6.7554999999999996</v>
      </c>
      <c r="G182">
        <v>244.62629999999999</v>
      </c>
      <c r="H182">
        <v>365.34859999999998</v>
      </c>
      <c r="I182">
        <v>403.71699999999998</v>
      </c>
      <c r="J182">
        <v>364.34710000000001</v>
      </c>
      <c r="K182">
        <v>802.52449999999999</v>
      </c>
      <c r="L182">
        <v>1568.8187</v>
      </c>
      <c r="M182">
        <v>528.19560000000001</v>
      </c>
      <c r="N182">
        <v>1338.6868999999999</v>
      </c>
      <c r="O182">
        <v>326.7441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121.46299999999999</v>
      </c>
      <c r="G183">
        <v>116.5365</v>
      </c>
      <c r="H183">
        <v>116.5926</v>
      </c>
      <c r="I183">
        <v>110.1208</v>
      </c>
      <c r="J183">
        <v>116.3456</v>
      </c>
      <c r="K183">
        <v>117.09220000000001</v>
      </c>
      <c r="L183">
        <v>119.56870000000001</v>
      </c>
      <c r="M183">
        <v>118.34529999999999</v>
      </c>
      <c r="N183">
        <v>115.0865</v>
      </c>
      <c r="O183">
        <v>127.7512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210.768</v>
      </c>
      <c r="G184">
        <v>180.14830000000001</v>
      </c>
      <c r="H184">
        <v>142.9091</v>
      </c>
      <c r="I184">
        <v>174.85830000000001</v>
      </c>
      <c r="J184">
        <v>199.55199999999999</v>
      </c>
      <c r="K184">
        <v>525.10130000000004</v>
      </c>
      <c r="L184">
        <v>86.696399999999997</v>
      </c>
      <c r="M184">
        <v>105.68519999999999</v>
      </c>
      <c r="N184">
        <v>104.0395</v>
      </c>
      <c r="O184">
        <v>108.0052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8.7693999999999992</v>
      </c>
      <c r="G185">
        <v>8.2757000000000005</v>
      </c>
      <c r="H185">
        <v>9.0176999999999996</v>
      </c>
      <c r="I185">
        <v>28.979099999999999</v>
      </c>
      <c r="J185">
        <v>9.3208000000000002</v>
      </c>
      <c r="K185">
        <v>21.867799999999999</v>
      </c>
      <c r="L185">
        <v>152.27170000000001</v>
      </c>
      <c r="M185">
        <v>87.325999999999993</v>
      </c>
      <c r="N185">
        <v>78.362099999999998</v>
      </c>
      <c r="O185">
        <v>88.480400000000003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113.9799</v>
      </c>
      <c r="G186">
        <v>78.118200000000002</v>
      </c>
      <c r="H186">
        <v>48.605699999999999</v>
      </c>
      <c r="I186">
        <v>61.927999999999997</v>
      </c>
      <c r="J186">
        <v>69.700400000000002</v>
      </c>
      <c r="K186">
        <v>51.341000000000001</v>
      </c>
      <c r="L186">
        <v>84.5518</v>
      </c>
      <c r="M186">
        <v>78.472200000000001</v>
      </c>
      <c r="N186">
        <v>78.156400000000005</v>
      </c>
      <c r="O186">
        <v>68.305800000000005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439.798</v>
      </c>
      <c r="G187">
        <v>5511.4069</v>
      </c>
      <c r="H187">
        <v>3756.0616</v>
      </c>
      <c r="I187">
        <v>1123.0744999999999</v>
      </c>
      <c r="J187">
        <v>3566.4692</v>
      </c>
      <c r="K187">
        <v>3488.8126999999999</v>
      </c>
      <c r="L187">
        <v>8647.1003999999994</v>
      </c>
      <c r="M187">
        <v>4368.2785999999996</v>
      </c>
      <c r="N187">
        <v>4251.2645000000002</v>
      </c>
      <c r="O187">
        <v>10022.036099999999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141.14609999999999</v>
      </c>
      <c r="G188">
        <v>165.8579</v>
      </c>
      <c r="H188">
        <v>144.56569999999999</v>
      </c>
      <c r="I188">
        <v>135.69499999999999</v>
      </c>
      <c r="J188">
        <v>122.5064</v>
      </c>
      <c r="K188">
        <v>117.4696</v>
      </c>
      <c r="L188">
        <v>107.333</v>
      </c>
      <c r="M188">
        <v>102.01300000000001</v>
      </c>
      <c r="N188">
        <v>94.097200000000001</v>
      </c>
      <c r="O188">
        <v>90.231300000000005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22.7151</v>
      </c>
      <c r="G189">
        <v>35.9726</v>
      </c>
      <c r="H189">
        <v>38.765900000000002</v>
      </c>
      <c r="I189">
        <v>84.610200000000006</v>
      </c>
      <c r="J189">
        <v>230.52940000000001</v>
      </c>
      <c r="K189">
        <v>383.85879999999997</v>
      </c>
      <c r="L189">
        <v>187.13489999999999</v>
      </c>
      <c r="M189">
        <v>77.356499999999997</v>
      </c>
      <c r="N189">
        <v>82.0715</v>
      </c>
      <c r="O189">
        <v>97.026899999999998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59.881799999999998</v>
      </c>
      <c r="G190">
        <v>69.445599999999999</v>
      </c>
      <c r="H190">
        <v>79.294899999999998</v>
      </c>
      <c r="I190">
        <v>89.837599999999995</v>
      </c>
      <c r="J190">
        <v>86.475300000000004</v>
      </c>
      <c r="K190">
        <v>87.704400000000007</v>
      </c>
      <c r="L190">
        <v>83.418899999999994</v>
      </c>
      <c r="M190">
        <v>92.216099999999997</v>
      </c>
      <c r="N190">
        <v>71.998400000000004</v>
      </c>
      <c r="O190">
        <v>87.639600000000002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121.3976</v>
      </c>
      <c r="G191">
        <v>137.80369999999999</v>
      </c>
      <c r="H191">
        <v>135.84469999999999</v>
      </c>
      <c r="I191">
        <v>151.84180000000001</v>
      </c>
      <c r="J191">
        <v>160.0438</v>
      </c>
      <c r="K191">
        <v>156.6337</v>
      </c>
      <c r="L191">
        <v>147.72329999999999</v>
      </c>
      <c r="M191">
        <v>142.23230000000001</v>
      </c>
      <c r="N191">
        <v>115.73350000000001</v>
      </c>
      <c r="O191">
        <v>99.624399999999994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322.94470000000001</v>
      </c>
      <c r="G192">
        <v>327.5412</v>
      </c>
      <c r="H192">
        <v>285.15530000000001</v>
      </c>
      <c r="I192">
        <v>225.8948</v>
      </c>
      <c r="J192">
        <v>222.46449999999999</v>
      </c>
      <c r="K192">
        <v>183.2337</v>
      </c>
      <c r="L192">
        <v>168.24199999999999</v>
      </c>
      <c r="M192">
        <v>115.2166</v>
      </c>
      <c r="N192">
        <v>103.7908</v>
      </c>
      <c r="O192">
        <v>71.266199999999998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14.884399999999999</v>
      </c>
      <c r="G193">
        <v>12.071300000000001</v>
      </c>
      <c r="H193">
        <v>1.2768999999999999</v>
      </c>
      <c r="I193">
        <v>1.8414999999999999</v>
      </c>
      <c r="J193">
        <v>1.2915000000000001</v>
      </c>
      <c r="K193">
        <v>0.46639999999999998</v>
      </c>
      <c r="L193">
        <v>1.1531</v>
      </c>
      <c r="M193">
        <v>1.1144000000000001</v>
      </c>
      <c r="N193">
        <v>1.6773</v>
      </c>
      <c r="O193">
        <v>2.3689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169.23330000000001</v>
      </c>
      <c r="G194">
        <v>168.6711</v>
      </c>
      <c r="H194">
        <v>192.6651</v>
      </c>
      <c r="I194">
        <v>168.0275</v>
      </c>
      <c r="J194">
        <v>167.8245</v>
      </c>
      <c r="K194">
        <v>182.2526</v>
      </c>
      <c r="L194">
        <v>145.38499999999999</v>
      </c>
      <c r="M194">
        <v>84.625799999999998</v>
      </c>
      <c r="N194">
        <v>90.186599999999999</v>
      </c>
      <c r="O194">
        <v>93.4542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4018.1073000000001</v>
      </c>
      <c r="G195">
        <v>3178.3240999999998</v>
      </c>
      <c r="H195">
        <v>2599.5936999999999</v>
      </c>
      <c r="I195">
        <v>2969.7741999999998</v>
      </c>
      <c r="J195">
        <v>3956.6343000000002</v>
      </c>
      <c r="K195">
        <v>3370.8872000000001</v>
      </c>
      <c r="L195">
        <v>5168.4969000000001</v>
      </c>
      <c r="M195">
        <v>3698.6606000000002</v>
      </c>
      <c r="N195">
        <v>5263.9070000000002</v>
      </c>
      <c r="O195">
        <v>12657.635200000001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2941.53</v>
      </c>
      <c r="G196">
        <v>4273.0505999999996</v>
      </c>
      <c r="H196">
        <v>3863.8883999999998</v>
      </c>
      <c r="I196">
        <v>1333.752</v>
      </c>
      <c r="J196">
        <v>3995.1322</v>
      </c>
      <c r="K196">
        <v>3259.3690000000001</v>
      </c>
      <c r="L196">
        <v>13135.618200000001</v>
      </c>
      <c r="M196">
        <v>7801.5519000000004</v>
      </c>
      <c r="N196">
        <v>2760.2636000000002</v>
      </c>
      <c r="O196">
        <v>1827.3616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81.105800000000002</v>
      </c>
      <c r="G197">
        <v>147.1258</v>
      </c>
      <c r="H197">
        <v>170.71559999999999</v>
      </c>
      <c r="I197">
        <v>165.1147</v>
      </c>
      <c r="J197">
        <v>64.807900000000004</v>
      </c>
      <c r="K197">
        <v>132.48480000000001</v>
      </c>
      <c r="L197">
        <v>134.64580000000001</v>
      </c>
      <c r="M197">
        <v>91.938800000000001</v>
      </c>
      <c r="N197">
        <v>87.190100000000001</v>
      </c>
      <c r="O197">
        <v>100.83499999999999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80.171300000000002</v>
      </c>
      <c r="G198">
        <v>95.732699999999994</v>
      </c>
      <c r="H198">
        <v>83.049700000000001</v>
      </c>
      <c r="I198">
        <v>84.689700000000002</v>
      </c>
      <c r="J198">
        <v>121.0604</v>
      </c>
      <c r="K198">
        <v>109.9023</v>
      </c>
      <c r="L198">
        <v>92.241900000000001</v>
      </c>
      <c r="M198">
        <v>128.3674</v>
      </c>
      <c r="N198">
        <v>83.982699999999994</v>
      </c>
      <c r="O198">
        <v>137.2321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13.4922</v>
      </c>
      <c r="G199">
        <v>22.782</v>
      </c>
      <c r="H199">
        <v>14.6867</v>
      </c>
      <c r="I199">
        <v>27.004100000000001</v>
      </c>
      <c r="J199">
        <v>36.680500000000002</v>
      </c>
      <c r="K199">
        <v>22.97</v>
      </c>
      <c r="L199">
        <v>41.099600000000002</v>
      </c>
      <c r="M199">
        <v>32.7288</v>
      </c>
      <c r="N199">
        <v>45.058199999999999</v>
      </c>
      <c r="O199">
        <v>100.09480000000001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183.84649999999999</v>
      </c>
      <c r="G200">
        <v>194.34450000000001</v>
      </c>
      <c r="H200">
        <v>155.9016</v>
      </c>
      <c r="I200">
        <v>168.1122</v>
      </c>
      <c r="J200">
        <v>145.68199999999999</v>
      </c>
      <c r="K200">
        <v>121.9468</v>
      </c>
      <c r="L200">
        <v>114.5997</v>
      </c>
      <c r="M200">
        <v>55.989600000000003</v>
      </c>
      <c r="N200">
        <v>53.1053</v>
      </c>
      <c r="O200">
        <v>72.0822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48.832700000000003</v>
      </c>
      <c r="G201">
        <v>48.337400000000002</v>
      </c>
      <c r="H201">
        <v>38.0214</v>
      </c>
      <c r="I201">
        <v>32.5747</v>
      </c>
      <c r="J201">
        <v>56.088299999999997</v>
      </c>
      <c r="K201">
        <v>74.1494</v>
      </c>
      <c r="L201">
        <v>95.545000000000002</v>
      </c>
      <c r="M201">
        <v>61.315300000000001</v>
      </c>
      <c r="N201">
        <v>60.894399999999997</v>
      </c>
      <c r="O201">
        <v>61.976500000000001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41.676000000000002</v>
      </c>
      <c r="G202">
        <v>42.831299999999999</v>
      </c>
      <c r="H202">
        <v>44.582299999999996</v>
      </c>
      <c r="I202">
        <v>44.822000000000003</v>
      </c>
      <c r="J202">
        <v>44.2592</v>
      </c>
      <c r="K202">
        <v>44.301000000000002</v>
      </c>
      <c r="L202">
        <v>65.473100000000002</v>
      </c>
      <c r="M202">
        <v>64.986900000000006</v>
      </c>
      <c r="N202">
        <v>67.365200000000002</v>
      </c>
      <c r="O202">
        <v>79.890900000000002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294.33870000000002</v>
      </c>
      <c r="G203">
        <v>418.39499999999998</v>
      </c>
      <c r="H203">
        <v>376.65289999999999</v>
      </c>
      <c r="I203">
        <v>307.16219999999998</v>
      </c>
      <c r="J203">
        <v>329.18920000000003</v>
      </c>
      <c r="K203">
        <v>387.76589999999999</v>
      </c>
      <c r="L203">
        <v>354.7516</v>
      </c>
      <c r="M203">
        <v>357.25080000000003</v>
      </c>
      <c r="N203">
        <v>351.83159999999998</v>
      </c>
      <c r="O203">
        <v>399.22680000000003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0.7046</v>
      </c>
      <c r="G204">
        <v>1.083</v>
      </c>
      <c r="H204">
        <v>1.1352</v>
      </c>
      <c r="I204">
        <v>1.1222000000000001</v>
      </c>
      <c r="J204">
        <v>1.194</v>
      </c>
      <c r="K204">
        <v>5.3841000000000001</v>
      </c>
      <c r="L204">
        <v>179.89850000000001</v>
      </c>
      <c r="M204">
        <v>194.92920000000001</v>
      </c>
      <c r="N204">
        <v>195.44470000000001</v>
      </c>
      <c r="O204">
        <v>152.90469999999999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4.2999999999999997E-2</v>
      </c>
      <c r="G205">
        <v>5.9029999999999996</v>
      </c>
      <c r="H205">
        <v>0</v>
      </c>
      <c r="I205">
        <v>18.460699999999999</v>
      </c>
      <c r="J205">
        <v>66.031499999999994</v>
      </c>
      <c r="K205">
        <v>1.6325000000000001</v>
      </c>
      <c r="M205">
        <v>3808.2838999999999</v>
      </c>
      <c r="N205">
        <v>815.00019999999995</v>
      </c>
      <c r="O205">
        <v>62.328099999999999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160.30070000000001</v>
      </c>
      <c r="G206">
        <v>176.26179999999999</v>
      </c>
      <c r="H206">
        <v>133.95089999999999</v>
      </c>
      <c r="I206">
        <v>132.02119999999999</v>
      </c>
      <c r="J206">
        <v>126.3544</v>
      </c>
      <c r="K206">
        <v>152.70650000000001</v>
      </c>
      <c r="L206">
        <v>141.57570000000001</v>
      </c>
      <c r="M206">
        <v>157.00219999999999</v>
      </c>
      <c r="N206">
        <v>145.6626</v>
      </c>
      <c r="O206">
        <v>178.66309999999999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16.6526</v>
      </c>
      <c r="G207">
        <v>21.914200000000001</v>
      </c>
      <c r="H207">
        <v>17.0136</v>
      </c>
      <c r="I207">
        <v>14.758599999999999</v>
      </c>
      <c r="J207">
        <v>22.0276</v>
      </c>
      <c r="K207">
        <v>14.191800000000001</v>
      </c>
      <c r="L207">
        <v>25.471</v>
      </c>
      <c r="M207">
        <v>31.4026</v>
      </c>
      <c r="N207">
        <v>27.781500000000001</v>
      </c>
      <c r="O207">
        <v>27.730799999999999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116.4894</v>
      </c>
      <c r="G208">
        <v>158.28989999999999</v>
      </c>
      <c r="H208">
        <v>171.5264</v>
      </c>
      <c r="I208">
        <v>162.62299999999999</v>
      </c>
      <c r="J208">
        <v>140.72149999999999</v>
      </c>
      <c r="K208">
        <v>233.61490000000001</v>
      </c>
      <c r="L208">
        <v>239.26750000000001</v>
      </c>
      <c r="M208">
        <v>198.08949999999999</v>
      </c>
      <c r="N208">
        <v>170.1086</v>
      </c>
      <c r="O208">
        <v>136.7079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169.33709999999999</v>
      </c>
      <c r="G209">
        <v>244.3409</v>
      </c>
      <c r="H209">
        <v>260.58139999999997</v>
      </c>
      <c r="I209">
        <v>754.13300000000004</v>
      </c>
      <c r="J209">
        <v>307.73719999999997</v>
      </c>
      <c r="K209">
        <v>584.75220000000002</v>
      </c>
      <c r="L209">
        <v>1429.1596999999999</v>
      </c>
      <c r="M209">
        <v>1151.5111999999999</v>
      </c>
      <c r="N209">
        <v>550.13340000000005</v>
      </c>
      <c r="O209">
        <v>482.85449999999997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6127.1486999999997</v>
      </c>
      <c r="G210">
        <v>8373.3621999999996</v>
      </c>
      <c r="H210">
        <v>5586.1841000000004</v>
      </c>
      <c r="I210">
        <v>3840.1743000000001</v>
      </c>
      <c r="J210">
        <v>3590.8263999999999</v>
      </c>
      <c r="K210">
        <v>4603.9336000000003</v>
      </c>
      <c r="L210">
        <v>28046.698899999999</v>
      </c>
      <c r="M210">
        <v>7830.2425000000003</v>
      </c>
      <c r="N210">
        <v>5283.9925000000003</v>
      </c>
      <c r="O210">
        <v>11158.406999999999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11078.269700000001</v>
      </c>
      <c r="I211">
        <v>583.64340000000004</v>
      </c>
      <c r="J211">
        <v>900.60640000000001</v>
      </c>
      <c r="K211">
        <v>612.46519999999998</v>
      </c>
      <c r="L211">
        <v>1157.654</v>
      </c>
      <c r="M211">
        <v>2639.3764000000001</v>
      </c>
      <c r="N211">
        <v>3652.7469999999998</v>
      </c>
      <c r="O211">
        <v>5451.5770000000002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152.30160000000001</v>
      </c>
      <c r="G212">
        <v>170.9598</v>
      </c>
      <c r="H212">
        <v>237.11750000000001</v>
      </c>
      <c r="I212">
        <v>97.0672</v>
      </c>
      <c r="J212">
        <v>65.289400000000001</v>
      </c>
      <c r="K212">
        <v>59.8</v>
      </c>
      <c r="L212">
        <v>417.29199999999997</v>
      </c>
      <c r="M212">
        <v>369.25049999999999</v>
      </c>
      <c r="N212">
        <v>192.21940000000001</v>
      </c>
      <c r="O212">
        <v>178.81700000000001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0</v>
      </c>
      <c r="G213">
        <v>0</v>
      </c>
      <c r="H213">
        <v>6.6616</v>
      </c>
      <c r="I213">
        <v>4.2527999999999997</v>
      </c>
      <c r="J213">
        <v>1.2030000000000001</v>
      </c>
      <c r="K213">
        <v>6.1966000000000001</v>
      </c>
      <c r="L213">
        <v>41.832700000000003</v>
      </c>
      <c r="M213">
        <v>84.048900000000003</v>
      </c>
      <c r="N213">
        <v>118.6862</v>
      </c>
      <c r="O213">
        <v>58.8095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439.58839999999998</v>
      </c>
      <c r="G214">
        <v>359.72390000000001</v>
      </c>
      <c r="H214">
        <v>513.33019999999999</v>
      </c>
      <c r="I214">
        <v>679.90899999999999</v>
      </c>
      <c r="J214">
        <v>574.58219999999994</v>
      </c>
      <c r="K214">
        <v>375.98200000000003</v>
      </c>
      <c r="L214">
        <v>270.49590000000001</v>
      </c>
      <c r="M214">
        <v>277.52249999999998</v>
      </c>
      <c r="N214">
        <v>281.22930000000002</v>
      </c>
      <c r="O214">
        <v>267.59710000000001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1461.9387999999999</v>
      </c>
      <c r="G215">
        <v>1688.8689999999999</v>
      </c>
      <c r="H215">
        <v>4660.5246999999999</v>
      </c>
      <c r="I215">
        <v>982.99260000000004</v>
      </c>
      <c r="J215">
        <v>4313.9705999999996</v>
      </c>
      <c r="K215">
        <v>3254.7159000000001</v>
      </c>
      <c r="L215">
        <v>3918.3973999999998</v>
      </c>
      <c r="M215">
        <v>4310.3118000000004</v>
      </c>
      <c r="N215">
        <v>2874.7127</v>
      </c>
      <c r="O215">
        <v>2263.1241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232.9212</v>
      </c>
      <c r="H216">
        <v>229.08510000000001</v>
      </c>
      <c r="I216">
        <v>26.670999999999999</v>
      </c>
      <c r="J216">
        <v>56.893099999999997</v>
      </c>
      <c r="K216">
        <v>14.945399999999999</v>
      </c>
      <c r="L216">
        <v>0.7319</v>
      </c>
      <c r="M216">
        <v>137.32310000000001</v>
      </c>
      <c r="N216">
        <v>1755.0992000000001</v>
      </c>
      <c r="O216">
        <v>1267.5291999999999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8.5050000000000008</v>
      </c>
      <c r="G217">
        <v>93.8643</v>
      </c>
      <c r="H217">
        <v>172.2713</v>
      </c>
      <c r="I217">
        <v>156.78059999999999</v>
      </c>
      <c r="J217">
        <v>202.6643</v>
      </c>
      <c r="K217">
        <v>206.85050000000001</v>
      </c>
      <c r="L217">
        <v>145.80680000000001</v>
      </c>
      <c r="M217">
        <v>97.909499999999994</v>
      </c>
      <c r="N217">
        <v>91.868499999999997</v>
      </c>
      <c r="O217">
        <v>68.852199999999996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155.94210000000001</v>
      </c>
      <c r="G218">
        <v>159.20050000000001</v>
      </c>
      <c r="H218">
        <v>180.86850000000001</v>
      </c>
      <c r="I218">
        <v>172.4751</v>
      </c>
      <c r="J218">
        <v>167.499</v>
      </c>
      <c r="K218">
        <v>151.09700000000001</v>
      </c>
      <c r="L218">
        <v>166.041</v>
      </c>
      <c r="M218">
        <v>171.24160000000001</v>
      </c>
      <c r="N218">
        <v>152.05760000000001</v>
      </c>
      <c r="O218">
        <v>150.55350000000001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49.056899999999999</v>
      </c>
      <c r="G219">
        <v>46.667099999999998</v>
      </c>
      <c r="H219">
        <v>16.859500000000001</v>
      </c>
      <c r="I219">
        <v>15.6911</v>
      </c>
      <c r="J219">
        <v>25.809200000000001</v>
      </c>
      <c r="K219">
        <v>16.405799999999999</v>
      </c>
      <c r="L219">
        <v>26.169799999999999</v>
      </c>
      <c r="M219">
        <v>22.923300000000001</v>
      </c>
      <c r="N219">
        <v>25.767600000000002</v>
      </c>
      <c r="O219">
        <v>21.5945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130.3227</v>
      </c>
      <c r="G220">
        <v>228.3322</v>
      </c>
      <c r="H220">
        <v>252.21039999999999</v>
      </c>
      <c r="I220">
        <v>266.471</v>
      </c>
      <c r="J220">
        <v>299.56610000000001</v>
      </c>
      <c r="K220">
        <v>267.98520000000002</v>
      </c>
      <c r="L220">
        <v>207.19800000000001</v>
      </c>
      <c r="M220">
        <v>203.2919</v>
      </c>
      <c r="N220">
        <v>441.12220000000002</v>
      </c>
      <c r="O220">
        <v>335.78739999999999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327.64190000000002</v>
      </c>
      <c r="G221">
        <v>224.89510000000001</v>
      </c>
      <c r="H221">
        <v>495.61810000000003</v>
      </c>
      <c r="I221">
        <v>719.58579999999995</v>
      </c>
      <c r="J221">
        <v>699.69090000000006</v>
      </c>
      <c r="K221">
        <v>840.44399999999996</v>
      </c>
      <c r="L221">
        <v>920.08019999999999</v>
      </c>
      <c r="M221">
        <v>522.72429999999997</v>
      </c>
      <c r="N221">
        <v>534.56050000000005</v>
      </c>
      <c r="O221">
        <v>1671.2317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101.8284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74.934700000000007</v>
      </c>
      <c r="G223">
        <v>67.868899999999996</v>
      </c>
      <c r="H223">
        <v>83.218900000000005</v>
      </c>
      <c r="I223">
        <v>77.846999999999994</v>
      </c>
      <c r="J223">
        <v>76.397800000000004</v>
      </c>
      <c r="K223">
        <v>76.883600000000001</v>
      </c>
      <c r="L223">
        <v>48.1843</v>
      </c>
      <c r="M223">
        <v>30.695900000000002</v>
      </c>
      <c r="N223">
        <v>44.6738</v>
      </c>
      <c r="O223">
        <v>45.983400000000003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34.119500000000002</v>
      </c>
      <c r="G224">
        <v>44.476799999999997</v>
      </c>
      <c r="H224">
        <v>43.074399999999997</v>
      </c>
      <c r="I224">
        <v>36.961300000000001</v>
      </c>
      <c r="J224">
        <v>60.597999999999999</v>
      </c>
      <c r="K224">
        <v>94.034899999999993</v>
      </c>
      <c r="L224">
        <v>90.691800000000001</v>
      </c>
      <c r="M224">
        <v>68.986900000000006</v>
      </c>
      <c r="N224">
        <v>80.305300000000003</v>
      </c>
      <c r="O224">
        <v>82.1892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289.67649999999998</v>
      </c>
      <c r="G225">
        <v>352.12450000000001</v>
      </c>
      <c r="H225">
        <v>318.87430000000001</v>
      </c>
      <c r="I225">
        <v>333.80590000000001</v>
      </c>
      <c r="J225">
        <v>352.17790000000002</v>
      </c>
      <c r="K225">
        <v>434.56310000000002</v>
      </c>
      <c r="L225">
        <v>461.44110000000001</v>
      </c>
      <c r="M225">
        <v>530.70119999999997</v>
      </c>
      <c r="N225">
        <v>542.12400000000002</v>
      </c>
      <c r="O225">
        <v>530.46420000000001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4.6791999999999998</v>
      </c>
      <c r="G226">
        <v>4.5864000000000003</v>
      </c>
      <c r="H226">
        <v>46.445700000000002</v>
      </c>
      <c r="I226">
        <v>50.609299999999998</v>
      </c>
      <c r="J226">
        <v>53.446800000000003</v>
      </c>
      <c r="K226">
        <v>51.652999999999999</v>
      </c>
      <c r="L226">
        <v>58.490699999999997</v>
      </c>
      <c r="M226">
        <v>4.7103999999999999</v>
      </c>
      <c r="N226">
        <v>4.6841999999999997</v>
      </c>
      <c r="O226">
        <v>5.4722999999999997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71.128799999999998</v>
      </c>
      <c r="G227">
        <v>117.8463</v>
      </c>
      <c r="H227">
        <v>211.8408</v>
      </c>
      <c r="I227">
        <v>424.03789999999998</v>
      </c>
      <c r="J227">
        <v>198.2818</v>
      </c>
      <c r="K227">
        <v>313.8913</v>
      </c>
      <c r="L227">
        <v>292.46030000000002</v>
      </c>
      <c r="M227">
        <v>376.97629999999998</v>
      </c>
      <c r="N227">
        <v>485.3553</v>
      </c>
      <c r="O227">
        <v>327.31009999999998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292.95929999999998</v>
      </c>
      <c r="G228">
        <v>195.85380000000001</v>
      </c>
      <c r="H228">
        <v>112.52200000000001</v>
      </c>
      <c r="I228">
        <v>113.7788</v>
      </c>
      <c r="J228">
        <v>99.534300000000002</v>
      </c>
      <c r="K228">
        <v>176.4151</v>
      </c>
      <c r="L228">
        <v>567.54200000000003</v>
      </c>
      <c r="M228">
        <v>870.63390000000004</v>
      </c>
      <c r="N228">
        <v>740.06979999999999</v>
      </c>
      <c r="O228">
        <v>512.43359999999996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141.12029999999999</v>
      </c>
      <c r="G229">
        <v>106.55370000000001</v>
      </c>
      <c r="H229">
        <v>103.91500000000001</v>
      </c>
      <c r="I229">
        <v>103.66160000000001</v>
      </c>
      <c r="J229">
        <v>91.674000000000007</v>
      </c>
      <c r="K229">
        <v>87.231499999999997</v>
      </c>
      <c r="L229">
        <v>103.1172</v>
      </c>
      <c r="M229">
        <v>134.35990000000001</v>
      </c>
      <c r="N229">
        <v>151.75239999999999</v>
      </c>
      <c r="O229">
        <v>198.09389999999999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222.71260000000001</v>
      </c>
      <c r="G230">
        <v>454.13560000000001</v>
      </c>
      <c r="H230">
        <v>350.74310000000003</v>
      </c>
      <c r="I230">
        <v>245.59520000000001</v>
      </c>
      <c r="J230">
        <v>629.49860000000001</v>
      </c>
      <c r="K230">
        <v>643.57069999999999</v>
      </c>
      <c r="L230">
        <v>623.22979999999995</v>
      </c>
      <c r="M230">
        <v>431.68049999999999</v>
      </c>
      <c r="N230">
        <v>303.42140000000001</v>
      </c>
      <c r="O230">
        <v>313.11919999999998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931.81889999999999</v>
      </c>
      <c r="G231">
        <v>1033.9547</v>
      </c>
      <c r="H231">
        <v>480.40219999999999</v>
      </c>
      <c r="I231">
        <v>1285.749</v>
      </c>
      <c r="J231">
        <v>1752.8447000000001</v>
      </c>
      <c r="K231">
        <v>1435.4394</v>
      </c>
      <c r="L231">
        <v>1293.9217000000001</v>
      </c>
      <c r="M231">
        <v>987.95519999999999</v>
      </c>
      <c r="N231">
        <v>1821.0118</v>
      </c>
      <c r="O231">
        <v>1016.4438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3157.0511000000001</v>
      </c>
      <c r="G232">
        <v>8407.6190000000006</v>
      </c>
      <c r="H232">
        <v>3416.6498999999999</v>
      </c>
      <c r="I232">
        <v>4460.2569000000003</v>
      </c>
      <c r="J232">
        <v>3857.7285999999999</v>
      </c>
      <c r="K232">
        <v>3456.6241</v>
      </c>
      <c r="L232">
        <v>3507.0502000000001</v>
      </c>
      <c r="M232">
        <v>3050.3944999999999</v>
      </c>
      <c r="N232">
        <v>3010.0214999999998</v>
      </c>
      <c r="O232">
        <v>8477.5975999999991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156.5592</v>
      </c>
      <c r="G233">
        <v>173.31440000000001</v>
      </c>
      <c r="H233">
        <v>168.14009999999999</v>
      </c>
      <c r="I233">
        <v>155.8476</v>
      </c>
      <c r="J233">
        <v>127.4622</v>
      </c>
      <c r="K233">
        <v>135.88659999999999</v>
      </c>
      <c r="L233">
        <v>136.0137</v>
      </c>
      <c r="M233">
        <v>111.8314</v>
      </c>
      <c r="N233">
        <v>110.04689999999999</v>
      </c>
      <c r="O233">
        <v>95.650300000000001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128.57259999999999</v>
      </c>
      <c r="G234">
        <v>162.79159999999999</v>
      </c>
      <c r="H234">
        <v>125.2021</v>
      </c>
      <c r="I234">
        <v>154.0899</v>
      </c>
      <c r="J234">
        <v>133.83920000000001</v>
      </c>
      <c r="K234">
        <v>177.29740000000001</v>
      </c>
      <c r="L234">
        <v>202.65280000000001</v>
      </c>
      <c r="M234">
        <v>202.88480000000001</v>
      </c>
      <c r="N234">
        <v>171.5753</v>
      </c>
      <c r="O234">
        <v>206.14330000000001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446.32339999999999</v>
      </c>
      <c r="G235">
        <v>359.76010000000002</v>
      </c>
      <c r="H235">
        <v>407.50970000000001</v>
      </c>
      <c r="I235">
        <v>426.78149999999999</v>
      </c>
      <c r="J235">
        <v>154.34360000000001</v>
      </c>
      <c r="K235">
        <v>122.9846</v>
      </c>
      <c r="L235">
        <v>129.46129999999999</v>
      </c>
      <c r="M235">
        <v>116.27070000000001</v>
      </c>
      <c r="N235">
        <v>86.8887</v>
      </c>
      <c r="O235">
        <v>60.169199999999996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0.93779999999999997</v>
      </c>
      <c r="J236">
        <v>0.3629</v>
      </c>
      <c r="K236">
        <v>0.45660000000000001</v>
      </c>
      <c r="L236">
        <v>0.41920000000000002</v>
      </c>
      <c r="M236">
        <v>0.4768</v>
      </c>
      <c r="N236">
        <v>7.7399999999999997E-2</v>
      </c>
      <c r="O236">
        <v>7.7100000000000002E-2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52.088900000000002</v>
      </c>
      <c r="G237">
        <v>56.9373</v>
      </c>
      <c r="H237">
        <v>45.933500000000002</v>
      </c>
      <c r="I237">
        <v>29.327100000000002</v>
      </c>
      <c r="J237">
        <v>25.9695</v>
      </c>
      <c r="K237">
        <v>28.050799999999999</v>
      </c>
      <c r="L237">
        <v>46.855800000000002</v>
      </c>
      <c r="M237">
        <v>44.294699999999999</v>
      </c>
      <c r="N237">
        <v>43.573900000000002</v>
      </c>
      <c r="O237">
        <v>43.103000000000002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93.181899999999999</v>
      </c>
      <c r="G238">
        <v>79.451700000000002</v>
      </c>
      <c r="H238">
        <v>85.826999999999998</v>
      </c>
      <c r="I238">
        <v>99.767899999999997</v>
      </c>
      <c r="J238">
        <v>87.002899999999997</v>
      </c>
      <c r="K238">
        <v>87.615600000000001</v>
      </c>
      <c r="L238">
        <v>83.770300000000006</v>
      </c>
      <c r="M238">
        <v>86.24</v>
      </c>
      <c r="N238">
        <v>89.388300000000001</v>
      </c>
      <c r="O238">
        <v>91.806899999999999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56.076099999999997</v>
      </c>
      <c r="G239">
        <v>80.849699999999999</v>
      </c>
      <c r="H239">
        <v>57.186500000000002</v>
      </c>
      <c r="I239">
        <v>37.990900000000003</v>
      </c>
      <c r="J239">
        <v>41.694099999999999</v>
      </c>
      <c r="K239">
        <v>50.808700000000002</v>
      </c>
      <c r="L239">
        <v>50.738300000000002</v>
      </c>
      <c r="M239">
        <v>51.017200000000003</v>
      </c>
      <c r="N239">
        <v>108.9513</v>
      </c>
      <c r="O239">
        <v>110.1118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88.566699999999997</v>
      </c>
      <c r="G240">
        <v>28.087299999999999</v>
      </c>
      <c r="H240">
        <v>49.886400000000002</v>
      </c>
      <c r="I240">
        <v>37.031199999999998</v>
      </c>
      <c r="J240">
        <v>253.19130000000001</v>
      </c>
      <c r="K240">
        <v>590.4511</v>
      </c>
      <c r="L240">
        <v>330.65089999999998</v>
      </c>
      <c r="M240">
        <v>168.2492</v>
      </c>
      <c r="N240">
        <v>38.798699999999997</v>
      </c>
      <c r="O240">
        <v>144633.01130000001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268.33769999999998</v>
      </c>
      <c r="G241">
        <v>252.3989</v>
      </c>
      <c r="H241">
        <v>198.5213</v>
      </c>
      <c r="I241">
        <v>191.0478</v>
      </c>
      <c r="J241">
        <v>185.22059999999999</v>
      </c>
      <c r="K241">
        <v>186.11070000000001</v>
      </c>
      <c r="L241">
        <v>200.26079999999999</v>
      </c>
      <c r="M241">
        <v>174.2784</v>
      </c>
      <c r="N241">
        <v>149.2739</v>
      </c>
      <c r="O241">
        <v>187.30959999999999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13.2273</v>
      </c>
      <c r="G242">
        <v>17.630500000000001</v>
      </c>
      <c r="H242">
        <v>19.9085</v>
      </c>
      <c r="I242">
        <v>14.516999999999999</v>
      </c>
      <c r="J242">
        <v>17.415900000000001</v>
      </c>
      <c r="K242">
        <v>38.332500000000003</v>
      </c>
      <c r="L242">
        <v>61.136099999999999</v>
      </c>
      <c r="M242">
        <v>37.648600000000002</v>
      </c>
      <c r="N242">
        <v>40.217100000000002</v>
      </c>
      <c r="O242">
        <v>58.2303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23.024100000000001</v>
      </c>
      <c r="G243">
        <v>21.4268</v>
      </c>
      <c r="H243">
        <v>21.578700000000001</v>
      </c>
      <c r="I243">
        <v>15.751300000000001</v>
      </c>
      <c r="J243">
        <v>16.0075</v>
      </c>
      <c r="K243">
        <v>18.972999999999999</v>
      </c>
      <c r="L243">
        <v>19.2651</v>
      </c>
      <c r="M243">
        <v>15.990399999999999</v>
      </c>
      <c r="N243">
        <v>13.8581</v>
      </c>
      <c r="O243">
        <v>12.3606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51.8964</v>
      </c>
      <c r="G244">
        <v>73.411500000000004</v>
      </c>
      <c r="H244">
        <v>79.354799999999997</v>
      </c>
      <c r="I244">
        <v>52.025399999999998</v>
      </c>
      <c r="J244">
        <v>48.862400000000001</v>
      </c>
      <c r="K244">
        <v>75.8292</v>
      </c>
      <c r="L244">
        <v>41.311</v>
      </c>
      <c r="M244">
        <v>23.198</v>
      </c>
      <c r="N244">
        <v>34.280099999999997</v>
      </c>
      <c r="O244">
        <v>80.849500000000006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1794.1365000000001</v>
      </c>
      <c r="G245">
        <v>2551.1417999999999</v>
      </c>
      <c r="H245">
        <v>623.75149999999996</v>
      </c>
      <c r="I245">
        <v>745.60239999999999</v>
      </c>
      <c r="J245">
        <v>759.28679999999997</v>
      </c>
      <c r="K245">
        <v>1040.6468</v>
      </c>
      <c r="L245">
        <v>877.19090000000006</v>
      </c>
      <c r="M245">
        <v>563.58690000000001</v>
      </c>
      <c r="N245">
        <v>391.85759999999999</v>
      </c>
      <c r="O245">
        <v>428.71359999999999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209.39060000000001</v>
      </c>
      <c r="G246">
        <v>180.32050000000001</v>
      </c>
      <c r="H246">
        <v>61.036700000000003</v>
      </c>
      <c r="I246">
        <v>250.79429999999999</v>
      </c>
      <c r="J246">
        <v>183.0762</v>
      </c>
      <c r="K246">
        <v>134.96729999999999</v>
      </c>
      <c r="L246">
        <v>60.235300000000002</v>
      </c>
      <c r="M246">
        <v>23.820399999999999</v>
      </c>
      <c r="N246">
        <v>40.540599999999998</v>
      </c>
      <c r="O246">
        <v>55.435099999999998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53.088999999999999</v>
      </c>
      <c r="G247">
        <v>64.473799999999997</v>
      </c>
      <c r="H247">
        <v>59.185899999999997</v>
      </c>
      <c r="I247">
        <v>58.064599999999999</v>
      </c>
      <c r="J247">
        <v>59.2346</v>
      </c>
      <c r="K247">
        <v>66.913899999999998</v>
      </c>
      <c r="L247">
        <v>83.952100000000002</v>
      </c>
      <c r="M247">
        <v>81.209000000000003</v>
      </c>
      <c r="N247">
        <v>80.276899999999998</v>
      </c>
      <c r="O247">
        <v>78.690200000000004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345.94760000000002</v>
      </c>
      <c r="G248">
        <v>295.9221</v>
      </c>
      <c r="H248">
        <v>236.34610000000001</v>
      </c>
      <c r="I248">
        <v>229.13759999999999</v>
      </c>
      <c r="J248">
        <v>634.68190000000004</v>
      </c>
      <c r="K248">
        <v>1277.25</v>
      </c>
      <c r="L248">
        <v>1367.5780999999999</v>
      </c>
      <c r="M248">
        <v>1127.5643</v>
      </c>
      <c r="N248">
        <v>1060.7546</v>
      </c>
      <c r="O248">
        <v>899.79660000000001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102.8848</v>
      </c>
      <c r="G249">
        <v>167.22190000000001</v>
      </c>
      <c r="H249">
        <v>314.2475</v>
      </c>
      <c r="I249">
        <v>463.91050000000001</v>
      </c>
      <c r="J249">
        <v>552.7912</v>
      </c>
      <c r="K249">
        <v>730.31799999999998</v>
      </c>
      <c r="L249">
        <v>413.72050000000002</v>
      </c>
      <c r="M249">
        <v>186.9418</v>
      </c>
      <c r="N249">
        <v>414.10669999999999</v>
      </c>
      <c r="O249">
        <v>795.36839999999995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256.89409999999998</v>
      </c>
      <c r="G250">
        <v>273.70100000000002</v>
      </c>
      <c r="H250">
        <v>271.012</v>
      </c>
      <c r="I250">
        <v>340.85109999999997</v>
      </c>
      <c r="J250">
        <v>393.66160000000002</v>
      </c>
      <c r="K250">
        <v>305.89299999999997</v>
      </c>
      <c r="L250">
        <v>296.36430000000001</v>
      </c>
      <c r="M250">
        <v>248.52289999999999</v>
      </c>
      <c r="N250">
        <v>261.85419999999999</v>
      </c>
      <c r="O250">
        <v>279.61059999999998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184.03440000000001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44.610599999999998</v>
      </c>
      <c r="G252">
        <v>50.5381</v>
      </c>
      <c r="H252">
        <v>47.540900000000001</v>
      </c>
      <c r="I252">
        <v>40.331800000000001</v>
      </c>
      <c r="J252">
        <v>34.210799999999999</v>
      </c>
      <c r="K252">
        <v>47.6629</v>
      </c>
      <c r="L252">
        <v>54.630299999999998</v>
      </c>
      <c r="M252">
        <v>46.438299999999998</v>
      </c>
      <c r="N252">
        <v>37.921999999999997</v>
      </c>
      <c r="O252">
        <v>56.544899999999998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269.25729999999999</v>
      </c>
      <c r="G253">
        <v>267.51400000000001</v>
      </c>
      <c r="H253">
        <v>149.47290000000001</v>
      </c>
      <c r="I253">
        <v>139.30430000000001</v>
      </c>
      <c r="J253">
        <v>151.43729999999999</v>
      </c>
      <c r="K253">
        <v>195.2</v>
      </c>
      <c r="L253">
        <v>219.37299999999999</v>
      </c>
      <c r="M253">
        <v>179.64169999999999</v>
      </c>
      <c r="N253">
        <v>171.74719999999999</v>
      </c>
      <c r="O253">
        <v>144.5592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229.60669999999999</v>
      </c>
      <c r="G254">
        <v>829.66279999999995</v>
      </c>
      <c r="H254">
        <v>564.97310000000004</v>
      </c>
      <c r="I254">
        <v>437.52</v>
      </c>
      <c r="J254">
        <v>371.20620000000002</v>
      </c>
      <c r="K254">
        <v>407.29259999999999</v>
      </c>
      <c r="L254">
        <v>168.54830000000001</v>
      </c>
      <c r="M254">
        <v>227.054</v>
      </c>
      <c r="N254">
        <v>233.28970000000001</v>
      </c>
      <c r="O254">
        <v>183.79830000000001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704.39350000000002</v>
      </c>
      <c r="G255">
        <v>260.2989</v>
      </c>
      <c r="H255">
        <v>273.47269999999997</v>
      </c>
      <c r="I255">
        <v>263.18560000000002</v>
      </c>
      <c r="J255">
        <v>234.67570000000001</v>
      </c>
      <c r="K255">
        <v>212.12119999999999</v>
      </c>
      <c r="L255">
        <v>182.6558</v>
      </c>
      <c r="M255">
        <v>135.77070000000001</v>
      </c>
      <c r="N255">
        <v>178.7687</v>
      </c>
      <c r="O255">
        <v>177.40430000000001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57.973100000000002</v>
      </c>
      <c r="G257">
        <v>111.1079</v>
      </c>
      <c r="H257">
        <v>95.868499999999997</v>
      </c>
      <c r="I257">
        <v>114.02930000000001</v>
      </c>
      <c r="J257">
        <v>133.3091</v>
      </c>
      <c r="K257">
        <v>119.02419999999999</v>
      </c>
      <c r="L257">
        <v>136.7208</v>
      </c>
      <c r="M257">
        <v>156.6651</v>
      </c>
      <c r="N257">
        <v>110.036</v>
      </c>
      <c r="O257">
        <v>78.650700000000001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65.956400000000002</v>
      </c>
      <c r="G258">
        <v>76.605099999999993</v>
      </c>
      <c r="H258">
        <v>35.0291</v>
      </c>
      <c r="I258">
        <v>18.053699999999999</v>
      </c>
      <c r="J258">
        <v>14.177300000000001</v>
      </c>
      <c r="K258">
        <v>59.170499999999997</v>
      </c>
      <c r="L258">
        <v>51.344499999999996</v>
      </c>
      <c r="M258">
        <v>41.137</v>
      </c>
      <c r="N258">
        <v>117.77589999999999</v>
      </c>
      <c r="O258">
        <v>120.6618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88.629099999999994</v>
      </c>
      <c r="G259">
        <v>116.67149999999999</v>
      </c>
      <c r="H259">
        <v>114.29900000000001</v>
      </c>
      <c r="I259">
        <v>93.335800000000006</v>
      </c>
      <c r="J259">
        <v>113.9058</v>
      </c>
      <c r="K259">
        <v>155.51589999999999</v>
      </c>
      <c r="L259">
        <v>189.61519999999999</v>
      </c>
      <c r="M259">
        <v>180.99539999999999</v>
      </c>
      <c r="N259">
        <v>212.74260000000001</v>
      </c>
      <c r="O259">
        <v>217.91980000000001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55.987499999999997</v>
      </c>
      <c r="G260">
        <v>70.423100000000005</v>
      </c>
      <c r="H260">
        <v>63.8461</v>
      </c>
      <c r="I260">
        <v>64.474100000000007</v>
      </c>
      <c r="J260">
        <v>59.104500000000002</v>
      </c>
      <c r="K260">
        <v>69.199200000000005</v>
      </c>
      <c r="L260">
        <v>39.078499999999998</v>
      </c>
      <c r="M260">
        <v>104.5466</v>
      </c>
      <c r="N260">
        <v>123.8728</v>
      </c>
      <c r="O260">
        <v>31.737100000000002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139.16079999999999</v>
      </c>
      <c r="G261">
        <v>179.83510000000001</v>
      </c>
      <c r="H261">
        <v>179.637</v>
      </c>
      <c r="I261">
        <v>186.9982</v>
      </c>
      <c r="J261">
        <v>174.483</v>
      </c>
      <c r="K261">
        <v>151.0549</v>
      </c>
      <c r="L261">
        <v>157.5282</v>
      </c>
      <c r="M261">
        <v>178.0043</v>
      </c>
      <c r="N261">
        <v>201.9203</v>
      </c>
      <c r="O261">
        <v>179.79159999999999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114.8591</v>
      </c>
      <c r="G262">
        <v>117.5998</v>
      </c>
      <c r="H262">
        <v>117.13200000000001</v>
      </c>
      <c r="I262">
        <v>110.7529</v>
      </c>
      <c r="J262">
        <v>109.1507</v>
      </c>
      <c r="K262">
        <v>125.1143</v>
      </c>
      <c r="L262">
        <v>60.568100000000001</v>
      </c>
      <c r="M262">
        <v>84.481800000000007</v>
      </c>
      <c r="N262">
        <v>90.834500000000006</v>
      </c>
      <c r="O262">
        <v>104.4773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100.551</v>
      </c>
      <c r="G263">
        <v>126.3798</v>
      </c>
      <c r="H263">
        <v>160.64699999999999</v>
      </c>
      <c r="I263">
        <v>209.00069999999999</v>
      </c>
      <c r="J263">
        <v>214.66900000000001</v>
      </c>
      <c r="K263">
        <v>406.88060000000002</v>
      </c>
      <c r="L263">
        <v>377.39879999999999</v>
      </c>
      <c r="M263">
        <v>353.64710000000002</v>
      </c>
      <c r="N263">
        <v>212.1883</v>
      </c>
      <c r="O263">
        <v>159.72540000000001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1.022</v>
      </c>
      <c r="G264">
        <v>122.90309999999999</v>
      </c>
      <c r="H264">
        <v>66.674999999999997</v>
      </c>
      <c r="I264">
        <v>190.28700000000001</v>
      </c>
      <c r="J264">
        <v>158.50890000000001</v>
      </c>
      <c r="K264">
        <v>33.4773</v>
      </c>
      <c r="L264">
        <v>26.9955</v>
      </c>
      <c r="M264">
        <v>21.989799999999999</v>
      </c>
      <c r="N264">
        <v>29.7288</v>
      </c>
      <c r="O264">
        <v>30.544699999999999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129.87889999999999</v>
      </c>
      <c r="G265">
        <v>312.15260000000001</v>
      </c>
      <c r="H265">
        <v>549.19539999999995</v>
      </c>
      <c r="I265">
        <v>417.4914</v>
      </c>
      <c r="J265">
        <v>423.19009999999997</v>
      </c>
      <c r="K265">
        <v>505.01929999999999</v>
      </c>
      <c r="L265">
        <v>447.35950000000003</v>
      </c>
      <c r="M265">
        <v>395.51729999999998</v>
      </c>
      <c r="N265">
        <v>365.03210000000001</v>
      </c>
      <c r="O265">
        <v>399.6343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75.083699999999993</v>
      </c>
      <c r="G266">
        <v>109.4289</v>
      </c>
      <c r="H266">
        <v>77.005899999999997</v>
      </c>
      <c r="I266">
        <v>70.447199999999995</v>
      </c>
      <c r="J266">
        <v>72.113100000000003</v>
      </c>
      <c r="K266">
        <v>90.563699999999997</v>
      </c>
      <c r="L266">
        <v>94.015299999999996</v>
      </c>
      <c r="M266">
        <v>85.650700000000001</v>
      </c>
      <c r="N266">
        <v>89.622699999999995</v>
      </c>
      <c r="O266">
        <v>87.392099999999999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132.81360000000001</v>
      </c>
      <c r="G267">
        <v>123.8501</v>
      </c>
      <c r="H267">
        <v>142.13249999999999</v>
      </c>
      <c r="I267">
        <v>144.97540000000001</v>
      </c>
      <c r="J267">
        <v>166.94239999999999</v>
      </c>
      <c r="K267">
        <v>182.7569</v>
      </c>
      <c r="L267">
        <v>210.37029999999999</v>
      </c>
      <c r="M267">
        <v>247.8244</v>
      </c>
      <c r="N267">
        <v>258.28879999999998</v>
      </c>
      <c r="O267">
        <v>549.64239999999995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220.8579</v>
      </c>
      <c r="G268">
        <v>174.83070000000001</v>
      </c>
      <c r="H268">
        <v>39.658499999999997</v>
      </c>
      <c r="I268">
        <v>45.555100000000003</v>
      </c>
      <c r="J268">
        <v>50.865499999999997</v>
      </c>
      <c r="K268">
        <v>47.5762</v>
      </c>
      <c r="L268">
        <v>58.629399999999997</v>
      </c>
      <c r="M268">
        <v>299.79599999999999</v>
      </c>
      <c r="N268">
        <v>225.29570000000001</v>
      </c>
      <c r="O268">
        <v>251.58410000000001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72.608599999999996</v>
      </c>
      <c r="G269">
        <v>88.503100000000003</v>
      </c>
      <c r="H269">
        <v>58.134900000000002</v>
      </c>
      <c r="I269">
        <v>63.884099999999997</v>
      </c>
      <c r="J269">
        <v>49.951500000000003</v>
      </c>
      <c r="K269">
        <v>35.6492</v>
      </c>
      <c r="L269">
        <v>53.280799999999999</v>
      </c>
      <c r="M269">
        <v>43.841900000000003</v>
      </c>
      <c r="N269">
        <v>57.975000000000001</v>
      </c>
      <c r="O269">
        <v>73.0458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60.170400000000001</v>
      </c>
      <c r="G270">
        <v>59.001199999999997</v>
      </c>
      <c r="H270">
        <v>57.917400000000001</v>
      </c>
      <c r="I270">
        <v>50.338299999999997</v>
      </c>
      <c r="J270">
        <v>41.297199999999997</v>
      </c>
      <c r="K270">
        <v>72.511099999999999</v>
      </c>
      <c r="L270">
        <v>85.141400000000004</v>
      </c>
      <c r="M270">
        <v>89.500900000000001</v>
      </c>
      <c r="N270">
        <v>89.487099999999998</v>
      </c>
      <c r="O270">
        <v>77.504999999999995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60.8354</v>
      </c>
      <c r="G271">
        <v>80.639600000000002</v>
      </c>
      <c r="H271">
        <v>92.346500000000006</v>
      </c>
      <c r="I271">
        <v>95.621799999999993</v>
      </c>
      <c r="J271">
        <v>80.737700000000004</v>
      </c>
      <c r="K271">
        <v>114.2705</v>
      </c>
      <c r="L271">
        <v>134.0821</v>
      </c>
      <c r="M271">
        <v>79.634900000000002</v>
      </c>
      <c r="N271">
        <v>73.427400000000006</v>
      </c>
      <c r="O271">
        <v>68.490499999999997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48.194000000000003</v>
      </c>
      <c r="G272">
        <v>23.410599999999999</v>
      </c>
      <c r="H272">
        <v>20.2287</v>
      </c>
      <c r="I272">
        <v>36.454999999999998</v>
      </c>
      <c r="J272">
        <v>35.889299999999999</v>
      </c>
      <c r="K272">
        <v>37.358699999999999</v>
      </c>
      <c r="L272">
        <v>27.479800000000001</v>
      </c>
      <c r="M272">
        <v>63.3797</v>
      </c>
      <c r="N272">
        <v>40.824599999999997</v>
      </c>
      <c r="O272">
        <v>19.153300000000002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99.330299999999994</v>
      </c>
      <c r="G273">
        <v>180.5718</v>
      </c>
      <c r="H273">
        <v>69.874799999999993</v>
      </c>
      <c r="I273">
        <v>408.18689999999998</v>
      </c>
      <c r="J273">
        <v>241.65</v>
      </c>
      <c r="K273">
        <v>933.48030000000006</v>
      </c>
      <c r="L273">
        <v>344.64550000000003</v>
      </c>
      <c r="M273">
        <v>191.46129999999999</v>
      </c>
      <c r="N273">
        <v>78.162300000000002</v>
      </c>
      <c r="O273">
        <v>136.93610000000001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150.11070000000001</v>
      </c>
      <c r="G274">
        <v>187.8373</v>
      </c>
      <c r="H274">
        <v>220.29939999999999</v>
      </c>
      <c r="I274">
        <v>284.25459999999998</v>
      </c>
      <c r="J274">
        <v>269.60759999999999</v>
      </c>
      <c r="K274">
        <v>223.43940000000001</v>
      </c>
      <c r="L274">
        <v>293.6986</v>
      </c>
      <c r="M274">
        <v>239.1326</v>
      </c>
      <c r="N274">
        <v>229.11</v>
      </c>
      <c r="O274">
        <v>209.5735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67.9923</v>
      </c>
      <c r="G275">
        <v>73.246499999999997</v>
      </c>
      <c r="H275">
        <v>40.702599999999997</v>
      </c>
      <c r="I275">
        <v>77.799899999999994</v>
      </c>
      <c r="J275">
        <v>64.862300000000005</v>
      </c>
      <c r="K275">
        <v>57.044600000000003</v>
      </c>
      <c r="L275">
        <v>53.128599999999999</v>
      </c>
      <c r="M275">
        <v>72.0501</v>
      </c>
      <c r="N275">
        <v>48.327800000000003</v>
      </c>
      <c r="O275">
        <v>13.622299999999999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152.08439999999999</v>
      </c>
      <c r="G276">
        <v>171.25380000000001</v>
      </c>
      <c r="H276">
        <v>149.96719999999999</v>
      </c>
      <c r="I276">
        <v>160.2747</v>
      </c>
      <c r="J276">
        <v>124.94370000000001</v>
      </c>
      <c r="K276">
        <v>146.32050000000001</v>
      </c>
      <c r="L276">
        <v>119.8245</v>
      </c>
      <c r="M276">
        <v>105.6332</v>
      </c>
      <c r="N276">
        <v>80.591300000000004</v>
      </c>
      <c r="O276">
        <v>88.750100000000003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279.32479999999998</v>
      </c>
      <c r="G277">
        <v>314.69909999999999</v>
      </c>
      <c r="H277">
        <v>807.6345</v>
      </c>
      <c r="I277">
        <v>1650.8262</v>
      </c>
      <c r="J277">
        <v>1122.0482999999999</v>
      </c>
      <c r="K277">
        <v>644.52850000000001</v>
      </c>
      <c r="L277">
        <v>673.35</v>
      </c>
      <c r="M277">
        <v>454.42149999999998</v>
      </c>
      <c r="N277">
        <v>542.83849999999995</v>
      </c>
      <c r="O277">
        <v>500.94209999999998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5.3684000000000003</v>
      </c>
      <c r="H278">
        <v>6.5975000000000001</v>
      </c>
      <c r="I278">
        <v>5.8362999999999996</v>
      </c>
      <c r="J278">
        <v>5.6112000000000002</v>
      </c>
      <c r="K278">
        <v>14.1501</v>
      </c>
      <c r="L278">
        <v>15.1402</v>
      </c>
      <c r="M278">
        <v>9.3940000000000001</v>
      </c>
      <c r="N278">
        <v>11.292400000000001</v>
      </c>
      <c r="O278">
        <v>33.926400000000001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2.8388</v>
      </c>
      <c r="G279">
        <v>1.599</v>
      </c>
      <c r="H279">
        <v>1.0797000000000001</v>
      </c>
      <c r="I279">
        <v>0</v>
      </c>
      <c r="J279">
        <v>0</v>
      </c>
      <c r="K279">
        <v>157.41139999999999</v>
      </c>
      <c r="L279">
        <v>50.796399999999998</v>
      </c>
      <c r="M279">
        <v>37.2866</v>
      </c>
      <c r="N279">
        <v>49.284700000000001</v>
      </c>
      <c r="O279">
        <v>64.042400000000001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239.78919999999999</v>
      </c>
      <c r="G280">
        <v>716.72289999999998</v>
      </c>
      <c r="H280">
        <v>50.735700000000001</v>
      </c>
      <c r="I280">
        <v>44.639200000000002</v>
      </c>
      <c r="J280">
        <v>33.316299999999998</v>
      </c>
      <c r="K280">
        <v>51.3489</v>
      </c>
      <c r="L280">
        <v>62.071199999999997</v>
      </c>
      <c r="M280">
        <v>61.730899999999998</v>
      </c>
      <c r="N280">
        <v>70.115899999999996</v>
      </c>
      <c r="O280">
        <v>73.917100000000005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582.07190000000003</v>
      </c>
      <c r="G281">
        <v>469.26979999999998</v>
      </c>
      <c r="H281">
        <v>250.5453</v>
      </c>
      <c r="I281">
        <v>230.27610000000001</v>
      </c>
      <c r="J281">
        <v>186.809</v>
      </c>
      <c r="K281">
        <v>133.2544</v>
      </c>
      <c r="L281">
        <v>111.5485</v>
      </c>
      <c r="M281">
        <v>149.72460000000001</v>
      </c>
      <c r="N281">
        <v>173.34350000000001</v>
      </c>
      <c r="O281">
        <v>175.19630000000001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1586.5216</v>
      </c>
      <c r="G282">
        <v>442.10449999999997</v>
      </c>
      <c r="H282">
        <v>84.994600000000005</v>
      </c>
      <c r="I282">
        <v>57.082799999999999</v>
      </c>
      <c r="J282">
        <v>163.32830000000001</v>
      </c>
      <c r="K282">
        <v>270.9744</v>
      </c>
      <c r="L282">
        <v>332.49009999999998</v>
      </c>
      <c r="M282">
        <v>191.7123</v>
      </c>
      <c r="N282">
        <v>153.09780000000001</v>
      </c>
      <c r="O282">
        <v>295.8415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7132.3711000000003</v>
      </c>
      <c r="G283">
        <v>5013.9732999999997</v>
      </c>
      <c r="H283">
        <v>3721.3642</v>
      </c>
      <c r="I283">
        <v>5998.4174999999996</v>
      </c>
      <c r="J283">
        <v>4764.4467999999997</v>
      </c>
      <c r="K283">
        <v>5851.6495999999997</v>
      </c>
      <c r="L283">
        <v>6118.8818000000001</v>
      </c>
      <c r="M283">
        <v>4459.9495999999999</v>
      </c>
      <c r="N283">
        <v>4677.0739000000003</v>
      </c>
      <c r="O283">
        <v>1891.9692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32.376300000000001</v>
      </c>
      <c r="G284">
        <v>46.326700000000002</v>
      </c>
      <c r="H284">
        <v>51.885300000000001</v>
      </c>
      <c r="I284">
        <v>29.872499999999999</v>
      </c>
      <c r="J284">
        <v>36.872999999999998</v>
      </c>
      <c r="K284">
        <v>31.049199999999999</v>
      </c>
      <c r="L284">
        <v>21.0565</v>
      </c>
      <c r="M284">
        <v>35.984900000000003</v>
      </c>
      <c r="N284">
        <v>26.938600000000001</v>
      </c>
      <c r="O284">
        <v>23.521799999999999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3765.9639999999999</v>
      </c>
      <c r="G285">
        <v>2923.0317</v>
      </c>
      <c r="H285">
        <v>3952.864</v>
      </c>
      <c r="I285">
        <v>4236.18</v>
      </c>
      <c r="J285">
        <v>3240.7390999999998</v>
      </c>
      <c r="K285">
        <v>4909.8442999999997</v>
      </c>
      <c r="L285">
        <v>8915.9832000000006</v>
      </c>
      <c r="M285">
        <v>4118.0322999999999</v>
      </c>
      <c r="N285">
        <v>3330.8022999999998</v>
      </c>
      <c r="O285">
        <v>7876.7821999999996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56.872</v>
      </c>
      <c r="G286">
        <v>63.830300000000001</v>
      </c>
      <c r="H286">
        <v>101.70869999999999</v>
      </c>
      <c r="I286">
        <v>91.534999999999997</v>
      </c>
      <c r="J286">
        <v>113.47329999999999</v>
      </c>
      <c r="K286">
        <v>197.8083</v>
      </c>
      <c r="L286">
        <v>159.5556</v>
      </c>
      <c r="M286">
        <v>228.85339999999999</v>
      </c>
      <c r="N286">
        <v>219.25899999999999</v>
      </c>
      <c r="O286">
        <v>155.9341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136.77340000000001</v>
      </c>
      <c r="G287">
        <v>99.539100000000005</v>
      </c>
      <c r="H287">
        <v>54.677500000000002</v>
      </c>
      <c r="I287">
        <v>54.802599999999998</v>
      </c>
      <c r="J287">
        <v>51.333300000000001</v>
      </c>
      <c r="K287">
        <v>53.299100000000003</v>
      </c>
      <c r="L287">
        <v>61.028399999999998</v>
      </c>
      <c r="M287">
        <v>61.105800000000002</v>
      </c>
      <c r="N287">
        <v>51.657400000000003</v>
      </c>
      <c r="O287">
        <v>59.327599999999997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41.3628</v>
      </c>
      <c r="G288">
        <v>49.694099999999999</v>
      </c>
      <c r="H288">
        <v>90.936199999999999</v>
      </c>
      <c r="I288">
        <v>92.567599999999999</v>
      </c>
      <c r="J288">
        <v>88.393699999999995</v>
      </c>
      <c r="K288">
        <v>100.1559</v>
      </c>
      <c r="L288">
        <v>122.6934</v>
      </c>
      <c r="M288">
        <v>97.963499999999996</v>
      </c>
      <c r="N288">
        <v>141.04810000000001</v>
      </c>
      <c r="O288">
        <v>193.09960000000001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167.63659999999999</v>
      </c>
      <c r="G289">
        <v>182.78739999999999</v>
      </c>
      <c r="H289">
        <v>168.9838</v>
      </c>
      <c r="I289">
        <v>154.45480000000001</v>
      </c>
      <c r="J289">
        <v>131.77090000000001</v>
      </c>
      <c r="K289">
        <v>107.07899999999999</v>
      </c>
      <c r="L289">
        <v>100.371</v>
      </c>
      <c r="M289">
        <v>90.381</v>
      </c>
      <c r="N289">
        <v>94.297600000000003</v>
      </c>
      <c r="O289">
        <v>108.2791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178.17490000000001</v>
      </c>
      <c r="G290">
        <v>204.7714</v>
      </c>
      <c r="H290">
        <v>182.1542</v>
      </c>
      <c r="I290">
        <v>154.86969999999999</v>
      </c>
      <c r="J290">
        <v>150.8897</v>
      </c>
      <c r="K290">
        <v>159.05699999999999</v>
      </c>
      <c r="L290">
        <v>171.20820000000001</v>
      </c>
      <c r="M290">
        <v>196.57599999999999</v>
      </c>
      <c r="N290">
        <v>151.9812</v>
      </c>
      <c r="O290">
        <v>175.81039999999999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73.580399999999997</v>
      </c>
      <c r="G291">
        <v>89.747699999999995</v>
      </c>
      <c r="H291">
        <v>97.56</v>
      </c>
      <c r="I291">
        <v>283.06029999999998</v>
      </c>
      <c r="J291">
        <v>294.21039999999999</v>
      </c>
      <c r="K291">
        <v>315.798</v>
      </c>
      <c r="L291">
        <v>248.3356</v>
      </c>
      <c r="M291">
        <v>269.66320000000002</v>
      </c>
      <c r="N291">
        <v>264.62470000000002</v>
      </c>
      <c r="O291">
        <v>240.60480000000001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77.304000000000002</v>
      </c>
      <c r="G292">
        <v>88.940700000000007</v>
      </c>
      <c r="H292">
        <v>83.934200000000004</v>
      </c>
      <c r="I292">
        <v>91.310100000000006</v>
      </c>
      <c r="J292">
        <v>97.837500000000006</v>
      </c>
      <c r="K292">
        <v>91.3767</v>
      </c>
      <c r="L292">
        <v>94.464799999999997</v>
      </c>
      <c r="M292">
        <v>94.420500000000004</v>
      </c>
      <c r="N292">
        <v>76.359899999999996</v>
      </c>
      <c r="O292">
        <v>87.360100000000003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193.25890000000001</v>
      </c>
      <c r="G293">
        <v>228.85220000000001</v>
      </c>
      <c r="H293">
        <v>206.4965</v>
      </c>
      <c r="I293">
        <v>182.87260000000001</v>
      </c>
      <c r="J293">
        <v>228.8244</v>
      </c>
      <c r="K293">
        <v>235.744</v>
      </c>
      <c r="L293">
        <v>210.1403</v>
      </c>
      <c r="M293">
        <v>179.11969999999999</v>
      </c>
      <c r="N293">
        <v>136.2911</v>
      </c>
      <c r="O293">
        <v>100.55800000000001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61.033799999999999</v>
      </c>
      <c r="G294">
        <v>123.40089999999999</v>
      </c>
      <c r="H294">
        <v>105.3129</v>
      </c>
      <c r="I294">
        <v>114.113</v>
      </c>
      <c r="J294">
        <v>81.411199999999994</v>
      </c>
      <c r="K294">
        <v>95.911100000000005</v>
      </c>
      <c r="L294">
        <v>112.45010000000001</v>
      </c>
      <c r="M294">
        <v>59.839599999999997</v>
      </c>
      <c r="N294">
        <v>82.076999999999998</v>
      </c>
      <c r="O294">
        <v>59.462499999999999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100.0256</v>
      </c>
      <c r="G295">
        <v>106.25749999999999</v>
      </c>
      <c r="H295">
        <v>76.445700000000002</v>
      </c>
      <c r="I295">
        <v>74.610200000000006</v>
      </c>
      <c r="J295">
        <v>77.256</v>
      </c>
      <c r="K295">
        <v>77.965199999999996</v>
      </c>
      <c r="L295">
        <v>86.875799999999998</v>
      </c>
      <c r="M295">
        <v>86.836200000000005</v>
      </c>
      <c r="N295">
        <v>73.107900000000001</v>
      </c>
      <c r="O295">
        <v>66.641499999999994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404.75639999999999</v>
      </c>
      <c r="G296">
        <v>440.1087</v>
      </c>
      <c r="H296">
        <v>384.44819999999999</v>
      </c>
      <c r="I296">
        <v>384.9676</v>
      </c>
      <c r="J296">
        <v>463.95460000000003</v>
      </c>
      <c r="K296">
        <v>622.22360000000003</v>
      </c>
      <c r="L296">
        <v>670.79089999999997</v>
      </c>
      <c r="M296">
        <v>465.53609999999998</v>
      </c>
      <c r="N296">
        <v>427.48520000000002</v>
      </c>
      <c r="O296">
        <v>364.75310000000002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89.967699999999994</v>
      </c>
      <c r="G297">
        <v>139.75040000000001</v>
      </c>
      <c r="H297">
        <v>162.24350000000001</v>
      </c>
      <c r="I297">
        <v>109.60760000000001</v>
      </c>
      <c r="J297">
        <v>96.189700000000002</v>
      </c>
      <c r="K297">
        <v>92.641199999999998</v>
      </c>
      <c r="L297">
        <v>49.541800000000002</v>
      </c>
      <c r="M297">
        <v>35.920999999999999</v>
      </c>
      <c r="N297">
        <v>36.853200000000001</v>
      </c>
      <c r="O297">
        <v>54.799500000000002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75.881299999999996</v>
      </c>
      <c r="G298">
        <v>158.81960000000001</v>
      </c>
      <c r="H298">
        <v>314.27769999999998</v>
      </c>
      <c r="I298">
        <v>313.25560000000002</v>
      </c>
      <c r="J298">
        <v>396.34339999999997</v>
      </c>
      <c r="K298">
        <v>47.709200000000003</v>
      </c>
      <c r="L298">
        <v>69.1477</v>
      </c>
      <c r="M298">
        <v>60.680199999999999</v>
      </c>
      <c r="N298">
        <v>46.898400000000002</v>
      </c>
      <c r="O298">
        <v>44.293199999999999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2370.4686000000002</v>
      </c>
      <c r="G299">
        <v>2625.8045000000002</v>
      </c>
      <c r="H299">
        <v>2498.6968999999999</v>
      </c>
      <c r="I299">
        <v>3530.2597000000001</v>
      </c>
      <c r="J299">
        <v>4655.0627000000004</v>
      </c>
      <c r="K299">
        <v>3015.6111000000001</v>
      </c>
      <c r="L299">
        <v>1885.8643</v>
      </c>
      <c r="M299">
        <v>2003.0162</v>
      </c>
      <c r="N299">
        <v>1563.5282</v>
      </c>
      <c r="O299">
        <v>2404.0871999999999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463.70859999999999</v>
      </c>
      <c r="G300">
        <v>581.23720000000003</v>
      </c>
      <c r="H300">
        <v>236.233</v>
      </c>
      <c r="I300">
        <v>457.74430000000001</v>
      </c>
      <c r="J300">
        <v>342.72730000000001</v>
      </c>
      <c r="K300">
        <v>346.6943</v>
      </c>
      <c r="L300">
        <v>329.65820000000002</v>
      </c>
      <c r="M300">
        <v>301.41469999999998</v>
      </c>
      <c r="N300">
        <v>260.49160000000001</v>
      </c>
      <c r="O300">
        <v>248.6662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75.377600000000001</v>
      </c>
      <c r="G301">
        <v>114.8672</v>
      </c>
      <c r="H301">
        <v>65.026600000000002</v>
      </c>
      <c r="I301">
        <v>75.554100000000005</v>
      </c>
      <c r="J301">
        <v>46.4895</v>
      </c>
      <c r="K301">
        <v>59.701599999999999</v>
      </c>
      <c r="L301">
        <v>104.0398</v>
      </c>
      <c r="M301">
        <v>90.240600000000001</v>
      </c>
      <c r="N301">
        <v>147.82329999999999</v>
      </c>
      <c r="O301">
        <v>201.05549999999999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69.116600000000005</v>
      </c>
      <c r="G302">
        <v>83.253900000000002</v>
      </c>
      <c r="H302">
        <v>97.489199999999997</v>
      </c>
      <c r="I302">
        <v>63.2241</v>
      </c>
      <c r="J302">
        <v>51.7149</v>
      </c>
      <c r="K302">
        <v>47.0197</v>
      </c>
      <c r="L302">
        <v>430.24549999999999</v>
      </c>
      <c r="M302">
        <v>393.56830000000002</v>
      </c>
      <c r="N302">
        <v>266.40050000000002</v>
      </c>
      <c r="O302">
        <v>227.87729999999999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10.7171</v>
      </c>
      <c r="G303">
        <v>13.125400000000001</v>
      </c>
      <c r="H303">
        <v>10.658300000000001</v>
      </c>
      <c r="I303">
        <v>11.585000000000001</v>
      </c>
      <c r="J303">
        <v>11.5565</v>
      </c>
      <c r="K303">
        <v>17.347100000000001</v>
      </c>
      <c r="L303">
        <v>26.203800000000001</v>
      </c>
      <c r="M303">
        <v>7.9912999999999998</v>
      </c>
      <c r="N303">
        <v>6.9398</v>
      </c>
      <c r="O303">
        <v>7.1346999999999996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83.739500000000007</v>
      </c>
      <c r="G304">
        <v>121.4603</v>
      </c>
      <c r="H304">
        <v>257.53530000000001</v>
      </c>
      <c r="I304">
        <v>419.6173</v>
      </c>
      <c r="J304">
        <v>819.64260000000002</v>
      </c>
      <c r="K304">
        <v>2403.2678999999998</v>
      </c>
      <c r="L304">
        <v>2657.5614999999998</v>
      </c>
      <c r="M304">
        <v>1633.1149</v>
      </c>
      <c r="N304">
        <v>2683.6659</v>
      </c>
      <c r="O304">
        <v>1239.9449999999999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195.10939999999999</v>
      </c>
      <c r="G305">
        <v>263.56810000000002</v>
      </c>
      <c r="H305">
        <v>228.25210000000001</v>
      </c>
      <c r="I305">
        <v>192.2158</v>
      </c>
      <c r="J305">
        <v>213.0016</v>
      </c>
      <c r="K305">
        <v>164.90090000000001</v>
      </c>
      <c r="L305">
        <v>164.25020000000001</v>
      </c>
      <c r="M305">
        <v>153.35239999999999</v>
      </c>
      <c r="N305">
        <v>163.36709999999999</v>
      </c>
      <c r="O305">
        <v>197.43350000000001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1191.2937999999999</v>
      </c>
      <c r="G306">
        <v>1244.9256</v>
      </c>
      <c r="H306">
        <v>846.82950000000005</v>
      </c>
      <c r="I306">
        <v>989.72680000000003</v>
      </c>
      <c r="J306">
        <v>916.30259999999998</v>
      </c>
      <c r="K306">
        <v>684.99720000000002</v>
      </c>
      <c r="L306">
        <v>282.62619999999998</v>
      </c>
      <c r="M306">
        <v>245.44489999999999</v>
      </c>
      <c r="N306">
        <v>207.56540000000001</v>
      </c>
      <c r="O306">
        <v>248.3758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141.39859999999999</v>
      </c>
      <c r="G307">
        <v>163.6311</v>
      </c>
      <c r="H307">
        <v>144.42330000000001</v>
      </c>
      <c r="I307">
        <v>129.78649999999999</v>
      </c>
      <c r="J307">
        <v>112.76</v>
      </c>
      <c r="K307">
        <v>125.6651</v>
      </c>
      <c r="L307">
        <v>131.17009999999999</v>
      </c>
      <c r="M307">
        <v>186.47309999999999</v>
      </c>
      <c r="N307">
        <v>209.6241</v>
      </c>
      <c r="O307">
        <v>246.7895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319.64429999999999</v>
      </c>
      <c r="G308">
        <v>188.0241</v>
      </c>
      <c r="H308">
        <v>230.2473</v>
      </c>
      <c r="I308">
        <v>608.98159999999996</v>
      </c>
      <c r="J308">
        <v>939.29939999999999</v>
      </c>
      <c r="K308">
        <v>1080.2270000000001</v>
      </c>
      <c r="L308">
        <v>615.38340000000005</v>
      </c>
      <c r="M308">
        <v>868.38130000000001</v>
      </c>
      <c r="N308">
        <v>584.07899999999995</v>
      </c>
      <c r="O308">
        <v>331.54739999999998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238.78200000000001</v>
      </c>
      <c r="G309">
        <v>346.5498</v>
      </c>
      <c r="H309">
        <v>252.79560000000001</v>
      </c>
      <c r="I309">
        <v>244.98099999999999</v>
      </c>
      <c r="J309">
        <v>259.01990000000001</v>
      </c>
      <c r="K309">
        <v>226.5821</v>
      </c>
      <c r="L309">
        <v>252.2704</v>
      </c>
      <c r="M309">
        <v>334.55309999999997</v>
      </c>
      <c r="N309">
        <v>356.10070000000002</v>
      </c>
      <c r="O309">
        <v>448.5847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151.12960000000001</v>
      </c>
      <c r="G310">
        <v>183.36500000000001</v>
      </c>
      <c r="H310">
        <v>187.02539999999999</v>
      </c>
      <c r="I310">
        <v>151.06120000000001</v>
      </c>
      <c r="J310">
        <v>149.31729999999999</v>
      </c>
      <c r="K310">
        <v>175.11150000000001</v>
      </c>
      <c r="L310">
        <v>149.2653</v>
      </c>
      <c r="M310">
        <v>139.36189999999999</v>
      </c>
      <c r="N310">
        <v>205.11930000000001</v>
      </c>
      <c r="O310">
        <v>165.7773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0.93840000000000001</v>
      </c>
      <c r="G311">
        <v>20.726099999999999</v>
      </c>
      <c r="H311">
        <v>23.087800000000001</v>
      </c>
      <c r="I311">
        <v>33.131500000000003</v>
      </c>
      <c r="J311">
        <v>33.406399999999998</v>
      </c>
      <c r="K311">
        <v>52.582500000000003</v>
      </c>
      <c r="L311">
        <v>99.428799999999995</v>
      </c>
      <c r="M311">
        <v>126.19799999999999</v>
      </c>
      <c r="N311">
        <v>131.05510000000001</v>
      </c>
      <c r="O311">
        <v>128.3074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459.51710000000003</v>
      </c>
      <c r="G312">
        <v>579.99639999999999</v>
      </c>
      <c r="H312">
        <v>579.39959999999996</v>
      </c>
      <c r="I312">
        <v>243.8117</v>
      </c>
      <c r="J312">
        <v>185.98269999999999</v>
      </c>
      <c r="K312">
        <v>173.01910000000001</v>
      </c>
      <c r="L312">
        <v>637.15340000000003</v>
      </c>
      <c r="M312">
        <v>559.00080000000003</v>
      </c>
      <c r="N312">
        <v>385.86020000000002</v>
      </c>
      <c r="O312">
        <v>424.98739999999998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58.899700000000003</v>
      </c>
      <c r="G313">
        <v>80.134600000000006</v>
      </c>
      <c r="H313">
        <v>75.248500000000007</v>
      </c>
      <c r="I313">
        <v>75.078599999999994</v>
      </c>
      <c r="J313">
        <v>72.597499999999997</v>
      </c>
      <c r="K313">
        <v>78.831000000000003</v>
      </c>
      <c r="L313">
        <v>69.662899999999993</v>
      </c>
      <c r="M313">
        <v>89.535300000000007</v>
      </c>
      <c r="N313">
        <v>133.24299999999999</v>
      </c>
      <c r="O313">
        <v>137.48920000000001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88.043499999999995</v>
      </c>
      <c r="G314">
        <v>107.73139999999999</v>
      </c>
      <c r="H314">
        <v>57.863199999999999</v>
      </c>
      <c r="I314">
        <v>59.679299999999998</v>
      </c>
      <c r="J314">
        <v>68.889899999999997</v>
      </c>
      <c r="K314">
        <v>68.985799999999998</v>
      </c>
      <c r="L314">
        <v>67.906300000000002</v>
      </c>
      <c r="M314">
        <v>66.5685</v>
      </c>
      <c r="N314">
        <v>69.761700000000005</v>
      </c>
      <c r="O314">
        <v>71.938699999999997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37.613700000000001</v>
      </c>
      <c r="G315">
        <v>44.981400000000001</v>
      </c>
      <c r="H315">
        <v>43.4056</v>
      </c>
      <c r="I315">
        <v>42.417099999999998</v>
      </c>
      <c r="J315">
        <v>38.371299999999998</v>
      </c>
      <c r="K315">
        <v>35.067300000000003</v>
      </c>
      <c r="L315">
        <v>44.148699999999998</v>
      </c>
      <c r="M315">
        <v>37.1175</v>
      </c>
      <c r="N315">
        <v>41.406700000000001</v>
      </c>
      <c r="O315">
        <v>61.4495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98.713099999999997</v>
      </c>
      <c r="G316">
        <v>96.031300000000002</v>
      </c>
      <c r="H316">
        <v>95.901300000000006</v>
      </c>
      <c r="I316">
        <v>101.2949</v>
      </c>
      <c r="J316">
        <v>107.63639999999999</v>
      </c>
      <c r="K316">
        <v>104.67</v>
      </c>
      <c r="L316">
        <v>103.1481</v>
      </c>
      <c r="M316">
        <v>112.3836</v>
      </c>
      <c r="N316">
        <v>124.5899</v>
      </c>
      <c r="O316">
        <v>135.23740000000001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227.18780000000001</v>
      </c>
      <c r="G317">
        <v>354.62430000000001</v>
      </c>
      <c r="H317">
        <v>163.4633</v>
      </c>
      <c r="I317">
        <v>246.8845</v>
      </c>
      <c r="J317">
        <v>249.24260000000001</v>
      </c>
      <c r="K317">
        <v>282.94009999999997</v>
      </c>
      <c r="L317">
        <v>272.72359999999998</v>
      </c>
      <c r="M317">
        <v>1173.4564</v>
      </c>
      <c r="N317">
        <v>1469.3515</v>
      </c>
      <c r="O317">
        <v>1508.3641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258.9699</v>
      </c>
      <c r="G318">
        <v>208.3905</v>
      </c>
      <c r="H318">
        <v>236.94200000000001</v>
      </c>
      <c r="I318">
        <v>218.8792</v>
      </c>
      <c r="J318">
        <v>227.6533</v>
      </c>
      <c r="K318">
        <v>192.79730000000001</v>
      </c>
      <c r="L318">
        <v>198.97970000000001</v>
      </c>
      <c r="M318">
        <v>197.16659999999999</v>
      </c>
      <c r="N318">
        <v>123.00709999999999</v>
      </c>
      <c r="O318">
        <v>174.6147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118.098</v>
      </c>
      <c r="G319">
        <v>183.11320000000001</v>
      </c>
      <c r="H319">
        <v>133.93979999999999</v>
      </c>
      <c r="I319">
        <v>127.79219999999999</v>
      </c>
      <c r="J319">
        <v>149.70079999999999</v>
      </c>
      <c r="K319">
        <v>209.59129999999999</v>
      </c>
      <c r="L319">
        <v>278.74059999999997</v>
      </c>
      <c r="M319">
        <v>306.9821</v>
      </c>
      <c r="N319">
        <v>302.60239999999999</v>
      </c>
      <c r="O319">
        <v>310.84230000000002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188.46</v>
      </c>
      <c r="G320">
        <v>630.94830000000002</v>
      </c>
      <c r="H320">
        <v>841.02059999999994</v>
      </c>
      <c r="I320">
        <v>1361.5358000000001</v>
      </c>
      <c r="J320">
        <v>2001.6876</v>
      </c>
      <c r="K320">
        <v>3444.4829</v>
      </c>
      <c r="L320">
        <v>783.6635</v>
      </c>
      <c r="M320">
        <v>665.37450000000001</v>
      </c>
      <c r="N320">
        <v>176.739</v>
      </c>
      <c r="O320">
        <v>141.1232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48.3827</v>
      </c>
      <c r="G322">
        <v>32.217799999999997</v>
      </c>
      <c r="H322">
        <v>137.34460000000001</v>
      </c>
      <c r="I322">
        <v>110.5911</v>
      </c>
      <c r="J322">
        <v>90.528499999999994</v>
      </c>
      <c r="K322">
        <v>99.302400000000006</v>
      </c>
      <c r="L322">
        <v>85.007900000000006</v>
      </c>
      <c r="M322">
        <v>103.7822</v>
      </c>
      <c r="N322">
        <v>90.581699999999998</v>
      </c>
      <c r="O322">
        <v>80.717299999999994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489.20359999999999</v>
      </c>
      <c r="G323">
        <v>466.58390000000003</v>
      </c>
      <c r="H323">
        <v>347.3467</v>
      </c>
      <c r="I323">
        <v>410.0376</v>
      </c>
      <c r="J323">
        <v>422.80259999999998</v>
      </c>
      <c r="K323">
        <v>469.98759999999999</v>
      </c>
      <c r="L323">
        <v>744.0027</v>
      </c>
      <c r="M323">
        <v>1229.1890000000001</v>
      </c>
      <c r="N323">
        <v>1012.0774</v>
      </c>
      <c r="O323">
        <v>678.20799999999997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382.85700000000003</v>
      </c>
      <c r="G324">
        <v>377.5686</v>
      </c>
      <c r="H324">
        <v>410.87060000000002</v>
      </c>
      <c r="I324">
        <v>402.79230000000001</v>
      </c>
      <c r="J324">
        <v>431.34820000000002</v>
      </c>
      <c r="K324">
        <v>451.92259999999999</v>
      </c>
      <c r="L324">
        <v>368.77949999999998</v>
      </c>
      <c r="M324">
        <v>308.91930000000002</v>
      </c>
      <c r="N324">
        <v>225.19470000000001</v>
      </c>
      <c r="O324">
        <v>283.3263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105.1279</v>
      </c>
      <c r="G325">
        <v>102.41759999999999</v>
      </c>
      <c r="H325">
        <v>94.768600000000006</v>
      </c>
      <c r="I325">
        <v>83.29</v>
      </c>
      <c r="J325">
        <v>75.764300000000006</v>
      </c>
      <c r="K325">
        <v>69.813599999999994</v>
      </c>
      <c r="L325">
        <v>79.176599999999993</v>
      </c>
      <c r="M325">
        <v>47.594700000000003</v>
      </c>
      <c r="N325">
        <v>43.860300000000002</v>
      </c>
      <c r="O325">
        <v>33.0456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144.62180000000001</v>
      </c>
      <c r="G326">
        <v>158.494</v>
      </c>
      <c r="H326">
        <v>142.7159</v>
      </c>
      <c r="I326">
        <v>138.08279999999999</v>
      </c>
      <c r="J326">
        <v>130.55369999999999</v>
      </c>
      <c r="K326">
        <v>204.39789999999999</v>
      </c>
      <c r="L326">
        <v>203.54920000000001</v>
      </c>
      <c r="M326">
        <v>156.14240000000001</v>
      </c>
      <c r="N326">
        <v>117.5955</v>
      </c>
      <c r="O326">
        <v>202.10210000000001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1824.9555</v>
      </c>
      <c r="G327">
        <v>3855.7901999999999</v>
      </c>
      <c r="H327">
        <v>3600.2093</v>
      </c>
      <c r="I327">
        <v>3538.7516999999998</v>
      </c>
      <c r="J327">
        <v>4247.9555</v>
      </c>
      <c r="K327">
        <v>3447.9366</v>
      </c>
      <c r="L327">
        <v>4136.8383000000003</v>
      </c>
      <c r="M327">
        <v>2667.9843000000001</v>
      </c>
      <c r="N327">
        <v>5217.3644000000004</v>
      </c>
      <c r="O327">
        <v>7005.0105000000003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454.46179999999998</v>
      </c>
      <c r="G328">
        <v>530.77200000000005</v>
      </c>
      <c r="H328">
        <v>468.49299999999999</v>
      </c>
      <c r="I328">
        <v>386.69560000000001</v>
      </c>
      <c r="J328">
        <v>365.23480000000001</v>
      </c>
      <c r="K328">
        <v>455.97800000000001</v>
      </c>
      <c r="L328">
        <v>351.76069999999999</v>
      </c>
      <c r="M328">
        <v>354.11779999999999</v>
      </c>
      <c r="N328">
        <v>297.49419999999998</v>
      </c>
      <c r="O328">
        <v>235.7346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77.109899999999996</v>
      </c>
      <c r="G329">
        <v>90.886899999999997</v>
      </c>
      <c r="H329">
        <v>96.775700000000001</v>
      </c>
      <c r="I329">
        <v>94.107299999999995</v>
      </c>
      <c r="J329">
        <v>121.646</v>
      </c>
      <c r="K329">
        <v>180.185</v>
      </c>
      <c r="L329">
        <v>150.13210000000001</v>
      </c>
      <c r="M329">
        <v>136.36519999999999</v>
      </c>
      <c r="N329">
        <v>91.886700000000005</v>
      </c>
      <c r="O329">
        <v>115.44929999999999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69.840500000000006</v>
      </c>
      <c r="G330">
        <v>103.4849</v>
      </c>
      <c r="H330">
        <v>105.178</v>
      </c>
      <c r="I330">
        <v>103.4554</v>
      </c>
      <c r="J330">
        <v>103.28149999999999</v>
      </c>
      <c r="K330">
        <v>110.8802</v>
      </c>
      <c r="L330">
        <v>135.23060000000001</v>
      </c>
      <c r="M330">
        <v>107.2591</v>
      </c>
      <c r="N330">
        <v>127.2064</v>
      </c>
      <c r="O330">
        <v>99.484800000000007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157.91739999999999</v>
      </c>
      <c r="G331">
        <v>166.0472</v>
      </c>
      <c r="H331">
        <v>158.61279999999999</v>
      </c>
      <c r="I331">
        <v>154.29730000000001</v>
      </c>
      <c r="J331">
        <v>171.85910000000001</v>
      </c>
      <c r="K331">
        <v>178.6995</v>
      </c>
      <c r="L331">
        <v>168.51840000000001</v>
      </c>
      <c r="M331">
        <v>161.04859999999999</v>
      </c>
      <c r="N331">
        <v>188.3322</v>
      </c>
      <c r="O331">
        <v>114.08110000000001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3492.7948999999999</v>
      </c>
      <c r="G332">
        <v>3146.1961000000001</v>
      </c>
      <c r="H332">
        <v>1224.671</v>
      </c>
      <c r="I332">
        <v>821.04579999999999</v>
      </c>
      <c r="J332">
        <v>745.91390000000001</v>
      </c>
      <c r="K332">
        <v>964.93600000000004</v>
      </c>
      <c r="L332">
        <v>326.01490000000001</v>
      </c>
      <c r="M332">
        <v>2403.3854000000001</v>
      </c>
      <c r="N332">
        <v>5116.5003999999999</v>
      </c>
      <c r="O332">
        <v>150.0926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31856.665000000001</v>
      </c>
      <c r="G333">
        <v>119.5282</v>
      </c>
      <c r="H333">
        <v>13.5457</v>
      </c>
      <c r="I333">
        <v>53.435600000000001</v>
      </c>
      <c r="J333">
        <v>5536.3624</v>
      </c>
      <c r="K333">
        <v>53.900199999999998</v>
      </c>
      <c r="L333">
        <v>451.67149999999998</v>
      </c>
      <c r="M333">
        <v>89.046000000000006</v>
      </c>
      <c r="N333">
        <v>546.62049999999999</v>
      </c>
      <c r="O333">
        <v>29.9236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1606.6690000000001</v>
      </c>
      <c r="G334">
        <v>2246.0212000000001</v>
      </c>
      <c r="H334">
        <v>1767.4358</v>
      </c>
      <c r="I334">
        <v>1768.9657</v>
      </c>
      <c r="J334">
        <v>2061.212</v>
      </c>
      <c r="K334">
        <v>1548.2167999999999</v>
      </c>
      <c r="L334">
        <v>2558.3101000000001</v>
      </c>
      <c r="M334">
        <v>2620.4153999999999</v>
      </c>
      <c r="N334">
        <v>1999.8965000000001</v>
      </c>
      <c r="O334">
        <v>3147.0551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216.76660000000001</v>
      </c>
      <c r="G335">
        <v>427.85140000000001</v>
      </c>
      <c r="H335">
        <v>0</v>
      </c>
      <c r="I335">
        <v>0</v>
      </c>
      <c r="J335">
        <v>0</v>
      </c>
      <c r="K335">
        <v>0</v>
      </c>
      <c r="L335">
        <v>179.16399999999999</v>
      </c>
      <c r="M335">
        <v>8.3783999999999992</v>
      </c>
      <c r="N335">
        <v>369.31119999999999</v>
      </c>
      <c r="O335">
        <v>1905.4979000000001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43.173200000000001</v>
      </c>
      <c r="G336">
        <v>53.927599999999998</v>
      </c>
      <c r="H336">
        <v>51.694600000000001</v>
      </c>
      <c r="I336">
        <v>55.900300000000001</v>
      </c>
      <c r="J336">
        <v>45.8399</v>
      </c>
      <c r="K336">
        <v>43.158099999999997</v>
      </c>
      <c r="L336">
        <v>57.4846</v>
      </c>
      <c r="M336">
        <v>60.531799999999997</v>
      </c>
      <c r="N336">
        <v>50.677300000000002</v>
      </c>
      <c r="O336">
        <v>41.296399999999998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10.0251</v>
      </c>
      <c r="G337">
        <v>3.8759000000000001</v>
      </c>
      <c r="H337">
        <v>10.59</v>
      </c>
      <c r="I337">
        <v>11.351699999999999</v>
      </c>
      <c r="J337">
        <v>27.767399999999999</v>
      </c>
      <c r="K337">
        <v>37.9925</v>
      </c>
      <c r="L337">
        <v>63.279200000000003</v>
      </c>
      <c r="M337">
        <v>40.843600000000002</v>
      </c>
      <c r="N337">
        <v>8.2652999999999999</v>
      </c>
      <c r="O337">
        <v>27.7561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505.12049999999999</v>
      </c>
      <c r="G338">
        <v>556.53110000000004</v>
      </c>
      <c r="H338">
        <v>423.91090000000003</v>
      </c>
      <c r="I338">
        <v>599.47799999999995</v>
      </c>
      <c r="J338">
        <v>653.74990000000003</v>
      </c>
      <c r="K338">
        <v>596.64949999999999</v>
      </c>
      <c r="L338">
        <v>586.31939999999997</v>
      </c>
      <c r="M338">
        <v>521.28980000000001</v>
      </c>
      <c r="N338">
        <v>412.68459999999999</v>
      </c>
      <c r="O338">
        <v>423.12130000000002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52.150599999999997</v>
      </c>
      <c r="G339">
        <v>65.310699999999997</v>
      </c>
      <c r="H339">
        <v>84.905299999999997</v>
      </c>
      <c r="I339">
        <v>72.1357</v>
      </c>
      <c r="J339">
        <v>71.305199999999999</v>
      </c>
      <c r="K339">
        <v>44.6691</v>
      </c>
      <c r="L339">
        <v>98.2607</v>
      </c>
      <c r="M339">
        <v>93.409400000000005</v>
      </c>
      <c r="N339">
        <v>75.811199999999999</v>
      </c>
      <c r="O339">
        <v>74.367400000000004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48.708100000000002</v>
      </c>
      <c r="G340">
        <v>22.070399999999999</v>
      </c>
      <c r="H340">
        <v>15.7683</v>
      </c>
      <c r="I340">
        <v>19.239000000000001</v>
      </c>
      <c r="J340">
        <v>46.0593</v>
      </c>
      <c r="K340">
        <v>145.33099999999999</v>
      </c>
      <c r="L340">
        <v>168.6473</v>
      </c>
      <c r="M340">
        <v>136.18510000000001</v>
      </c>
      <c r="N340">
        <v>100.41930000000001</v>
      </c>
      <c r="O340">
        <v>108.4288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488.22070000000002</v>
      </c>
      <c r="G341">
        <v>624.54939999999999</v>
      </c>
      <c r="H341">
        <v>763.67409999999995</v>
      </c>
      <c r="I341">
        <v>789.72900000000004</v>
      </c>
      <c r="J341">
        <v>824.45460000000003</v>
      </c>
      <c r="K341">
        <v>570.2038</v>
      </c>
      <c r="L341">
        <v>462.54480000000001</v>
      </c>
      <c r="M341">
        <v>423.81909999999999</v>
      </c>
      <c r="N341">
        <v>428.45490000000001</v>
      </c>
      <c r="O341">
        <v>468.39389999999997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171.89840000000001</v>
      </c>
      <c r="G342">
        <v>283.71710000000002</v>
      </c>
      <c r="H342">
        <v>297.20839999999998</v>
      </c>
      <c r="I342">
        <v>258.63339999999999</v>
      </c>
      <c r="J342">
        <v>221.7998</v>
      </c>
      <c r="K342">
        <v>464.35359999999997</v>
      </c>
      <c r="L342">
        <v>332.96719999999999</v>
      </c>
      <c r="M342">
        <v>284.00040000000001</v>
      </c>
      <c r="N342">
        <v>118.51220000000001</v>
      </c>
      <c r="O342">
        <v>134.28819999999999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10407.0471</v>
      </c>
      <c r="G343">
        <v>1393.3593000000001</v>
      </c>
      <c r="H343">
        <v>1693.6772000000001</v>
      </c>
      <c r="I343">
        <v>2989.4848999999999</v>
      </c>
      <c r="J343">
        <v>1276.144</v>
      </c>
      <c r="K343">
        <v>7401.0751</v>
      </c>
      <c r="L343">
        <v>2666.0536999999999</v>
      </c>
      <c r="M343">
        <v>6606.3967000000002</v>
      </c>
      <c r="N343">
        <v>5244.1967999999997</v>
      </c>
      <c r="O343">
        <v>5778.5677999999998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19.634899999999998</v>
      </c>
      <c r="G344">
        <v>16.210100000000001</v>
      </c>
      <c r="H344">
        <v>11.2624</v>
      </c>
      <c r="I344">
        <v>14.8064</v>
      </c>
      <c r="J344">
        <v>12.235099999999999</v>
      </c>
      <c r="K344">
        <v>25.4193</v>
      </c>
      <c r="L344">
        <v>22.695900000000002</v>
      </c>
      <c r="M344">
        <v>22.2379</v>
      </c>
      <c r="N344">
        <v>26.081700000000001</v>
      </c>
      <c r="O344">
        <v>37.854700000000001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24.507300000000001</v>
      </c>
      <c r="G345">
        <v>21.8674</v>
      </c>
      <c r="H345">
        <v>21.388100000000001</v>
      </c>
      <c r="I345">
        <v>17.651399999999999</v>
      </c>
      <c r="J345">
        <v>19.9117</v>
      </c>
      <c r="K345">
        <v>19.773099999999999</v>
      </c>
      <c r="L345">
        <v>30.509499999999999</v>
      </c>
      <c r="M345">
        <v>23.951799999999999</v>
      </c>
      <c r="N345">
        <v>30.827100000000002</v>
      </c>
      <c r="O345">
        <v>31.413900000000002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4.6159999999999997</v>
      </c>
      <c r="G346">
        <v>8.3696999999999999</v>
      </c>
      <c r="H346">
        <v>13.492900000000001</v>
      </c>
      <c r="I346">
        <v>17.0669</v>
      </c>
      <c r="J346">
        <v>29.4788</v>
      </c>
      <c r="K346">
        <v>36.985399999999998</v>
      </c>
      <c r="L346">
        <v>28.560600000000001</v>
      </c>
      <c r="M346">
        <v>10.485099999999999</v>
      </c>
      <c r="N346">
        <v>8.0539000000000005</v>
      </c>
      <c r="O346">
        <v>6.4036999999999997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377.76830000000001</v>
      </c>
      <c r="G347">
        <v>450.85329999999999</v>
      </c>
      <c r="H347">
        <v>398.18810000000002</v>
      </c>
      <c r="I347">
        <v>444.61860000000001</v>
      </c>
      <c r="J347">
        <v>427.0752</v>
      </c>
      <c r="K347">
        <v>472.10649999999998</v>
      </c>
      <c r="L347">
        <v>397.87759999999997</v>
      </c>
      <c r="M347">
        <v>304.38240000000002</v>
      </c>
      <c r="N347">
        <v>260.56</v>
      </c>
      <c r="O347">
        <v>188.83770000000001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157.7388</v>
      </c>
      <c r="G348">
        <v>150.02449999999999</v>
      </c>
      <c r="H348">
        <v>142.85730000000001</v>
      </c>
      <c r="I348">
        <v>121.7557</v>
      </c>
      <c r="J348">
        <v>221.78200000000001</v>
      </c>
      <c r="K348">
        <v>275.34320000000002</v>
      </c>
      <c r="L348">
        <v>249.5934</v>
      </c>
      <c r="M348">
        <v>215.26859999999999</v>
      </c>
      <c r="N348">
        <v>264.12310000000002</v>
      </c>
      <c r="O348">
        <v>265.93880000000001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46.596299999999999</v>
      </c>
      <c r="G349">
        <v>55.037199999999999</v>
      </c>
      <c r="H349">
        <v>73.701700000000002</v>
      </c>
      <c r="I349">
        <v>75.039400000000001</v>
      </c>
      <c r="J349">
        <v>576.98009999999999</v>
      </c>
      <c r="K349">
        <v>863.87959999999998</v>
      </c>
      <c r="L349">
        <v>1075.2873</v>
      </c>
      <c r="M349">
        <v>1427.4929</v>
      </c>
      <c r="N349">
        <v>1942.1869999999999</v>
      </c>
      <c r="O349">
        <v>1730.3646000000001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7.1725000000000003</v>
      </c>
      <c r="I350">
        <v>37.596699999999998</v>
      </c>
      <c r="J350">
        <v>103.90519999999999</v>
      </c>
      <c r="K350">
        <v>48.734200000000001</v>
      </c>
      <c r="L350">
        <v>90.180300000000003</v>
      </c>
      <c r="M350">
        <v>49.077800000000003</v>
      </c>
      <c r="N350">
        <v>55.924900000000001</v>
      </c>
      <c r="O350">
        <v>96.421099999999996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14.8348</v>
      </c>
      <c r="G351">
        <v>43.8444</v>
      </c>
      <c r="H351">
        <v>31.169</v>
      </c>
      <c r="I351">
        <v>24.609200000000001</v>
      </c>
      <c r="J351">
        <v>39.813499999999998</v>
      </c>
      <c r="K351">
        <v>87.320700000000002</v>
      </c>
      <c r="L351">
        <v>67.035899999999998</v>
      </c>
      <c r="M351">
        <v>43.585500000000003</v>
      </c>
      <c r="N351">
        <v>27.700299999999999</v>
      </c>
      <c r="O351">
        <v>20.133400000000002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264.88389999999998</v>
      </c>
      <c r="G352">
        <v>186.25630000000001</v>
      </c>
      <c r="H352">
        <v>232.2594</v>
      </c>
      <c r="I352">
        <v>279.7287</v>
      </c>
      <c r="J352">
        <v>232.12649999999999</v>
      </c>
      <c r="K352">
        <v>200.32480000000001</v>
      </c>
      <c r="L352">
        <v>240.0479</v>
      </c>
      <c r="M352">
        <v>262.71890000000002</v>
      </c>
      <c r="N352">
        <v>352.82580000000002</v>
      </c>
      <c r="O352">
        <v>396.19110000000001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194.6977</v>
      </c>
      <c r="G353">
        <v>187.7388</v>
      </c>
      <c r="H353">
        <v>194.66849999999999</v>
      </c>
      <c r="I353">
        <v>190.95310000000001</v>
      </c>
      <c r="J353">
        <v>149.81989999999999</v>
      </c>
      <c r="K353">
        <v>162.6704</v>
      </c>
      <c r="L353">
        <v>221.28309999999999</v>
      </c>
      <c r="M353">
        <v>189.73400000000001</v>
      </c>
      <c r="N353">
        <v>182.3389</v>
      </c>
      <c r="O353">
        <v>206.5652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15.8223</v>
      </c>
      <c r="G354">
        <v>19.350200000000001</v>
      </c>
      <c r="H354">
        <v>22.192299999999999</v>
      </c>
      <c r="I354">
        <v>29.142700000000001</v>
      </c>
      <c r="J354">
        <v>48.343200000000003</v>
      </c>
      <c r="K354">
        <v>76.473500000000001</v>
      </c>
      <c r="L354">
        <v>132.8562</v>
      </c>
      <c r="M354">
        <v>159.1781</v>
      </c>
      <c r="N354">
        <v>132.68510000000001</v>
      </c>
      <c r="O354">
        <v>100.16800000000001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48.326999999999998</v>
      </c>
      <c r="G355">
        <v>50.3538</v>
      </c>
      <c r="H355">
        <v>56.052700000000002</v>
      </c>
      <c r="I355">
        <v>59.555100000000003</v>
      </c>
      <c r="J355">
        <v>52.069699999999997</v>
      </c>
      <c r="K355">
        <v>49.814100000000003</v>
      </c>
      <c r="L355">
        <v>57.145000000000003</v>
      </c>
      <c r="M355">
        <v>58.771299999999997</v>
      </c>
      <c r="N355">
        <v>51.267200000000003</v>
      </c>
      <c r="O355">
        <v>52.135800000000003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125.54219999999999</v>
      </c>
      <c r="G356">
        <v>148.09110000000001</v>
      </c>
      <c r="H356">
        <v>99.296999999999997</v>
      </c>
      <c r="I356">
        <v>101.4678</v>
      </c>
      <c r="J356">
        <v>117.2901</v>
      </c>
      <c r="K356">
        <v>106.7889</v>
      </c>
      <c r="L356">
        <v>105.4435</v>
      </c>
      <c r="M356">
        <v>83.671800000000005</v>
      </c>
      <c r="N356">
        <v>77.893100000000004</v>
      </c>
      <c r="O356">
        <v>92.782499999999999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191.07220000000001</v>
      </c>
      <c r="G357">
        <v>616.87929999999994</v>
      </c>
      <c r="H357">
        <v>1165.7014999999999</v>
      </c>
      <c r="I357">
        <v>1159.9463000000001</v>
      </c>
      <c r="J357">
        <v>380.79509999999999</v>
      </c>
      <c r="K357">
        <v>990.24109999999996</v>
      </c>
      <c r="L357">
        <v>2855.9162999999999</v>
      </c>
      <c r="M357">
        <v>2136.0974000000001</v>
      </c>
      <c r="N357">
        <v>1643.2728999999999</v>
      </c>
      <c r="O357">
        <v>1344.4788000000001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279.10610000000003</v>
      </c>
      <c r="G358">
        <v>223.9504</v>
      </c>
      <c r="H358">
        <v>219.15199999999999</v>
      </c>
      <c r="I358">
        <v>275.18220000000002</v>
      </c>
      <c r="J358">
        <v>182.0069</v>
      </c>
      <c r="K358">
        <v>167.1481</v>
      </c>
      <c r="L358">
        <v>194.43549999999999</v>
      </c>
      <c r="M358">
        <v>235.91040000000001</v>
      </c>
      <c r="N358">
        <v>321.24099999999999</v>
      </c>
      <c r="O358">
        <v>268.58370000000002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27.148299999999999</v>
      </c>
      <c r="G359">
        <v>32.244900000000001</v>
      </c>
      <c r="H359">
        <v>22.481300000000001</v>
      </c>
      <c r="I359">
        <v>20.033799999999999</v>
      </c>
      <c r="J359">
        <v>30.031199999999998</v>
      </c>
      <c r="K359">
        <v>20.5825</v>
      </c>
      <c r="L359">
        <v>18.587</v>
      </c>
      <c r="M359">
        <v>22.119199999999999</v>
      </c>
      <c r="N359">
        <v>21.0776</v>
      </c>
      <c r="O359">
        <v>25.761399999999998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81.733699999999999</v>
      </c>
      <c r="G360">
        <v>88.513499999999993</v>
      </c>
      <c r="H360">
        <v>69.103099999999998</v>
      </c>
      <c r="I360">
        <v>66.851299999999995</v>
      </c>
      <c r="J360">
        <v>65.986000000000004</v>
      </c>
      <c r="K360">
        <v>99.574700000000007</v>
      </c>
      <c r="L360">
        <v>82.767700000000005</v>
      </c>
      <c r="M360">
        <v>46.704300000000003</v>
      </c>
      <c r="N360">
        <v>903.14110000000005</v>
      </c>
      <c r="O360">
        <v>89.663200000000003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200.00919999999999</v>
      </c>
      <c r="G361">
        <v>196.86080000000001</v>
      </c>
      <c r="H361">
        <v>196.82259999999999</v>
      </c>
      <c r="I361">
        <v>188.66210000000001</v>
      </c>
      <c r="J361">
        <v>169.9855</v>
      </c>
      <c r="K361">
        <v>267.67579999999998</v>
      </c>
      <c r="L361">
        <v>267.37979999999999</v>
      </c>
      <c r="M361">
        <v>188.1619</v>
      </c>
      <c r="N361">
        <v>127.6686</v>
      </c>
      <c r="O361">
        <v>121.3006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85.339799999999997</v>
      </c>
      <c r="G362">
        <v>67.259100000000004</v>
      </c>
      <c r="H362">
        <v>56.830199999999998</v>
      </c>
      <c r="J362">
        <v>79.549099999999996</v>
      </c>
      <c r="K362">
        <v>230.31120000000001</v>
      </c>
      <c r="L362">
        <v>301.6961</v>
      </c>
      <c r="M362">
        <v>37.7515</v>
      </c>
      <c r="N362">
        <v>1.9483999999999999</v>
      </c>
      <c r="O362">
        <v>11.526199999999999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186.3049</v>
      </c>
      <c r="G363">
        <v>183.3365</v>
      </c>
      <c r="H363">
        <v>148.35159999999999</v>
      </c>
      <c r="I363">
        <v>159.1721</v>
      </c>
      <c r="J363">
        <v>146.90469999999999</v>
      </c>
      <c r="K363">
        <v>107.8158</v>
      </c>
      <c r="L363">
        <v>88.751999999999995</v>
      </c>
      <c r="M363">
        <v>92.6751</v>
      </c>
      <c r="N363">
        <v>112.9366</v>
      </c>
      <c r="O363">
        <v>90.157200000000003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9.7678999999999991</v>
      </c>
      <c r="G364">
        <v>27.405799999999999</v>
      </c>
      <c r="H364">
        <v>269.30250000000001</v>
      </c>
      <c r="I364">
        <v>68.821700000000007</v>
      </c>
      <c r="J364">
        <v>54.9176</v>
      </c>
      <c r="K364">
        <v>69.892899999999997</v>
      </c>
      <c r="L364">
        <v>100.3676</v>
      </c>
      <c r="M364">
        <v>98.184799999999996</v>
      </c>
      <c r="N364">
        <v>128.83070000000001</v>
      </c>
      <c r="O364">
        <v>100.38379999999999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69.822999999999993</v>
      </c>
      <c r="G365">
        <v>105.89279999999999</v>
      </c>
      <c r="H365">
        <v>100.9147</v>
      </c>
      <c r="I365">
        <v>128.33349999999999</v>
      </c>
      <c r="J365">
        <v>127.5639</v>
      </c>
      <c r="K365">
        <v>189.3202</v>
      </c>
      <c r="L365">
        <v>308.27390000000003</v>
      </c>
      <c r="M365">
        <v>220.8492</v>
      </c>
      <c r="N365">
        <v>193.7045</v>
      </c>
      <c r="O365">
        <v>155.87950000000001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16.440999999999999</v>
      </c>
      <c r="G366">
        <v>15.9534</v>
      </c>
      <c r="H366">
        <v>24.177</v>
      </c>
      <c r="I366">
        <v>16.644600000000001</v>
      </c>
      <c r="J366">
        <v>29.789899999999999</v>
      </c>
      <c r="K366">
        <v>26.578099999999999</v>
      </c>
      <c r="L366">
        <v>18.5837</v>
      </c>
      <c r="M366">
        <v>26.155200000000001</v>
      </c>
      <c r="N366">
        <v>34.084600000000002</v>
      </c>
      <c r="O366">
        <v>46.644500000000001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27.704699999999999</v>
      </c>
      <c r="G367">
        <v>27.282699999999998</v>
      </c>
      <c r="H367">
        <v>27.196000000000002</v>
      </c>
      <c r="I367">
        <v>24.8538</v>
      </c>
      <c r="J367">
        <v>17.523800000000001</v>
      </c>
      <c r="K367">
        <v>16.965399999999999</v>
      </c>
      <c r="L367">
        <v>20.462499999999999</v>
      </c>
      <c r="M367">
        <v>23.737200000000001</v>
      </c>
      <c r="N367">
        <v>21.353200000000001</v>
      </c>
      <c r="O367">
        <v>24.834199999999999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39.828899999999997</v>
      </c>
      <c r="G368">
        <v>54.3992</v>
      </c>
      <c r="H368">
        <v>50.810600000000001</v>
      </c>
      <c r="I368">
        <v>57.3001</v>
      </c>
      <c r="J368">
        <v>64.522900000000007</v>
      </c>
      <c r="K368">
        <v>54.2256</v>
      </c>
      <c r="L368">
        <v>69.515199999999993</v>
      </c>
      <c r="M368">
        <v>67.524199999999993</v>
      </c>
      <c r="N368">
        <v>41.714100000000002</v>
      </c>
      <c r="O368">
        <v>43.311799999999998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277.76760000000002</v>
      </c>
      <c r="K369">
        <v>290.1123</v>
      </c>
      <c r="L369">
        <v>334.37450000000001</v>
      </c>
      <c r="M369">
        <v>296.07089999999999</v>
      </c>
      <c r="N369">
        <v>362.40039999999999</v>
      </c>
      <c r="O369">
        <v>363.18169999999998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64.579400000000007</v>
      </c>
      <c r="G370">
        <v>105.4114</v>
      </c>
      <c r="H370">
        <v>97.020899999999997</v>
      </c>
      <c r="I370">
        <v>109.3417</v>
      </c>
      <c r="J370">
        <v>131.0138</v>
      </c>
      <c r="K370">
        <v>130.77869999999999</v>
      </c>
      <c r="L370">
        <v>184.02590000000001</v>
      </c>
      <c r="M370">
        <v>153.82400000000001</v>
      </c>
      <c r="N370">
        <v>190.1028</v>
      </c>
      <c r="O370">
        <v>203.10050000000001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173.6782</v>
      </c>
      <c r="G371">
        <v>285.08330000000001</v>
      </c>
      <c r="H371">
        <v>476.83879999999999</v>
      </c>
      <c r="I371">
        <v>547.40269999999998</v>
      </c>
      <c r="J371">
        <v>311.31920000000002</v>
      </c>
      <c r="K371">
        <v>401.91849999999999</v>
      </c>
      <c r="L371">
        <v>378.5444</v>
      </c>
      <c r="M371">
        <v>546.20830000000001</v>
      </c>
      <c r="N371">
        <v>458.56490000000002</v>
      </c>
      <c r="O371">
        <v>465.57350000000002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276.39240000000001</v>
      </c>
      <c r="G372">
        <v>284.60660000000001</v>
      </c>
      <c r="H372">
        <v>265.57929999999999</v>
      </c>
      <c r="I372">
        <v>257.6345</v>
      </c>
      <c r="J372">
        <v>271.51940000000002</v>
      </c>
      <c r="K372">
        <v>478.54349999999999</v>
      </c>
      <c r="L372">
        <v>483.70229999999998</v>
      </c>
      <c r="M372">
        <v>525.48800000000006</v>
      </c>
      <c r="N372">
        <v>470.54669999999999</v>
      </c>
      <c r="O372">
        <v>341.83539999999999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40.146500000000003</v>
      </c>
      <c r="G373">
        <v>39.230899999999998</v>
      </c>
      <c r="H373">
        <v>34.470500000000001</v>
      </c>
      <c r="I373">
        <v>42.057699999999997</v>
      </c>
      <c r="J373">
        <v>37.782400000000003</v>
      </c>
      <c r="K373">
        <v>30.519600000000001</v>
      </c>
      <c r="L373">
        <v>39.662999999999997</v>
      </c>
      <c r="M373">
        <v>35.823900000000002</v>
      </c>
      <c r="N373">
        <v>31.5063</v>
      </c>
      <c r="O373">
        <v>37.892600000000002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1606.2764999999999</v>
      </c>
      <c r="G374">
        <v>2094.3975</v>
      </c>
      <c r="H374">
        <v>1243.3077000000001</v>
      </c>
      <c r="I374">
        <v>984.74270000000001</v>
      </c>
      <c r="J374">
        <v>976.92520000000002</v>
      </c>
      <c r="K374">
        <v>1068.2729999999999</v>
      </c>
      <c r="L374">
        <v>875.73620000000005</v>
      </c>
      <c r="M374">
        <v>724.97990000000004</v>
      </c>
      <c r="N374">
        <v>585.05150000000003</v>
      </c>
      <c r="O374">
        <v>553.99480000000005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177.12110000000001</v>
      </c>
      <c r="G375">
        <v>182.76320000000001</v>
      </c>
      <c r="H375">
        <v>120.0202</v>
      </c>
      <c r="I375">
        <v>144.40180000000001</v>
      </c>
      <c r="J375">
        <v>147.13890000000001</v>
      </c>
      <c r="K375">
        <v>118.69240000000001</v>
      </c>
      <c r="L375">
        <v>89.332800000000006</v>
      </c>
      <c r="M375">
        <v>89.631100000000004</v>
      </c>
      <c r="N375">
        <v>99.941900000000004</v>
      </c>
      <c r="O375">
        <v>101.9396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141.94919999999999</v>
      </c>
      <c r="G376">
        <v>126.62860000000001</v>
      </c>
      <c r="H376">
        <v>130.7381</v>
      </c>
      <c r="I376">
        <v>128.38390000000001</v>
      </c>
      <c r="J376">
        <v>147.55690000000001</v>
      </c>
      <c r="K376">
        <v>157.25819999999999</v>
      </c>
      <c r="L376">
        <v>170.23159999999999</v>
      </c>
      <c r="M376">
        <v>173.1874</v>
      </c>
      <c r="N376">
        <v>170.19300000000001</v>
      </c>
      <c r="O376">
        <v>170.1225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146.9922</v>
      </c>
      <c r="G377">
        <v>155.6687</v>
      </c>
      <c r="H377">
        <v>153.39949999999999</v>
      </c>
      <c r="I377">
        <v>130.6771</v>
      </c>
      <c r="J377">
        <v>115.94370000000001</v>
      </c>
      <c r="K377">
        <v>126.8926</v>
      </c>
      <c r="L377">
        <v>114.7728</v>
      </c>
      <c r="M377">
        <v>115.196</v>
      </c>
      <c r="N377">
        <v>95.279499999999999</v>
      </c>
      <c r="O377">
        <v>108.02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35.765000000000001</v>
      </c>
      <c r="G378">
        <v>41.511200000000002</v>
      </c>
      <c r="H378">
        <v>43.381900000000002</v>
      </c>
      <c r="I378">
        <v>61.322699999999998</v>
      </c>
      <c r="J378">
        <v>46.262300000000003</v>
      </c>
      <c r="K378">
        <v>58.494300000000003</v>
      </c>
      <c r="L378">
        <v>73.198400000000007</v>
      </c>
      <c r="M378">
        <v>68.958299999999994</v>
      </c>
      <c r="N378">
        <v>78.908299999999997</v>
      </c>
      <c r="O378">
        <v>92.142200000000003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1.0438000000000001</v>
      </c>
      <c r="G379">
        <v>0.63009999999999999</v>
      </c>
      <c r="H379">
        <v>0.31759999999999999</v>
      </c>
      <c r="I379">
        <v>0.51539999999999997</v>
      </c>
      <c r="J379">
        <v>0.37509999999999999</v>
      </c>
      <c r="K379">
        <v>1.0868</v>
      </c>
      <c r="L379">
        <v>0.47120000000000001</v>
      </c>
      <c r="M379">
        <v>0.71450000000000002</v>
      </c>
      <c r="N379">
        <v>3.4424000000000001</v>
      </c>
      <c r="O379">
        <v>4.9146999999999998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6.9493999999999998</v>
      </c>
      <c r="G380">
        <v>23.657499999999999</v>
      </c>
      <c r="H380">
        <v>33.082299999999996</v>
      </c>
      <c r="I380">
        <v>62.455399999999997</v>
      </c>
      <c r="J380">
        <v>58.553800000000003</v>
      </c>
      <c r="K380">
        <v>63.4345</v>
      </c>
      <c r="L380">
        <v>119.9359</v>
      </c>
      <c r="M380">
        <v>71.445400000000006</v>
      </c>
      <c r="N380">
        <v>48.215600000000002</v>
      </c>
      <c r="O380">
        <v>36.328000000000003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237.32480000000001</v>
      </c>
      <c r="G381">
        <v>314.25110000000001</v>
      </c>
      <c r="H381">
        <v>271.67599999999999</v>
      </c>
      <c r="I381">
        <v>314.7097</v>
      </c>
      <c r="J381">
        <v>418.9538</v>
      </c>
      <c r="K381">
        <v>550.01859999999999</v>
      </c>
      <c r="L381">
        <v>543.98609999999996</v>
      </c>
      <c r="M381">
        <v>458.00049999999999</v>
      </c>
      <c r="N381">
        <v>472.0394</v>
      </c>
      <c r="O381">
        <v>405.66410000000002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110.2163</v>
      </c>
      <c r="G382">
        <v>105.97029999999999</v>
      </c>
      <c r="H382">
        <v>105.2226</v>
      </c>
      <c r="I382">
        <v>112.7542</v>
      </c>
      <c r="J382">
        <v>108.2004</v>
      </c>
      <c r="K382">
        <v>101.72629999999999</v>
      </c>
      <c r="L382">
        <v>90.419200000000004</v>
      </c>
      <c r="M382">
        <v>133.79150000000001</v>
      </c>
      <c r="N382">
        <v>92.646799999999999</v>
      </c>
      <c r="O382">
        <v>99.776899999999998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57.136000000000003</v>
      </c>
      <c r="G383">
        <v>72.068299999999994</v>
      </c>
      <c r="H383">
        <v>57.525599999999997</v>
      </c>
      <c r="I383">
        <v>64.06</v>
      </c>
      <c r="J383">
        <v>44.552300000000002</v>
      </c>
      <c r="K383">
        <v>44.3508</v>
      </c>
      <c r="L383">
        <v>52.111400000000003</v>
      </c>
      <c r="M383">
        <v>57.672400000000003</v>
      </c>
      <c r="N383">
        <v>49.787399999999998</v>
      </c>
      <c r="O383">
        <v>79.491200000000006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152.6747</v>
      </c>
      <c r="G384">
        <v>225.09739999999999</v>
      </c>
      <c r="H384">
        <v>263.41079999999999</v>
      </c>
      <c r="I384">
        <v>217.05099999999999</v>
      </c>
      <c r="J384">
        <v>164.82730000000001</v>
      </c>
      <c r="K384">
        <v>187.69479999999999</v>
      </c>
      <c r="L384">
        <v>251.5444</v>
      </c>
      <c r="M384">
        <v>213.02289999999999</v>
      </c>
      <c r="N384">
        <v>202.67019999999999</v>
      </c>
      <c r="O384">
        <v>238.88800000000001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30.775300000000001</v>
      </c>
      <c r="G385">
        <v>70.609800000000007</v>
      </c>
      <c r="H385">
        <v>48.045200000000001</v>
      </c>
      <c r="I385">
        <v>38.825899999999997</v>
      </c>
      <c r="J385">
        <v>33.113799999999998</v>
      </c>
      <c r="K385">
        <v>26.099900000000002</v>
      </c>
      <c r="L385">
        <v>25.818899999999999</v>
      </c>
      <c r="M385">
        <v>54.947200000000002</v>
      </c>
      <c r="N385">
        <v>20.1891</v>
      </c>
      <c r="O385">
        <v>25.194500000000001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142.11250000000001</v>
      </c>
      <c r="G386">
        <v>147.2706</v>
      </c>
      <c r="H386">
        <v>63.446199999999997</v>
      </c>
      <c r="I386">
        <v>17.595099999999999</v>
      </c>
      <c r="J386">
        <v>38.8658</v>
      </c>
      <c r="K386">
        <v>39.419499999999999</v>
      </c>
      <c r="L386">
        <v>107.0286</v>
      </c>
      <c r="M386">
        <v>188.47499999999999</v>
      </c>
      <c r="N386">
        <v>138.68960000000001</v>
      </c>
      <c r="O386">
        <v>142.96789999999999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166.73570000000001</v>
      </c>
      <c r="G387">
        <v>425.4871</v>
      </c>
      <c r="H387">
        <v>717.72090000000003</v>
      </c>
      <c r="I387">
        <v>536.43050000000005</v>
      </c>
      <c r="J387">
        <v>431.17509999999999</v>
      </c>
      <c r="K387">
        <v>1635.0781999999999</v>
      </c>
      <c r="L387">
        <v>1760.4003</v>
      </c>
      <c r="M387">
        <v>1277.7025000000001</v>
      </c>
      <c r="N387">
        <v>1018.6006</v>
      </c>
      <c r="O387">
        <v>1100.5694000000001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3774.9020999999998</v>
      </c>
      <c r="G388">
        <v>2181.6127999999999</v>
      </c>
      <c r="H388">
        <v>1843.5878</v>
      </c>
      <c r="I388">
        <v>2809.1223</v>
      </c>
      <c r="J388">
        <v>2518.837</v>
      </c>
      <c r="K388">
        <v>2605.373</v>
      </c>
      <c r="L388">
        <v>1435.4143999999999</v>
      </c>
      <c r="M388">
        <v>173.3014</v>
      </c>
      <c r="N388">
        <v>182.77019999999999</v>
      </c>
      <c r="O388">
        <v>164.8458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520.00099999999998</v>
      </c>
      <c r="G389">
        <v>521.79190000000006</v>
      </c>
      <c r="H389">
        <v>520.3116</v>
      </c>
      <c r="I389">
        <v>462.9393</v>
      </c>
      <c r="J389">
        <v>585.53120000000001</v>
      </c>
      <c r="K389">
        <v>515.43830000000003</v>
      </c>
      <c r="L389">
        <v>654.85350000000005</v>
      </c>
      <c r="M389">
        <v>1043.6787999999999</v>
      </c>
      <c r="N389">
        <v>870.85580000000004</v>
      </c>
      <c r="O389">
        <v>726.70389999999998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149.91399999999999</v>
      </c>
      <c r="G390">
        <v>189.63820000000001</v>
      </c>
      <c r="H390">
        <v>121.2445</v>
      </c>
      <c r="I390">
        <v>134.5223</v>
      </c>
      <c r="J390">
        <v>135.83600000000001</v>
      </c>
      <c r="K390">
        <v>151.56190000000001</v>
      </c>
      <c r="L390">
        <v>117.8913</v>
      </c>
      <c r="M390">
        <v>144.73920000000001</v>
      </c>
      <c r="N390">
        <v>143.04310000000001</v>
      </c>
      <c r="O390">
        <v>189.29640000000001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100.98309999999999</v>
      </c>
      <c r="G391">
        <v>100.8266</v>
      </c>
      <c r="H391">
        <v>96.626900000000006</v>
      </c>
      <c r="I391">
        <v>83.907300000000006</v>
      </c>
      <c r="J391">
        <v>70.0916</v>
      </c>
      <c r="K391">
        <v>77.539100000000005</v>
      </c>
      <c r="L391">
        <v>81.040700000000001</v>
      </c>
      <c r="M391">
        <v>78.397000000000006</v>
      </c>
      <c r="N391">
        <v>57.197099999999999</v>
      </c>
      <c r="O391">
        <v>67.762900000000002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104.40519999999999</v>
      </c>
      <c r="G392">
        <v>83.335999999999999</v>
      </c>
      <c r="H392">
        <v>106.1968</v>
      </c>
      <c r="I392">
        <v>138.32050000000001</v>
      </c>
      <c r="J392">
        <v>121.18089999999999</v>
      </c>
      <c r="K392">
        <v>143.9314</v>
      </c>
      <c r="L392">
        <v>85.770300000000006</v>
      </c>
      <c r="M392">
        <v>98.891000000000005</v>
      </c>
      <c r="N392">
        <v>130.4246</v>
      </c>
      <c r="O392">
        <v>107.87220000000001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66.424899999999994</v>
      </c>
      <c r="G393">
        <v>118.38290000000001</v>
      </c>
      <c r="H393">
        <v>117.63030000000001</v>
      </c>
      <c r="I393">
        <v>106.0699</v>
      </c>
      <c r="J393">
        <v>103.4092</v>
      </c>
      <c r="K393">
        <v>160.43299999999999</v>
      </c>
      <c r="L393">
        <v>154.91810000000001</v>
      </c>
      <c r="M393">
        <v>171.95099999999999</v>
      </c>
      <c r="N393">
        <v>165.892</v>
      </c>
      <c r="O393">
        <v>195.89779999999999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110.02889999999999</v>
      </c>
      <c r="G394">
        <v>255.2944</v>
      </c>
      <c r="H394">
        <v>136.6634</v>
      </c>
      <c r="I394">
        <v>220.06989999999999</v>
      </c>
      <c r="J394">
        <v>250.34710000000001</v>
      </c>
      <c r="K394">
        <v>208.17529999999999</v>
      </c>
      <c r="L394">
        <v>291.35090000000002</v>
      </c>
      <c r="M394">
        <v>509.10649999999998</v>
      </c>
      <c r="N394">
        <v>297.8109</v>
      </c>
      <c r="O394">
        <v>208.81129999999999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49.777500000000003</v>
      </c>
      <c r="G395">
        <v>186.363</v>
      </c>
      <c r="H395">
        <v>307.83550000000002</v>
      </c>
      <c r="I395">
        <v>367.02690000000001</v>
      </c>
      <c r="J395">
        <v>523.23180000000002</v>
      </c>
      <c r="K395">
        <v>681.50710000000004</v>
      </c>
      <c r="L395">
        <v>676.1386</v>
      </c>
      <c r="M395">
        <v>637.95429999999999</v>
      </c>
      <c r="N395">
        <v>660.45799999999997</v>
      </c>
      <c r="O395">
        <v>624.85050000000001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57.076099999999997</v>
      </c>
      <c r="G396">
        <v>55.102800000000002</v>
      </c>
      <c r="H396">
        <v>94.534199999999998</v>
      </c>
      <c r="I396">
        <v>122.9862</v>
      </c>
      <c r="J396">
        <v>108.43600000000001</v>
      </c>
      <c r="K396">
        <v>64.0167</v>
      </c>
      <c r="L396">
        <v>109.4089</v>
      </c>
      <c r="M396">
        <v>102.80029999999999</v>
      </c>
      <c r="N396">
        <v>102.0295</v>
      </c>
      <c r="O396">
        <v>93.469300000000004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124.11320000000001</v>
      </c>
      <c r="G397">
        <v>114.0746</v>
      </c>
      <c r="H397">
        <v>111.2454</v>
      </c>
      <c r="I397">
        <v>115.5029</v>
      </c>
      <c r="J397">
        <v>105.60769999999999</v>
      </c>
      <c r="K397">
        <v>98.094099999999997</v>
      </c>
      <c r="L397">
        <v>99.4846</v>
      </c>
      <c r="M397">
        <v>103.74460000000001</v>
      </c>
      <c r="N397">
        <v>117.57989999999999</v>
      </c>
      <c r="O397">
        <v>107.56529999999999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77.767700000000005</v>
      </c>
      <c r="G398">
        <v>91.895700000000005</v>
      </c>
      <c r="H398">
        <v>105.67100000000001</v>
      </c>
      <c r="I398">
        <v>90.805400000000006</v>
      </c>
      <c r="J398">
        <v>88.448899999999995</v>
      </c>
      <c r="K398">
        <v>101.4645</v>
      </c>
      <c r="L398">
        <v>110.361</v>
      </c>
      <c r="M398">
        <v>111.7055</v>
      </c>
      <c r="N398">
        <v>116.25539999999999</v>
      </c>
      <c r="O398">
        <v>122.8339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144.0412</v>
      </c>
      <c r="G399">
        <v>133.05170000000001</v>
      </c>
      <c r="H399">
        <v>122.426</v>
      </c>
      <c r="I399">
        <v>134.55240000000001</v>
      </c>
      <c r="J399">
        <v>226.01589999999999</v>
      </c>
      <c r="K399">
        <v>164.35839999999999</v>
      </c>
      <c r="L399">
        <v>99.551100000000005</v>
      </c>
      <c r="M399">
        <v>83.037999999999997</v>
      </c>
      <c r="N399">
        <v>92.6404</v>
      </c>
      <c r="O399">
        <v>84.749099999999999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227.74690000000001</v>
      </c>
      <c r="G400">
        <v>202.46209999999999</v>
      </c>
      <c r="H400">
        <v>155.929</v>
      </c>
      <c r="I400">
        <v>153.07550000000001</v>
      </c>
      <c r="J400">
        <v>171.07</v>
      </c>
      <c r="K400">
        <v>131.32409999999999</v>
      </c>
      <c r="L400">
        <v>93.765000000000001</v>
      </c>
      <c r="M400">
        <v>100.9782</v>
      </c>
      <c r="N400">
        <v>100.7726</v>
      </c>
      <c r="O400">
        <v>106.8866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19.576899999999998</v>
      </c>
      <c r="G401">
        <v>30.062999999999999</v>
      </c>
      <c r="H401">
        <v>30.941800000000001</v>
      </c>
      <c r="I401">
        <v>31.322299999999998</v>
      </c>
      <c r="J401">
        <v>31.113399999999999</v>
      </c>
      <c r="K401">
        <v>34.407499999999999</v>
      </c>
      <c r="L401">
        <v>36.220399999999998</v>
      </c>
      <c r="M401">
        <v>41.439700000000002</v>
      </c>
      <c r="N401">
        <v>99.7714</v>
      </c>
      <c r="O401">
        <v>82.539000000000001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2870.8856999999998</v>
      </c>
      <c r="H402">
        <v>2623.2062999999998</v>
      </c>
      <c r="I402">
        <v>3198.2633999999998</v>
      </c>
      <c r="J402">
        <v>1526.5722000000001</v>
      </c>
      <c r="K402">
        <v>523.71029999999996</v>
      </c>
      <c r="L402">
        <v>947.07249999999999</v>
      </c>
      <c r="M402">
        <v>2526.1657</v>
      </c>
      <c r="N402">
        <v>751.82330000000002</v>
      </c>
      <c r="O402">
        <v>793.17169999999999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79.633899999999997</v>
      </c>
      <c r="G403">
        <v>91.869100000000003</v>
      </c>
      <c r="H403">
        <v>68.563500000000005</v>
      </c>
      <c r="I403">
        <v>46.713999999999999</v>
      </c>
      <c r="J403">
        <v>57.338700000000003</v>
      </c>
      <c r="K403">
        <v>72.017200000000003</v>
      </c>
      <c r="L403">
        <v>49.589100000000002</v>
      </c>
      <c r="M403">
        <v>40.664099999999998</v>
      </c>
      <c r="N403">
        <v>35.526800000000001</v>
      </c>
      <c r="O403">
        <v>48.354599999999998</v>
      </c>
      <c r="P403">
        <v>1252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75.761099999999999</v>
      </c>
      <c r="G404">
        <v>81.648799999999994</v>
      </c>
      <c r="H404">
        <v>87.979200000000006</v>
      </c>
      <c r="I404">
        <v>100.12220000000001</v>
      </c>
      <c r="J404">
        <v>101.8434</v>
      </c>
      <c r="K404">
        <v>127.15519999999999</v>
      </c>
      <c r="L404">
        <v>137.67660000000001</v>
      </c>
      <c r="M404">
        <v>149.14189999999999</v>
      </c>
      <c r="N404">
        <v>150.96510000000001</v>
      </c>
      <c r="O404">
        <v>140.6969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279.52</v>
      </c>
      <c r="G405">
        <v>364.36829999999998</v>
      </c>
      <c r="H405">
        <v>396.72109999999998</v>
      </c>
      <c r="I405">
        <v>388.30279999999999</v>
      </c>
      <c r="J405">
        <v>274.14460000000003</v>
      </c>
      <c r="K405">
        <v>318.79410000000001</v>
      </c>
      <c r="L405">
        <v>229.33750000000001</v>
      </c>
      <c r="M405">
        <v>238.15889999999999</v>
      </c>
      <c r="N405">
        <v>239.41909999999999</v>
      </c>
      <c r="O405">
        <v>202.81319999999999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126.5201</v>
      </c>
      <c r="G406">
        <v>164.45840000000001</v>
      </c>
      <c r="H406">
        <v>167.71770000000001</v>
      </c>
      <c r="I406">
        <v>169.36080000000001</v>
      </c>
      <c r="J406">
        <v>158.38759999999999</v>
      </c>
      <c r="K406">
        <v>180.75909999999999</v>
      </c>
      <c r="L406">
        <v>60.333500000000001</v>
      </c>
      <c r="M406">
        <v>61.806899999999999</v>
      </c>
      <c r="N406">
        <v>67.093299999999999</v>
      </c>
      <c r="O406">
        <v>51.093699999999998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64.794700000000006</v>
      </c>
      <c r="G407">
        <v>61.284199999999998</v>
      </c>
      <c r="H407">
        <v>24.330200000000001</v>
      </c>
      <c r="I407">
        <v>26.9345</v>
      </c>
      <c r="J407">
        <v>57.028599999999997</v>
      </c>
      <c r="K407">
        <v>75.577399999999997</v>
      </c>
      <c r="L407">
        <v>92.307500000000005</v>
      </c>
      <c r="M407">
        <v>52.578000000000003</v>
      </c>
      <c r="N407">
        <v>63.717799999999997</v>
      </c>
      <c r="O407">
        <v>149.3407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10.450200000000001</v>
      </c>
      <c r="G408">
        <v>376.11410000000001</v>
      </c>
      <c r="H408">
        <v>341.01299999999998</v>
      </c>
      <c r="I408">
        <v>353.6438</v>
      </c>
      <c r="J408">
        <v>412.15019999999998</v>
      </c>
      <c r="K408">
        <v>474.1413</v>
      </c>
      <c r="L408">
        <v>414.12329999999997</v>
      </c>
      <c r="M408">
        <v>363.15280000000001</v>
      </c>
      <c r="N408">
        <v>288.25049999999999</v>
      </c>
      <c r="O408">
        <v>216.9872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122.58580000000001</v>
      </c>
      <c r="G409">
        <v>156.2748</v>
      </c>
      <c r="H409">
        <v>120.5318</v>
      </c>
      <c r="I409">
        <v>128.00909999999999</v>
      </c>
      <c r="J409">
        <v>116.464</v>
      </c>
      <c r="K409">
        <v>130.0247</v>
      </c>
      <c r="L409">
        <v>132.3476</v>
      </c>
      <c r="M409">
        <v>165.0772</v>
      </c>
      <c r="N409">
        <v>140.63130000000001</v>
      </c>
      <c r="O409">
        <v>140.8818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421.53719999999998</v>
      </c>
      <c r="G410">
        <v>284.46660000000003</v>
      </c>
      <c r="H410">
        <v>284.24180000000001</v>
      </c>
      <c r="I410">
        <v>289.71159999999998</v>
      </c>
      <c r="J410">
        <v>261.48149999999998</v>
      </c>
      <c r="K410">
        <v>384.72609999999997</v>
      </c>
      <c r="L410">
        <v>204.7861</v>
      </c>
      <c r="M410">
        <v>125.5078</v>
      </c>
      <c r="N410">
        <v>114.8096</v>
      </c>
      <c r="O410">
        <v>85.0441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51.883200000000002</v>
      </c>
      <c r="G411">
        <v>185.83959999999999</v>
      </c>
      <c r="H411">
        <v>312.709</v>
      </c>
      <c r="I411">
        <v>334.92579999999998</v>
      </c>
      <c r="J411">
        <v>360.66090000000003</v>
      </c>
      <c r="K411">
        <v>460.4128</v>
      </c>
      <c r="L411">
        <v>368.2946</v>
      </c>
      <c r="M411">
        <v>352.55119999999999</v>
      </c>
      <c r="N411">
        <v>275.49020000000002</v>
      </c>
      <c r="O411">
        <v>266.54109999999997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38.888300000000001</v>
      </c>
      <c r="G412">
        <v>51.627299999999998</v>
      </c>
      <c r="H412">
        <v>59.692900000000002</v>
      </c>
      <c r="I412">
        <v>53.102200000000003</v>
      </c>
      <c r="J412">
        <v>60.341900000000003</v>
      </c>
      <c r="K412">
        <v>73.062200000000004</v>
      </c>
      <c r="L412">
        <v>52.712699999999998</v>
      </c>
      <c r="M412">
        <v>43.709400000000002</v>
      </c>
      <c r="N412">
        <v>36.913800000000002</v>
      </c>
      <c r="O412">
        <v>76.795599999999993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337.79070000000002</v>
      </c>
      <c r="G413">
        <v>305.59570000000002</v>
      </c>
      <c r="H413">
        <v>266.36750000000001</v>
      </c>
      <c r="I413">
        <v>287.53800000000001</v>
      </c>
      <c r="J413">
        <v>325.51710000000003</v>
      </c>
      <c r="K413">
        <v>338.79259999999999</v>
      </c>
      <c r="L413">
        <v>331.26319999999998</v>
      </c>
      <c r="M413">
        <v>290.75549999999998</v>
      </c>
      <c r="N413">
        <v>273.31729999999999</v>
      </c>
      <c r="O413">
        <v>325.52420000000001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196.86369999999999</v>
      </c>
      <c r="G414">
        <v>241.81049999999999</v>
      </c>
      <c r="H414">
        <v>216.31899999999999</v>
      </c>
      <c r="I414">
        <v>198.88059999999999</v>
      </c>
      <c r="J414">
        <v>168.7336</v>
      </c>
      <c r="K414">
        <v>165.8066</v>
      </c>
      <c r="L414">
        <v>181.69159999999999</v>
      </c>
      <c r="M414">
        <v>169.9195</v>
      </c>
      <c r="N414">
        <v>170.9641</v>
      </c>
      <c r="O414">
        <v>206.87809999999999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51.603999999999999</v>
      </c>
      <c r="G415">
        <v>71.702699999999993</v>
      </c>
      <c r="H415">
        <v>67.161100000000005</v>
      </c>
      <c r="I415">
        <v>62.569200000000002</v>
      </c>
      <c r="J415">
        <v>58.976399999999998</v>
      </c>
      <c r="K415">
        <v>56.0822</v>
      </c>
      <c r="L415">
        <v>43.842100000000002</v>
      </c>
      <c r="M415">
        <v>41.896000000000001</v>
      </c>
      <c r="N415">
        <v>35.159999999999997</v>
      </c>
      <c r="O415">
        <v>32.376600000000003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103.2628</v>
      </c>
      <c r="G416">
        <v>142.78579999999999</v>
      </c>
      <c r="H416">
        <v>208.08600000000001</v>
      </c>
      <c r="I416">
        <v>213.57259999999999</v>
      </c>
      <c r="J416">
        <v>197.30080000000001</v>
      </c>
      <c r="K416">
        <v>197.60910000000001</v>
      </c>
      <c r="L416">
        <v>123.05329999999999</v>
      </c>
      <c r="M416">
        <v>126.8887</v>
      </c>
      <c r="N416">
        <v>130.5403</v>
      </c>
      <c r="O416">
        <v>134.54310000000001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127.85639999999999</v>
      </c>
      <c r="G417">
        <v>240.19450000000001</v>
      </c>
      <c r="H417">
        <v>368.14819999999997</v>
      </c>
      <c r="I417">
        <v>343.22460000000001</v>
      </c>
      <c r="J417">
        <v>196.68379999999999</v>
      </c>
      <c r="K417">
        <v>198.0429</v>
      </c>
      <c r="L417">
        <v>200.35919999999999</v>
      </c>
      <c r="M417">
        <v>197.101</v>
      </c>
      <c r="N417">
        <v>206.81059999999999</v>
      </c>
      <c r="O417">
        <v>185.93709999999999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2710.6633000000002</v>
      </c>
      <c r="G418">
        <v>1731.2843</v>
      </c>
      <c r="H418">
        <v>9395.6198000000004</v>
      </c>
      <c r="I418">
        <v>4858.7293</v>
      </c>
      <c r="J418">
        <v>1044.0697</v>
      </c>
      <c r="K418">
        <v>2925.6044999999999</v>
      </c>
      <c r="L418">
        <v>10139.8464</v>
      </c>
      <c r="M418">
        <v>4506.6013999999996</v>
      </c>
      <c r="N418">
        <v>2919.4695000000002</v>
      </c>
      <c r="O418">
        <v>2225.4854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25.362100000000002</v>
      </c>
      <c r="G419">
        <v>30.107099999999999</v>
      </c>
      <c r="H419">
        <v>27.078299999999999</v>
      </c>
      <c r="I419">
        <v>23.432400000000001</v>
      </c>
      <c r="J419">
        <v>19.506599999999999</v>
      </c>
      <c r="K419">
        <v>15.680099999999999</v>
      </c>
      <c r="L419">
        <v>12.105399999999999</v>
      </c>
      <c r="M419">
        <v>2.0102000000000002</v>
      </c>
      <c r="N419">
        <v>2.3414000000000001</v>
      </c>
      <c r="O419">
        <v>2.1800000000000002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102.8539</v>
      </c>
      <c r="G420">
        <v>508.72539999999998</v>
      </c>
      <c r="H420">
        <v>699.13840000000005</v>
      </c>
      <c r="I420">
        <v>405.3913</v>
      </c>
      <c r="J420">
        <v>364.78500000000003</v>
      </c>
      <c r="K420">
        <v>466.16579999999999</v>
      </c>
      <c r="L420">
        <v>310.82619999999997</v>
      </c>
      <c r="M420">
        <v>334.09629999999999</v>
      </c>
      <c r="N420">
        <v>288.48989999999998</v>
      </c>
      <c r="O420">
        <v>229.57910000000001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40.278700000000001</v>
      </c>
      <c r="G421">
        <v>49.1066</v>
      </c>
      <c r="H421">
        <v>54.218299999999999</v>
      </c>
      <c r="I421">
        <v>44.274799999999999</v>
      </c>
      <c r="J421">
        <v>59.653199999999998</v>
      </c>
      <c r="K421">
        <v>73.823099999999997</v>
      </c>
      <c r="L421">
        <v>66.766199999999998</v>
      </c>
      <c r="M421">
        <v>55.662100000000002</v>
      </c>
      <c r="N421">
        <v>51.270400000000002</v>
      </c>
      <c r="O421">
        <v>50.989199999999997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23.404900000000001</v>
      </c>
      <c r="G422">
        <v>39.091299999999997</v>
      </c>
      <c r="H422">
        <v>33.076000000000001</v>
      </c>
      <c r="I422">
        <v>32.170900000000003</v>
      </c>
      <c r="J422">
        <v>34.092300000000002</v>
      </c>
      <c r="K422">
        <v>36.941200000000002</v>
      </c>
      <c r="L422">
        <v>51.803600000000003</v>
      </c>
      <c r="M422">
        <v>51.339599999999997</v>
      </c>
      <c r="N422">
        <v>44.741199999999999</v>
      </c>
      <c r="O422">
        <v>52.5077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33.925699999999999</v>
      </c>
      <c r="G423">
        <v>137.08420000000001</v>
      </c>
      <c r="H423">
        <v>126.00839999999999</v>
      </c>
      <c r="I423">
        <v>98.353999999999999</v>
      </c>
      <c r="J423">
        <v>140.73150000000001</v>
      </c>
      <c r="K423">
        <v>139.28909999999999</v>
      </c>
      <c r="L423">
        <v>115.4335</v>
      </c>
      <c r="M423">
        <v>92.516499999999994</v>
      </c>
      <c r="N423">
        <v>95.959800000000001</v>
      </c>
      <c r="O423">
        <v>103.33029999999999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929.26949999999999</v>
      </c>
      <c r="G424">
        <v>1081.83</v>
      </c>
      <c r="H424">
        <v>1088.2502999999999</v>
      </c>
      <c r="I424">
        <v>1062.0788</v>
      </c>
      <c r="J424">
        <v>438.40379999999999</v>
      </c>
      <c r="K424">
        <v>535.62630000000001</v>
      </c>
      <c r="L424">
        <v>942.36760000000004</v>
      </c>
      <c r="M424">
        <v>600.35630000000003</v>
      </c>
      <c r="N424">
        <v>829.88850000000002</v>
      </c>
      <c r="O424">
        <v>847.47239999999999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37.653599999999997</v>
      </c>
      <c r="G425">
        <v>43.7774</v>
      </c>
      <c r="H425">
        <v>46.027099999999997</v>
      </c>
      <c r="I425">
        <v>40.573099999999997</v>
      </c>
      <c r="J425">
        <v>29.232199999999999</v>
      </c>
      <c r="K425">
        <v>46.8277</v>
      </c>
      <c r="L425">
        <v>44.803100000000001</v>
      </c>
      <c r="M425">
        <v>50.179200000000002</v>
      </c>
      <c r="N425">
        <v>56.873600000000003</v>
      </c>
      <c r="O425">
        <v>52.205500000000001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311.1755</v>
      </c>
      <c r="G426">
        <v>391.82100000000003</v>
      </c>
      <c r="H426">
        <v>504.30560000000003</v>
      </c>
      <c r="I426">
        <v>534.01110000000006</v>
      </c>
      <c r="J426">
        <v>561.07640000000004</v>
      </c>
      <c r="K426">
        <v>598.00519999999995</v>
      </c>
      <c r="L426">
        <v>635.99839999999995</v>
      </c>
      <c r="M426">
        <v>1123.6844000000001</v>
      </c>
      <c r="N426">
        <v>1058.9731999999999</v>
      </c>
      <c r="O426">
        <v>1049.9087999999999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124.5068</v>
      </c>
      <c r="G427">
        <v>175.3323</v>
      </c>
      <c r="H427">
        <v>189.7646</v>
      </c>
      <c r="I427">
        <v>156.62710000000001</v>
      </c>
      <c r="J427">
        <v>169.05240000000001</v>
      </c>
      <c r="K427">
        <v>87.704599999999999</v>
      </c>
      <c r="L427">
        <v>79.772099999999995</v>
      </c>
      <c r="M427">
        <v>93.084199999999996</v>
      </c>
      <c r="N427">
        <v>89.271799999999999</v>
      </c>
      <c r="O427">
        <v>154.06129999999999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2009.5172</v>
      </c>
      <c r="G428">
        <v>2817.5513000000001</v>
      </c>
      <c r="H428">
        <v>2703.3631</v>
      </c>
      <c r="I428">
        <v>3638.5482000000002</v>
      </c>
      <c r="J428">
        <v>2466.9139</v>
      </c>
      <c r="K428">
        <v>1319.9820999999999</v>
      </c>
      <c r="L428">
        <v>7.2080000000000002</v>
      </c>
      <c r="M428">
        <v>8.6971000000000007</v>
      </c>
      <c r="N428">
        <v>6.5910000000000002</v>
      </c>
      <c r="O428">
        <v>13.146100000000001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213.3751</v>
      </c>
      <c r="G429">
        <v>266.11770000000001</v>
      </c>
      <c r="H429">
        <v>254.9478</v>
      </c>
      <c r="I429">
        <v>275.70440000000002</v>
      </c>
      <c r="J429">
        <v>287.44900000000001</v>
      </c>
      <c r="K429">
        <v>334.9271</v>
      </c>
      <c r="L429">
        <v>390.55739999999997</v>
      </c>
      <c r="M429">
        <v>342.61489999999998</v>
      </c>
      <c r="N429">
        <v>370.75040000000001</v>
      </c>
      <c r="O429">
        <v>341.56939999999997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145.8356</v>
      </c>
      <c r="G430">
        <v>149.29419999999999</v>
      </c>
      <c r="H430">
        <v>119.31180000000001</v>
      </c>
      <c r="I430">
        <v>130.66669999999999</v>
      </c>
      <c r="J430">
        <v>97.182100000000005</v>
      </c>
      <c r="K430">
        <v>93.094999999999999</v>
      </c>
      <c r="L430">
        <v>97.575000000000003</v>
      </c>
      <c r="M430">
        <v>132.00739999999999</v>
      </c>
      <c r="N430">
        <v>141.22290000000001</v>
      </c>
      <c r="O430">
        <v>247.1721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1050.7165</v>
      </c>
      <c r="G431">
        <v>3284.0736999999999</v>
      </c>
      <c r="H431">
        <v>1881.5243</v>
      </c>
      <c r="I431">
        <v>545.90880000000004</v>
      </c>
      <c r="J431">
        <v>368.9051</v>
      </c>
      <c r="K431">
        <v>338.23340000000002</v>
      </c>
      <c r="L431">
        <v>305.73759999999999</v>
      </c>
      <c r="M431">
        <v>186.892</v>
      </c>
      <c r="N431">
        <v>192.93530000000001</v>
      </c>
      <c r="O431">
        <v>124.16670000000001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1622.377</v>
      </c>
      <c r="G432">
        <v>1613.4345000000001</v>
      </c>
      <c r="H432">
        <v>1640.4614999999999</v>
      </c>
      <c r="I432">
        <v>1704.8649</v>
      </c>
      <c r="J432">
        <v>1747.7228</v>
      </c>
      <c r="K432">
        <v>2976.2071999999998</v>
      </c>
      <c r="L432">
        <v>3231.4144999999999</v>
      </c>
      <c r="M432">
        <v>2857.2757999999999</v>
      </c>
      <c r="N432">
        <v>2542.4625000000001</v>
      </c>
      <c r="O432">
        <v>1665.8143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185.0129</v>
      </c>
      <c r="G433">
        <v>248.4204</v>
      </c>
      <c r="H433">
        <v>235.2139</v>
      </c>
      <c r="I433">
        <v>228.10419999999999</v>
      </c>
      <c r="J433">
        <v>201.35120000000001</v>
      </c>
      <c r="K433">
        <v>258.40120000000002</v>
      </c>
      <c r="L433">
        <v>275.39400000000001</v>
      </c>
      <c r="M433">
        <v>206.2757</v>
      </c>
      <c r="N433">
        <v>153.268</v>
      </c>
      <c r="O433">
        <v>170.71199999999999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512.43730000000005</v>
      </c>
      <c r="G434">
        <v>469.4357</v>
      </c>
      <c r="H434">
        <v>485.27120000000002</v>
      </c>
      <c r="I434">
        <v>435.56509999999997</v>
      </c>
      <c r="J434">
        <v>331.4828</v>
      </c>
      <c r="K434">
        <v>271.4529</v>
      </c>
      <c r="L434">
        <v>250.4273</v>
      </c>
      <c r="M434">
        <v>273.90699999999998</v>
      </c>
      <c r="N434">
        <v>295.35500000000002</v>
      </c>
      <c r="O434">
        <v>289.79320000000001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75.955799999999996</v>
      </c>
      <c r="G435">
        <v>100.7546</v>
      </c>
      <c r="H435">
        <v>78.865600000000001</v>
      </c>
      <c r="I435">
        <v>81.108199999999997</v>
      </c>
      <c r="J435">
        <v>80.900400000000005</v>
      </c>
      <c r="K435">
        <v>95.182599999999994</v>
      </c>
      <c r="L435">
        <v>90.333399999999997</v>
      </c>
      <c r="M435">
        <v>106.8077</v>
      </c>
      <c r="N435">
        <v>142.5626</v>
      </c>
      <c r="O435">
        <v>151.58760000000001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111.19889999999999</v>
      </c>
      <c r="G436">
        <v>123.0026</v>
      </c>
      <c r="H436">
        <v>136.5472</v>
      </c>
      <c r="I436">
        <v>103.5942</v>
      </c>
      <c r="J436">
        <v>115.4444</v>
      </c>
      <c r="K436">
        <v>109.6129</v>
      </c>
      <c r="L436">
        <v>124.73990000000001</v>
      </c>
      <c r="M436">
        <v>120.7855</v>
      </c>
      <c r="N436">
        <v>130.7842</v>
      </c>
      <c r="O436">
        <v>129.8261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221.2389</v>
      </c>
      <c r="G437">
        <v>184.4136</v>
      </c>
      <c r="H437">
        <v>189.42699999999999</v>
      </c>
      <c r="I437">
        <v>188.24039999999999</v>
      </c>
      <c r="J437">
        <v>156.60890000000001</v>
      </c>
      <c r="K437">
        <v>145.93680000000001</v>
      </c>
      <c r="L437">
        <v>172.31870000000001</v>
      </c>
      <c r="M437">
        <v>198.39580000000001</v>
      </c>
      <c r="N437">
        <v>211.0558</v>
      </c>
      <c r="O437">
        <v>173.92150000000001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384.52519999999998</v>
      </c>
      <c r="G438">
        <v>455.99180000000001</v>
      </c>
      <c r="H438">
        <v>518.78229999999996</v>
      </c>
      <c r="I438">
        <v>384.7638</v>
      </c>
      <c r="J438">
        <v>508.6728</v>
      </c>
      <c r="K438">
        <v>501.66419999999999</v>
      </c>
      <c r="L438">
        <v>431.04450000000003</v>
      </c>
      <c r="M438">
        <v>361.72399999999999</v>
      </c>
      <c r="N438">
        <v>303.48910000000001</v>
      </c>
      <c r="O438">
        <v>408.66419999999999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188.45339999999999</v>
      </c>
      <c r="G439">
        <v>200.40289999999999</v>
      </c>
      <c r="H439">
        <v>187.88030000000001</v>
      </c>
      <c r="I439">
        <v>172.9562</v>
      </c>
      <c r="J439">
        <v>120.25749999999999</v>
      </c>
      <c r="K439">
        <v>171.09639999999999</v>
      </c>
      <c r="L439">
        <v>148.4478</v>
      </c>
      <c r="M439">
        <v>142.46360000000001</v>
      </c>
      <c r="N439">
        <v>109.37909999999999</v>
      </c>
      <c r="O439">
        <v>82.989199999999997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307.19450000000001</v>
      </c>
      <c r="G440">
        <v>318.0976</v>
      </c>
      <c r="H440">
        <v>335.19110000000001</v>
      </c>
      <c r="I440">
        <v>360.7165</v>
      </c>
      <c r="J440">
        <v>406.00029999999998</v>
      </c>
      <c r="K440">
        <v>157.56780000000001</v>
      </c>
      <c r="L440">
        <v>164.40819999999999</v>
      </c>
      <c r="M440">
        <v>124.7221</v>
      </c>
      <c r="N440">
        <v>106.4802</v>
      </c>
      <c r="O440">
        <v>117.8699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145.58260000000001</v>
      </c>
      <c r="G441">
        <v>200.65049999999999</v>
      </c>
      <c r="H441">
        <v>164.32079999999999</v>
      </c>
      <c r="I441">
        <v>155.5179</v>
      </c>
      <c r="J441">
        <v>165.85740000000001</v>
      </c>
      <c r="K441">
        <v>203.494</v>
      </c>
      <c r="L441">
        <v>189.22389999999999</v>
      </c>
      <c r="M441">
        <v>192.70959999999999</v>
      </c>
      <c r="N441">
        <v>209.6242</v>
      </c>
      <c r="O441">
        <v>200.0351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104.3027</v>
      </c>
      <c r="G442">
        <v>137.02510000000001</v>
      </c>
      <c r="H442">
        <v>181.61879999999999</v>
      </c>
      <c r="I442">
        <v>220.0959</v>
      </c>
      <c r="J442">
        <v>277.05759999999998</v>
      </c>
      <c r="K442">
        <v>273.94450000000001</v>
      </c>
      <c r="L442">
        <v>321.99279999999999</v>
      </c>
      <c r="M442">
        <v>264.91120000000001</v>
      </c>
      <c r="N442">
        <v>255.57749999999999</v>
      </c>
      <c r="O442">
        <v>244.3646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139.07390000000001</v>
      </c>
      <c r="G443">
        <v>175.74940000000001</v>
      </c>
      <c r="H443">
        <v>156.98509999999999</v>
      </c>
      <c r="I443">
        <v>166.3819</v>
      </c>
      <c r="J443">
        <v>160.9948</v>
      </c>
      <c r="K443">
        <v>135.75370000000001</v>
      </c>
      <c r="L443">
        <v>153.76079999999999</v>
      </c>
      <c r="M443">
        <v>167.10939999999999</v>
      </c>
      <c r="N443">
        <v>128.1062</v>
      </c>
      <c r="O443">
        <v>163.13140000000001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0.13200000000000001</v>
      </c>
      <c r="G444">
        <v>2.9941</v>
      </c>
      <c r="H444">
        <v>13.5786</v>
      </c>
      <c r="I444">
        <v>11.593400000000001</v>
      </c>
      <c r="J444">
        <v>36.392000000000003</v>
      </c>
      <c r="K444">
        <v>126.4534</v>
      </c>
      <c r="L444">
        <v>82.400599999999997</v>
      </c>
      <c r="M444">
        <v>62.870100000000001</v>
      </c>
      <c r="N444">
        <v>54.173999999999999</v>
      </c>
      <c r="O444">
        <v>97.184299999999993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2917.3672000000001</v>
      </c>
      <c r="G445">
        <v>2712.5693000000001</v>
      </c>
      <c r="H445">
        <v>4955.3028000000004</v>
      </c>
      <c r="I445">
        <v>4928.9678999999996</v>
      </c>
      <c r="J445">
        <v>2714.1046000000001</v>
      </c>
      <c r="K445">
        <v>3108.8851</v>
      </c>
      <c r="L445">
        <v>917.21230000000003</v>
      </c>
      <c r="M445">
        <v>2298.4101999999998</v>
      </c>
      <c r="N445">
        <v>3302.3483999999999</v>
      </c>
      <c r="O445">
        <v>1928.8343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265.24110000000002</v>
      </c>
      <c r="G446">
        <v>96.854600000000005</v>
      </c>
      <c r="H446">
        <v>91.568700000000007</v>
      </c>
      <c r="I446">
        <v>99.848299999999995</v>
      </c>
      <c r="J446">
        <v>99.845500000000001</v>
      </c>
      <c r="K446">
        <v>101.1427</v>
      </c>
      <c r="L446">
        <v>94.349699999999999</v>
      </c>
      <c r="M446">
        <v>83.394499999999994</v>
      </c>
      <c r="N446">
        <v>76.386600000000001</v>
      </c>
      <c r="O446">
        <v>62.623699999999999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343.06420000000003</v>
      </c>
      <c r="G447">
        <v>361.0616</v>
      </c>
      <c r="H447">
        <v>196.97210000000001</v>
      </c>
      <c r="I447">
        <v>190.1567</v>
      </c>
      <c r="J447">
        <v>188.16730000000001</v>
      </c>
      <c r="K447">
        <v>217.85740000000001</v>
      </c>
      <c r="L447">
        <v>223.6198</v>
      </c>
      <c r="M447">
        <v>212.542</v>
      </c>
      <c r="N447">
        <v>244.97309999999999</v>
      </c>
      <c r="O447">
        <v>214.25479999999999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69.471599999999995</v>
      </c>
      <c r="G448">
        <v>60.234200000000001</v>
      </c>
      <c r="H448">
        <v>84.347200000000001</v>
      </c>
      <c r="I448">
        <v>59.650399999999998</v>
      </c>
      <c r="J448">
        <v>46.400500000000001</v>
      </c>
      <c r="K448">
        <v>64.885599999999997</v>
      </c>
      <c r="L448">
        <v>122.6644</v>
      </c>
      <c r="M448">
        <v>140.8716</v>
      </c>
      <c r="N448">
        <v>109.1889</v>
      </c>
      <c r="O448">
        <v>257.4796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105.9807</v>
      </c>
      <c r="G449">
        <v>99.060199999999995</v>
      </c>
      <c r="H449">
        <v>91.398099999999999</v>
      </c>
      <c r="I449">
        <v>82.514499999999998</v>
      </c>
      <c r="J449">
        <v>81.9696</v>
      </c>
      <c r="K449">
        <v>89.716300000000004</v>
      </c>
      <c r="L449">
        <v>86.582800000000006</v>
      </c>
      <c r="M449">
        <v>89.296700000000001</v>
      </c>
      <c r="N449">
        <v>78.250399999999999</v>
      </c>
      <c r="O449">
        <v>58.783200000000001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228.31440000000001</v>
      </c>
      <c r="G450">
        <v>500.43369999999999</v>
      </c>
      <c r="H450">
        <v>177.29560000000001</v>
      </c>
      <c r="I450">
        <v>134.542</v>
      </c>
      <c r="J450">
        <v>117.5665</v>
      </c>
      <c r="K450">
        <v>117.9727</v>
      </c>
      <c r="L450">
        <v>266.48340000000002</v>
      </c>
      <c r="M450">
        <v>992.67650000000003</v>
      </c>
      <c r="N450">
        <v>181.2784</v>
      </c>
      <c r="O450">
        <v>83.027100000000004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184.30940000000001</v>
      </c>
      <c r="G451">
        <v>286.79349999999999</v>
      </c>
      <c r="H451">
        <v>334.13170000000002</v>
      </c>
      <c r="I451">
        <v>231.09460000000001</v>
      </c>
      <c r="J451">
        <v>90.143600000000006</v>
      </c>
      <c r="K451">
        <v>158.1936</v>
      </c>
      <c r="L451">
        <v>323.56029999999998</v>
      </c>
      <c r="M451">
        <v>285.11989999999997</v>
      </c>
      <c r="N451">
        <v>313.25369999999998</v>
      </c>
      <c r="O451">
        <v>232.93860000000001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662.27120000000002</v>
      </c>
      <c r="G452">
        <v>1082.3507</v>
      </c>
      <c r="H452">
        <v>589.70029999999997</v>
      </c>
      <c r="I452">
        <v>660.71289999999999</v>
      </c>
      <c r="J452">
        <v>536.94299999999998</v>
      </c>
      <c r="K452">
        <v>621.67240000000004</v>
      </c>
      <c r="L452">
        <v>684.45590000000004</v>
      </c>
      <c r="M452">
        <v>779.57910000000004</v>
      </c>
      <c r="N452">
        <v>730.10929999999996</v>
      </c>
      <c r="O452">
        <v>624.32140000000004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218.56659999999999</v>
      </c>
      <c r="G453">
        <v>230.92339999999999</v>
      </c>
      <c r="H453">
        <v>170.97800000000001</v>
      </c>
      <c r="I453">
        <v>134.07079999999999</v>
      </c>
      <c r="J453">
        <v>180.01759999999999</v>
      </c>
      <c r="K453">
        <v>480.9674</v>
      </c>
      <c r="L453">
        <v>587.28129999999999</v>
      </c>
      <c r="M453">
        <v>381.70280000000002</v>
      </c>
      <c r="N453">
        <v>1015.3652</v>
      </c>
      <c r="O453">
        <v>1075.3145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21.986899999999999</v>
      </c>
      <c r="G454">
        <v>25.7332</v>
      </c>
      <c r="H454">
        <v>25.190899999999999</v>
      </c>
      <c r="I454">
        <v>19.686499999999999</v>
      </c>
      <c r="J454">
        <v>19.654199999999999</v>
      </c>
      <c r="K454">
        <v>26.931000000000001</v>
      </c>
      <c r="L454">
        <v>31.843499999999999</v>
      </c>
      <c r="M454">
        <v>39.371000000000002</v>
      </c>
      <c r="N454">
        <v>21.667200000000001</v>
      </c>
      <c r="O454">
        <v>21.010200000000001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79.795500000000004</v>
      </c>
      <c r="G455">
        <v>28.426300000000001</v>
      </c>
      <c r="H455">
        <v>20.360299999999999</v>
      </c>
      <c r="I455">
        <v>35.8414</v>
      </c>
      <c r="J455">
        <v>27.1264</v>
      </c>
      <c r="K455">
        <v>11.1029</v>
      </c>
      <c r="L455">
        <v>8.0925999999999991</v>
      </c>
      <c r="M455">
        <v>6.9619</v>
      </c>
      <c r="N455">
        <v>9.7998999999999992</v>
      </c>
      <c r="O455">
        <v>6.9175000000000004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97.089299999999994</v>
      </c>
      <c r="G456">
        <v>155.6848</v>
      </c>
      <c r="H456">
        <v>93.403599999999997</v>
      </c>
      <c r="I456">
        <v>131.88480000000001</v>
      </c>
      <c r="J456">
        <v>153.46190000000001</v>
      </c>
      <c r="K456">
        <v>156.69929999999999</v>
      </c>
      <c r="L456">
        <v>168.816</v>
      </c>
      <c r="M456">
        <v>113.7634</v>
      </c>
      <c r="N456">
        <v>54.669199999999996</v>
      </c>
      <c r="O456">
        <v>1.2817000000000001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119.6994</v>
      </c>
      <c r="G457">
        <v>166.8459</v>
      </c>
      <c r="H457">
        <v>192.61949999999999</v>
      </c>
      <c r="I457">
        <v>188.1371</v>
      </c>
      <c r="J457">
        <v>193.82040000000001</v>
      </c>
      <c r="K457">
        <v>312.90109999999999</v>
      </c>
      <c r="L457">
        <v>336.94080000000002</v>
      </c>
      <c r="M457">
        <v>368.19330000000002</v>
      </c>
      <c r="N457">
        <v>428.50470000000001</v>
      </c>
      <c r="O457">
        <v>393.9248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175.07980000000001</v>
      </c>
      <c r="G458">
        <v>210.5153</v>
      </c>
      <c r="H458">
        <v>211.8287</v>
      </c>
      <c r="I458">
        <v>269.6046</v>
      </c>
      <c r="J458">
        <v>242.7731</v>
      </c>
      <c r="K458">
        <v>242.46709999999999</v>
      </c>
      <c r="L458">
        <v>275.52850000000001</v>
      </c>
      <c r="M458">
        <v>243.67609999999999</v>
      </c>
      <c r="N458">
        <v>272.57479999999998</v>
      </c>
      <c r="O458">
        <v>575.19370000000004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85.884299999999996</v>
      </c>
      <c r="G459">
        <v>120.2551</v>
      </c>
      <c r="H459">
        <v>121.2711</v>
      </c>
      <c r="I459">
        <v>121.91840000000001</v>
      </c>
      <c r="J459">
        <v>100.2533</v>
      </c>
      <c r="K459">
        <v>100.74299999999999</v>
      </c>
      <c r="L459">
        <v>110.1739</v>
      </c>
      <c r="M459">
        <v>107.28279999999999</v>
      </c>
      <c r="N459">
        <v>115.90349999999999</v>
      </c>
      <c r="O459">
        <v>162.61259999999999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154.4999</v>
      </c>
      <c r="G460">
        <v>200.24369999999999</v>
      </c>
      <c r="H460">
        <v>229.2612</v>
      </c>
      <c r="I460">
        <v>266.69709999999998</v>
      </c>
      <c r="J460">
        <v>181.81630000000001</v>
      </c>
      <c r="K460">
        <v>179.26009999999999</v>
      </c>
      <c r="L460">
        <v>184.97720000000001</v>
      </c>
      <c r="M460">
        <v>139.94110000000001</v>
      </c>
      <c r="N460">
        <v>107.9795</v>
      </c>
      <c r="O460">
        <v>121.4288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22157.670600000001</v>
      </c>
      <c r="G461">
        <v>14582.8416</v>
      </c>
      <c r="H461">
        <v>16770.794699999999</v>
      </c>
      <c r="I461">
        <v>21531.2215</v>
      </c>
      <c r="J461">
        <v>15409.9593</v>
      </c>
      <c r="K461">
        <v>17323.938999999998</v>
      </c>
      <c r="L461">
        <v>4067.5059000000001</v>
      </c>
      <c r="M461">
        <v>49870.867899999997</v>
      </c>
      <c r="N461">
        <v>9227.3796999999995</v>
      </c>
      <c r="O461">
        <v>4163.9295000000002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2.1190000000000002</v>
      </c>
      <c r="G462">
        <v>0.17249999999999999</v>
      </c>
      <c r="H462">
        <v>4.7607999999999997</v>
      </c>
      <c r="I462">
        <v>1.4832000000000001</v>
      </c>
      <c r="J462">
        <v>2.1983000000000001</v>
      </c>
      <c r="K462">
        <v>6.0517000000000003</v>
      </c>
      <c r="L462">
        <v>17.967400000000001</v>
      </c>
      <c r="M462">
        <v>2.4416000000000002</v>
      </c>
      <c r="N462">
        <v>4.2317</v>
      </c>
      <c r="O462">
        <v>0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169.17570000000001</v>
      </c>
      <c r="G463">
        <v>182.8648</v>
      </c>
      <c r="H463">
        <v>136.7567</v>
      </c>
      <c r="I463">
        <v>109.54049999999999</v>
      </c>
      <c r="J463">
        <v>109.9997</v>
      </c>
      <c r="K463">
        <v>117.1306</v>
      </c>
      <c r="L463">
        <v>106.32380000000001</v>
      </c>
      <c r="M463">
        <v>81.741600000000005</v>
      </c>
      <c r="N463">
        <v>78.487899999999996</v>
      </c>
      <c r="O463">
        <v>72.210499999999996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91.773499999999999</v>
      </c>
      <c r="G464">
        <v>101.3644</v>
      </c>
      <c r="H464">
        <v>97.585400000000007</v>
      </c>
      <c r="I464">
        <v>107.5831</v>
      </c>
      <c r="J464">
        <v>111.9067</v>
      </c>
      <c r="K464">
        <v>118.6336</v>
      </c>
      <c r="L464">
        <v>130.15010000000001</v>
      </c>
      <c r="M464">
        <v>122.3597</v>
      </c>
      <c r="N464">
        <v>116.9533</v>
      </c>
      <c r="O464">
        <v>95.172499999999999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786.90629999999999</v>
      </c>
      <c r="G465">
        <v>659.99450000000002</v>
      </c>
      <c r="H465">
        <v>543.46789999999999</v>
      </c>
      <c r="I465">
        <v>531.21029999999996</v>
      </c>
      <c r="J465">
        <v>584.30769999999995</v>
      </c>
      <c r="K465">
        <v>627.77509999999995</v>
      </c>
      <c r="L465">
        <v>822.06910000000005</v>
      </c>
      <c r="M465">
        <v>1012.7553</v>
      </c>
      <c r="N465">
        <v>643.65380000000005</v>
      </c>
      <c r="O465">
        <v>529.9982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584.93520000000001</v>
      </c>
      <c r="G466">
        <v>440.34840000000003</v>
      </c>
      <c r="H466">
        <v>558.95830000000001</v>
      </c>
      <c r="I466">
        <v>663.50059999999996</v>
      </c>
      <c r="J466">
        <v>793.45540000000005</v>
      </c>
      <c r="K466">
        <v>879.03959999999995</v>
      </c>
      <c r="L466">
        <v>873.32069999999999</v>
      </c>
      <c r="M466">
        <v>819.02670000000001</v>
      </c>
      <c r="N466">
        <v>352.05309999999997</v>
      </c>
      <c r="O466">
        <v>274.61430000000001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23.433900000000001</v>
      </c>
      <c r="G467">
        <v>33.643900000000002</v>
      </c>
      <c r="H467">
        <v>27.430299999999999</v>
      </c>
      <c r="I467">
        <v>20.831600000000002</v>
      </c>
      <c r="J467">
        <v>16.957100000000001</v>
      </c>
      <c r="K467">
        <v>18.816400000000002</v>
      </c>
      <c r="L467">
        <v>13.590400000000001</v>
      </c>
      <c r="M467">
        <v>13.7273</v>
      </c>
      <c r="N467">
        <v>11.7919</v>
      </c>
      <c r="O467">
        <v>14.4139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455.4821</v>
      </c>
      <c r="G468">
        <v>315.37889999999999</v>
      </c>
      <c r="H468">
        <v>678.27359999999999</v>
      </c>
      <c r="I468">
        <v>787.53510000000006</v>
      </c>
      <c r="J468">
        <v>782.35820000000001</v>
      </c>
      <c r="K468">
        <v>634.00400000000002</v>
      </c>
      <c r="L468">
        <v>516.58550000000002</v>
      </c>
      <c r="M468">
        <v>420.57100000000003</v>
      </c>
      <c r="N468">
        <v>249.53909999999999</v>
      </c>
      <c r="O468">
        <v>541.67229999999995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131.0472</v>
      </c>
      <c r="G469">
        <v>144.3646</v>
      </c>
      <c r="H469">
        <v>141.88310000000001</v>
      </c>
      <c r="I469">
        <v>128.11150000000001</v>
      </c>
      <c r="J469">
        <v>110.426</v>
      </c>
      <c r="K469">
        <v>138.12729999999999</v>
      </c>
      <c r="L469">
        <v>145.47579999999999</v>
      </c>
      <c r="M469">
        <v>125.60809999999999</v>
      </c>
      <c r="N469">
        <v>133.47190000000001</v>
      </c>
      <c r="O469">
        <v>148.97450000000001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2060.4582999999998</v>
      </c>
      <c r="G470">
        <v>3575.9449</v>
      </c>
      <c r="H470">
        <v>3432.2925</v>
      </c>
      <c r="I470">
        <v>3257.3714</v>
      </c>
      <c r="J470">
        <v>1506.6551999999999</v>
      </c>
      <c r="K470">
        <v>1723.729</v>
      </c>
      <c r="L470">
        <v>2582.4580999999998</v>
      </c>
      <c r="M470">
        <v>2095.6741999999999</v>
      </c>
      <c r="N470">
        <v>935.42399999999998</v>
      </c>
      <c r="O470">
        <v>981.30669999999998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114.50620000000001</v>
      </c>
      <c r="G471">
        <v>134.8486</v>
      </c>
      <c r="H471">
        <v>132.66579999999999</v>
      </c>
      <c r="I471">
        <v>100.7556</v>
      </c>
      <c r="J471">
        <v>122.7662</v>
      </c>
      <c r="K471">
        <v>110.5261</v>
      </c>
      <c r="L471">
        <v>112.2801</v>
      </c>
      <c r="M471">
        <v>96.04</v>
      </c>
      <c r="N471">
        <v>565.10680000000002</v>
      </c>
      <c r="O471">
        <v>394.94720000000001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56.329000000000001</v>
      </c>
      <c r="G472">
        <v>65.773399999999995</v>
      </c>
      <c r="H472">
        <v>64.099599999999995</v>
      </c>
      <c r="I472">
        <v>73.823700000000002</v>
      </c>
      <c r="J472">
        <v>73.519599999999997</v>
      </c>
      <c r="K472">
        <v>92.643500000000003</v>
      </c>
      <c r="L472">
        <v>100.8593</v>
      </c>
      <c r="M472">
        <v>127.8762</v>
      </c>
      <c r="N472">
        <v>105.48309999999999</v>
      </c>
      <c r="O472">
        <v>72.948099999999997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854.14120000000003</v>
      </c>
      <c r="G473">
        <v>723.16849999999999</v>
      </c>
      <c r="H473">
        <v>1450.4736</v>
      </c>
      <c r="I473">
        <v>1502.556</v>
      </c>
      <c r="J473">
        <v>1566.0597</v>
      </c>
      <c r="K473">
        <v>1446.0632000000001</v>
      </c>
      <c r="L473">
        <v>2052.2150999999999</v>
      </c>
      <c r="M473">
        <v>1130.6121000000001</v>
      </c>
      <c r="N473">
        <v>618.76909999999998</v>
      </c>
      <c r="O473">
        <v>887.77970000000005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114.9605</v>
      </c>
      <c r="G474">
        <v>159.42670000000001</v>
      </c>
      <c r="H474">
        <v>117.12130000000001</v>
      </c>
      <c r="I474">
        <v>93.366600000000005</v>
      </c>
      <c r="J474">
        <v>132.6935</v>
      </c>
      <c r="K474">
        <v>128.9845</v>
      </c>
      <c r="L474">
        <v>136.78489999999999</v>
      </c>
      <c r="M474">
        <v>129.30690000000001</v>
      </c>
      <c r="N474">
        <v>95.5505</v>
      </c>
      <c r="O474">
        <v>114.6298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173.28970000000001</v>
      </c>
      <c r="G475">
        <v>70.395700000000005</v>
      </c>
      <c r="H475">
        <v>125.27809999999999</v>
      </c>
      <c r="I475">
        <v>215.46109999999999</v>
      </c>
      <c r="J475">
        <v>332.07369999999997</v>
      </c>
      <c r="K475">
        <v>392.39499999999998</v>
      </c>
      <c r="L475">
        <v>234.14080000000001</v>
      </c>
      <c r="M475">
        <v>345.25549999999998</v>
      </c>
      <c r="N475">
        <v>318.16699999999997</v>
      </c>
      <c r="O475">
        <v>619.05039999999997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93.835800000000006</v>
      </c>
      <c r="G476">
        <v>135.8587</v>
      </c>
      <c r="H476">
        <v>140.7962</v>
      </c>
      <c r="I476">
        <v>142.5427</v>
      </c>
      <c r="J476">
        <v>190.6215</v>
      </c>
      <c r="K476">
        <v>250.10650000000001</v>
      </c>
      <c r="L476">
        <v>229.74520000000001</v>
      </c>
      <c r="M476">
        <v>161.352</v>
      </c>
      <c r="N476">
        <v>354.84739999999999</v>
      </c>
      <c r="O476">
        <v>335.48509999999999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221.55449999999999</v>
      </c>
      <c r="G477">
        <v>295.45569999999998</v>
      </c>
      <c r="H477">
        <v>334.3546</v>
      </c>
      <c r="I477">
        <v>266.17630000000003</v>
      </c>
      <c r="J477">
        <v>251.49590000000001</v>
      </c>
      <c r="K477">
        <v>142.5975</v>
      </c>
      <c r="L477">
        <v>162.0548</v>
      </c>
      <c r="M477">
        <v>233.1318</v>
      </c>
      <c r="N477">
        <v>216.92009999999999</v>
      </c>
      <c r="O477">
        <v>194.36879999999999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90.212699999999998</v>
      </c>
      <c r="G478">
        <v>105.91249999999999</v>
      </c>
      <c r="H478">
        <v>144.7997</v>
      </c>
      <c r="I478">
        <v>147.08619999999999</v>
      </c>
      <c r="J478">
        <v>152.70240000000001</v>
      </c>
      <c r="K478">
        <v>178.54769999999999</v>
      </c>
      <c r="L478">
        <v>146.33539999999999</v>
      </c>
      <c r="M478">
        <v>122.6028</v>
      </c>
      <c r="N478">
        <v>137.7689</v>
      </c>
      <c r="O478">
        <v>147.4288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24.6568</v>
      </c>
      <c r="G479">
        <v>25.887799999999999</v>
      </c>
      <c r="H479">
        <v>27.703299999999999</v>
      </c>
      <c r="I479">
        <v>29.369</v>
      </c>
      <c r="J479">
        <v>35.6616</v>
      </c>
      <c r="K479">
        <v>31.865500000000001</v>
      </c>
      <c r="L479">
        <v>51.236699999999999</v>
      </c>
      <c r="M479">
        <v>8.8259000000000007</v>
      </c>
      <c r="N479">
        <v>14.1264</v>
      </c>
      <c r="O479">
        <v>16.1709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124.6138</v>
      </c>
      <c r="G480">
        <v>48.380499999999998</v>
      </c>
      <c r="H480">
        <v>22.011800000000001</v>
      </c>
      <c r="I480">
        <v>0.24640000000000001</v>
      </c>
      <c r="J480">
        <v>0.13669999999999999</v>
      </c>
      <c r="K480">
        <v>0.55430000000000001</v>
      </c>
      <c r="L480">
        <v>1238.4289000000001</v>
      </c>
      <c r="M480">
        <v>17326.828799999999</v>
      </c>
      <c r="N480">
        <v>1993.3092999999999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37.957999999999998</v>
      </c>
      <c r="G481">
        <v>45.977400000000003</v>
      </c>
      <c r="H481">
        <v>40.234699999999997</v>
      </c>
      <c r="I481">
        <v>38.022500000000001</v>
      </c>
      <c r="J481">
        <v>37.910899999999998</v>
      </c>
      <c r="K481">
        <v>35.323599999999999</v>
      </c>
      <c r="L481">
        <v>34.913800000000002</v>
      </c>
      <c r="M481">
        <v>38.3962</v>
      </c>
      <c r="N481">
        <v>34.741199999999999</v>
      </c>
      <c r="O481">
        <v>30.6493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19.5168</v>
      </c>
      <c r="G482">
        <v>30.508900000000001</v>
      </c>
      <c r="H482">
        <v>29.428599999999999</v>
      </c>
      <c r="I482">
        <v>31.9939</v>
      </c>
      <c r="J482">
        <v>32.192399999999999</v>
      </c>
      <c r="K482">
        <v>25.494</v>
      </c>
      <c r="L482">
        <v>30.767700000000001</v>
      </c>
      <c r="M482">
        <v>26.003799999999998</v>
      </c>
      <c r="N482">
        <v>26.660599999999999</v>
      </c>
      <c r="O482">
        <v>17.798999999999999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177.24950000000001</v>
      </c>
      <c r="G483">
        <v>197.863</v>
      </c>
      <c r="H483">
        <v>202.98390000000001</v>
      </c>
      <c r="I483">
        <v>441.20389999999998</v>
      </c>
      <c r="J483">
        <v>515.99680000000001</v>
      </c>
      <c r="K483">
        <v>327.01589999999999</v>
      </c>
      <c r="L483">
        <v>321.91919999999999</v>
      </c>
      <c r="M483">
        <v>366.84910000000002</v>
      </c>
      <c r="N483">
        <v>147.42869999999999</v>
      </c>
      <c r="O483">
        <v>160.78989999999999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132.17230000000001</v>
      </c>
      <c r="G484">
        <v>142.13560000000001</v>
      </c>
      <c r="H484">
        <v>135.08199999999999</v>
      </c>
      <c r="I484">
        <v>137.95849999999999</v>
      </c>
      <c r="J484">
        <v>138.5583</v>
      </c>
      <c r="K484">
        <v>152.03989999999999</v>
      </c>
      <c r="L484">
        <v>118.7646</v>
      </c>
      <c r="M484">
        <v>102.2462</v>
      </c>
      <c r="N484">
        <v>89.198300000000003</v>
      </c>
      <c r="O484">
        <v>145.98699999999999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67.327299999999994</v>
      </c>
      <c r="G485">
        <v>77.150599999999997</v>
      </c>
      <c r="H485">
        <v>74.839799999999997</v>
      </c>
      <c r="I485">
        <v>61.763399999999997</v>
      </c>
      <c r="J485">
        <v>37.639000000000003</v>
      </c>
      <c r="K485">
        <v>68.618499999999997</v>
      </c>
      <c r="L485">
        <v>93.236800000000002</v>
      </c>
      <c r="M485">
        <v>72.952399999999997</v>
      </c>
      <c r="N485">
        <v>56.057699999999997</v>
      </c>
      <c r="O485">
        <v>43.852699999999999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143.31229999999999</v>
      </c>
      <c r="G486">
        <v>212.4648</v>
      </c>
      <c r="H486">
        <v>240.98920000000001</v>
      </c>
      <c r="I486">
        <v>242.64349999999999</v>
      </c>
      <c r="J486">
        <v>299.66329999999999</v>
      </c>
      <c r="K486">
        <v>373.03590000000003</v>
      </c>
      <c r="L486">
        <v>275.31389999999999</v>
      </c>
      <c r="M486">
        <v>217.9734</v>
      </c>
      <c r="N486">
        <v>198.5127</v>
      </c>
      <c r="O486">
        <v>151.4744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43.303800000000003</v>
      </c>
      <c r="G487">
        <v>101.5796</v>
      </c>
      <c r="H487">
        <v>158.255</v>
      </c>
      <c r="I487">
        <v>163.29079999999999</v>
      </c>
      <c r="J487">
        <v>128.00620000000001</v>
      </c>
      <c r="K487">
        <v>98.371200000000002</v>
      </c>
      <c r="L487">
        <v>66.801299999999998</v>
      </c>
      <c r="M487">
        <v>104.4208</v>
      </c>
      <c r="N487">
        <v>70.638599999999997</v>
      </c>
      <c r="O487">
        <v>60.411499999999997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66.181700000000006</v>
      </c>
      <c r="G488">
        <v>66.597099999999998</v>
      </c>
      <c r="H488">
        <v>59.7117</v>
      </c>
      <c r="I488">
        <v>55.215899999999998</v>
      </c>
      <c r="J488">
        <v>49.952500000000001</v>
      </c>
      <c r="K488">
        <v>48.066600000000001</v>
      </c>
      <c r="L488">
        <v>70.525800000000004</v>
      </c>
      <c r="M488">
        <v>67.121600000000001</v>
      </c>
      <c r="N488">
        <v>72.367900000000006</v>
      </c>
      <c r="O488">
        <v>75.980099999999993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33.240499999999997</v>
      </c>
      <c r="G489">
        <v>25.921500000000002</v>
      </c>
      <c r="H489">
        <v>29.852900000000002</v>
      </c>
      <c r="I489">
        <v>44.111699999999999</v>
      </c>
      <c r="J489">
        <v>50.944600000000001</v>
      </c>
      <c r="K489">
        <v>57.171599999999998</v>
      </c>
      <c r="L489">
        <v>56.768300000000004</v>
      </c>
      <c r="M489">
        <v>51.536000000000001</v>
      </c>
      <c r="N489">
        <v>53.652200000000001</v>
      </c>
      <c r="O489">
        <v>65.334000000000003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78.927199999999999</v>
      </c>
      <c r="G490">
        <v>98.145399999999995</v>
      </c>
      <c r="H490">
        <v>86.397499999999994</v>
      </c>
      <c r="I490">
        <v>102.6104</v>
      </c>
      <c r="J490">
        <v>103.7895</v>
      </c>
      <c r="K490">
        <v>111.8348</v>
      </c>
      <c r="L490">
        <v>109.7231</v>
      </c>
      <c r="M490">
        <v>111.86020000000001</v>
      </c>
      <c r="N490">
        <v>90.227699999999999</v>
      </c>
      <c r="O490">
        <v>116.354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149.33959999999999</v>
      </c>
      <c r="G491">
        <v>161.88679999999999</v>
      </c>
      <c r="H491">
        <v>189.51609999999999</v>
      </c>
      <c r="I491">
        <v>183.22399999999999</v>
      </c>
      <c r="J491">
        <v>178.78559999999999</v>
      </c>
      <c r="K491">
        <v>192.5883</v>
      </c>
      <c r="L491">
        <v>191.71350000000001</v>
      </c>
      <c r="M491">
        <v>190.2073</v>
      </c>
      <c r="N491">
        <v>174.24029999999999</v>
      </c>
      <c r="O491">
        <v>139.46260000000001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75.585599999999999</v>
      </c>
      <c r="G492">
        <v>60.694000000000003</v>
      </c>
      <c r="H492">
        <v>4.2355999999999998</v>
      </c>
      <c r="I492">
        <v>7.1482999999999999</v>
      </c>
      <c r="J492">
        <v>11.629300000000001</v>
      </c>
      <c r="K492">
        <v>10.759399999999999</v>
      </c>
      <c r="L492">
        <v>9.6999999999999993</v>
      </c>
      <c r="M492">
        <v>10.2553</v>
      </c>
      <c r="N492">
        <v>20.117999999999999</v>
      </c>
      <c r="O492">
        <v>24.170999999999999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91.134699999999995</v>
      </c>
      <c r="G493">
        <v>333.92739999999998</v>
      </c>
      <c r="H493">
        <v>279.3698</v>
      </c>
      <c r="I493">
        <v>261.2235</v>
      </c>
      <c r="J493">
        <v>277.73399999999998</v>
      </c>
      <c r="K493">
        <v>270.46890000000002</v>
      </c>
      <c r="L493">
        <v>324.35930000000002</v>
      </c>
      <c r="M493">
        <v>257.97840000000002</v>
      </c>
      <c r="N493">
        <v>252.83529999999999</v>
      </c>
      <c r="O493">
        <v>191.2526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291.92489999999998</v>
      </c>
      <c r="G494">
        <v>243.10560000000001</v>
      </c>
      <c r="H494">
        <v>152.43979999999999</v>
      </c>
      <c r="I494">
        <v>148.1842</v>
      </c>
      <c r="J494">
        <v>190.5498</v>
      </c>
      <c r="K494">
        <v>238.00630000000001</v>
      </c>
      <c r="L494">
        <v>228.10059999999999</v>
      </c>
      <c r="M494">
        <v>281.43950000000001</v>
      </c>
      <c r="N494">
        <v>279.68700000000001</v>
      </c>
      <c r="O494">
        <v>204.09979999999999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206.07409999999999</v>
      </c>
      <c r="G495">
        <v>253.25139999999999</v>
      </c>
      <c r="H495">
        <v>311.48219999999998</v>
      </c>
      <c r="I495">
        <v>243.3691</v>
      </c>
      <c r="J495">
        <v>227.3785</v>
      </c>
      <c r="K495">
        <v>330.1671</v>
      </c>
      <c r="L495">
        <v>366.04250000000002</v>
      </c>
      <c r="M495">
        <v>360.3997</v>
      </c>
      <c r="N495">
        <v>387.0188</v>
      </c>
      <c r="O495">
        <v>380.7294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20.016300000000001</v>
      </c>
      <c r="G496">
        <v>10.4718</v>
      </c>
      <c r="H496">
        <v>8.8620999999999999</v>
      </c>
      <c r="I496">
        <v>11.043799999999999</v>
      </c>
      <c r="J496">
        <v>11.6736</v>
      </c>
      <c r="K496">
        <v>7.1929999999999996</v>
      </c>
      <c r="L496">
        <v>5.6056999999999997</v>
      </c>
      <c r="M496">
        <v>5.5082000000000004</v>
      </c>
      <c r="N496">
        <v>41.869799999999998</v>
      </c>
      <c r="O496">
        <v>48.849299999999999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334.56200000000001</v>
      </c>
      <c r="G497">
        <v>309.54759999999999</v>
      </c>
      <c r="H497">
        <v>231.97319999999999</v>
      </c>
      <c r="I497">
        <v>165.78749999999999</v>
      </c>
      <c r="J497">
        <v>150.91030000000001</v>
      </c>
      <c r="K497">
        <v>152.57980000000001</v>
      </c>
      <c r="L497">
        <v>238.5471</v>
      </c>
      <c r="M497">
        <v>248.15780000000001</v>
      </c>
      <c r="N497">
        <v>205.285</v>
      </c>
      <c r="O497">
        <v>171.47399999999999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70.838899999999995</v>
      </c>
      <c r="G498">
        <v>95.884799999999998</v>
      </c>
      <c r="H498">
        <v>77.876800000000003</v>
      </c>
      <c r="I498">
        <v>50.6721</v>
      </c>
      <c r="J498">
        <v>71.040700000000001</v>
      </c>
      <c r="K498">
        <v>50.648099999999999</v>
      </c>
      <c r="L498">
        <v>75.181899999999999</v>
      </c>
      <c r="M498">
        <v>71.619399999999999</v>
      </c>
      <c r="N498">
        <v>74.261300000000006</v>
      </c>
      <c r="O498">
        <v>69.113200000000006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61.200600000000001</v>
      </c>
      <c r="G499">
        <v>61.581000000000003</v>
      </c>
      <c r="H499">
        <v>67.943399999999997</v>
      </c>
      <c r="I499">
        <v>73.780100000000004</v>
      </c>
      <c r="J499">
        <v>68.245500000000007</v>
      </c>
      <c r="K499">
        <v>69.7791</v>
      </c>
      <c r="L499">
        <v>66.614099999999993</v>
      </c>
      <c r="M499">
        <v>69.766800000000003</v>
      </c>
      <c r="N499">
        <v>75.472999999999999</v>
      </c>
      <c r="O499">
        <v>81.486099999999993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58.423000000000002</v>
      </c>
      <c r="G500">
        <v>63.0261</v>
      </c>
      <c r="H500">
        <v>57.457700000000003</v>
      </c>
      <c r="I500">
        <v>59.334299999999999</v>
      </c>
      <c r="J500">
        <v>57.206000000000003</v>
      </c>
      <c r="K500">
        <v>64.239099999999993</v>
      </c>
      <c r="L500">
        <v>58.0974</v>
      </c>
      <c r="M500">
        <v>71.989699999999999</v>
      </c>
      <c r="N500">
        <v>52.298099999999998</v>
      </c>
      <c r="O500">
        <v>58.862699999999997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33.595799999999997</v>
      </c>
      <c r="G501">
        <v>57.578899999999997</v>
      </c>
      <c r="H501">
        <v>184.8058</v>
      </c>
      <c r="I501">
        <v>487.77879999999999</v>
      </c>
      <c r="J501">
        <v>929.43600000000004</v>
      </c>
      <c r="K501">
        <v>630.6223</v>
      </c>
      <c r="L501">
        <v>522.19330000000002</v>
      </c>
      <c r="M501">
        <v>420.92829999999998</v>
      </c>
      <c r="N501">
        <v>334.6216</v>
      </c>
      <c r="O501">
        <v>193.61269999999999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47.517000000000003</v>
      </c>
      <c r="G502">
        <v>53.3048</v>
      </c>
      <c r="H502">
        <v>65.556100000000001</v>
      </c>
      <c r="I502">
        <v>58.948799999999999</v>
      </c>
      <c r="J502">
        <v>81.881100000000004</v>
      </c>
      <c r="K502">
        <v>116.4494</v>
      </c>
      <c r="L502">
        <v>165.5051</v>
      </c>
      <c r="M502">
        <v>328.55189999999999</v>
      </c>
      <c r="N502">
        <v>309.29379999999998</v>
      </c>
      <c r="O502">
        <v>150.49789999999999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61.265500000000003</v>
      </c>
      <c r="G503">
        <v>67.401200000000003</v>
      </c>
      <c r="H503">
        <v>52.932899999999997</v>
      </c>
      <c r="I503">
        <v>51.223999999999997</v>
      </c>
      <c r="J503">
        <v>54.402999999999999</v>
      </c>
      <c r="K503">
        <v>53.727699999999999</v>
      </c>
      <c r="L503">
        <v>51.526299999999999</v>
      </c>
      <c r="M503">
        <v>53.168999999999997</v>
      </c>
      <c r="N503">
        <v>55.594499999999996</v>
      </c>
      <c r="O503">
        <v>67.123000000000005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216.2037</v>
      </c>
      <c r="G504">
        <v>317.83879999999999</v>
      </c>
      <c r="H504">
        <v>269.3254</v>
      </c>
      <c r="I504">
        <v>234.58199999999999</v>
      </c>
      <c r="J504">
        <v>168.82079999999999</v>
      </c>
      <c r="K504">
        <v>102.0556</v>
      </c>
      <c r="L504">
        <v>106.29170000000001</v>
      </c>
      <c r="M504">
        <v>53.978700000000003</v>
      </c>
      <c r="N504">
        <v>55.189399999999999</v>
      </c>
      <c r="O504">
        <v>46.815100000000001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83.137299999999996</v>
      </c>
      <c r="G505">
        <v>100.849</v>
      </c>
      <c r="H505">
        <v>81.701300000000003</v>
      </c>
      <c r="I505">
        <v>74.012699999999995</v>
      </c>
      <c r="J505">
        <v>86.581400000000002</v>
      </c>
      <c r="K505">
        <v>85.159499999999994</v>
      </c>
      <c r="L505">
        <v>129.14160000000001</v>
      </c>
      <c r="M505">
        <v>73.237899999999996</v>
      </c>
      <c r="N505">
        <v>55.660600000000002</v>
      </c>
      <c r="O505">
        <v>44.130499999999998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1773.8610000000001</v>
      </c>
      <c r="G506">
        <v>2476.1019000000001</v>
      </c>
      <c r="H506">
        <v>3155.2739000000001</v>
      </c>
      <c r="I506">
        <v>2217.9472999999998</v>
      </c>
      <c r="J506">
        <v>3455.0792000000001</v>
      </c>
      <c r="K506">
        <v>38233.75</v>
      </c>
      <c r="L506">
        <v>254.6225</v>
      </c>
      <c r="M506">
        <v>230.36529999999999</v>
      </c>
      <c r="N506">
        <v>3.0289000000000001</v>
      </c>
      <c r="O506">
        <v>0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11185.1906</v>
      </c>
      <c r="G507">
        <v>6396.4732000000004</v>
      </c>
      <c r="H507">
        <v>17395.714899999999</v>
      </c>
      <c r="I507">
        <v>7937.2676000000001</v>
      </c>
      <c r="J507">
        <v>5520.0227000000004</v>
      </c>
      <c r="K507">
        <v>2427.9901</v>
      </c>
      <c r="L507">
        <v>15046.559600000001</v>
      </c>
      <c r="M507">
        <v>8635.3775999999998</v>
      </c>
      <c r="N507">
        <v>1916.0550000000001</v>
      </c>
      <c r="O507">
        <v>1684.4915000000001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15489.3231</v>
      </c>
      <c r="G508">
        <v>0</v>
      </c>
      <c r="H508">
        <v>12.362500000000001</v>
      </c>
      <c r="I508">
        <v>0.70630000000000004</v>
      </c>
      <c r="J508">
        <v>0.35870000000000002</v>
      </c>
      <c r="K508">
        <v>0.30880000000000002</v>
      </c>
      <c r="L508">
        <v>6.4000000000000003E-3</v>
      </c>
      <c r="M508">
        <v>3.5000000000000001E-3</v>
      </c>
      <c r="N508">
        <v>2.3E-3</v>
      </c>
      <c r="O508">
        <v>0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664.20780000000002</v>
      </c>
      <c r="G509">
        <v>866.93499999999995</v>
      </c>
      <c r="H509">
        <v>862.4665</v>
      </c>
      <c r="I509">
        <v>968.01490000000001</v>
      </c>
      <c r="J509">
        <v>1124.1298999999999</v>
      </c>
      <c r="K509">
        <v>1168.0844999999999</v>
      </c>
      <c r="L509">
        <v>558.70600000000002</v>
      </c>
      <c r="M509">
        <v>298201.59240000002</v>
      </c>
      <c r="N509">
        <v>50141.6564</v>
      </c>
      <c r="O509">
        <v>11446.049800000001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35.585299999999997</v>
      </c>
      <c r="G510">
        <v>0</v>
      </c>
      <c r="H510">
        <v>29.753</v>
      </c>
      <c r="I510">
        <v>30.040500000000002</v>
      </c>
      <c r="J510">
        <v>38.758299999999998</v>
      </c>
      <c r="K510">
        <v>141.6694</v>
      </c>
      <c r="L510">
        <v>118.73860000000001</v>
      </c>
      <c r="M510">
        <v>79.620699999999999</v>
      </c>
      <c r="N510">
        <v>117.5955</v>
      </c>
      <c r="O510">
        <v>144.7679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32.811500000000002</v>
      </c>
      <c r="G511">
        <v>34.766100000000002</v>
      </c>
      <c r="H511">
        <v>33.627600000000001</v>
      </c>
      <c r="I511">
        <v>33.123600000000003</v>
      </c>
      <c r="J511">
        <v>62.270600000000002</v>
      </c>
      <c r="K511">
        <v>102.2697</v>
      </c>
      <c r="L511">
        <v>113.54559999999999</v>
      </c>
      <c r="M511">
        <v>84.405699999999996</v>
      </c>
      <c r="N511">
        <v>78.636099999999999</v>
      </c>
      <c r="O511">
        <v>99.811300000000003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66.677300000000002</v>
      </c>
      <c r="G512">
        <v>74.004800000000003</v>
      </c>
      <c r="J512">
        <v>1516.8642</v>
      </c>
      <c r="K512">
        <v>3594.2203</v>
      </c>
      <c r="L512">
        <v>3135.9602</v>
      </c>
      <c r="M512">
        <v>2759.3022999999998</v>
      </c>
      <c r="N512">
        <v>182.68960000000001</v>
      </c>
      <c r="O512">
        <v>224.43350000000001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1300.0401999999999</v>
      </c>
      <c r="G513">
        <v>1109.4176</v>
      </c>
      <c r="H513">
        <v>792.71699999999998</v>
      </c>
      <c r="I513">
        <v>641.45899999999995</v>
      </c>
      <c r="J513">
        <v>424.71300000000002</v>
      </c>
      <c r="K513">
        <v>488.70620000000002</v>
      </c>
      <c r="L513">
        <v>476.6198</v>
      </c>
      <c r="M513">
        <v>291.55309999999997</v>
      </c>
      <c r="N513">
        <v>232.691</v>
      </c>
      <c r="O513">
        <v>273.06169999999997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83.531099999999995</v>
      </c>
      <c r="G514">
        <v>84.842600000000004</v>
      </c>
      <c r="H514">
        <v>79.636600000000001</v>
      </c>
      <c r="I514">
        <v>74.152500000000003</v>
      </c>
      <c r="J514">
        <v>79.528899999999993</v>
      </c>
      <c r="K514">
        <v>68.555599999999998</v>
      </c>
      <c r="L514">
        <v>61.599499999999999</v>
      </c>
      <c r="M514">
        <v>65.1006</v>
      </c>
      <c r="N514">
        <v>61.8048</v>
      </c>
      <c r="O514">
        <v>73.665700000000001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109.9665</v>
      </c>
      <c r="G515">
        <v>117.94</v>
      </c>
      <c r="H515">
        <v>121.1768</v>
      </c>
      <c r="I515">
        <v>127.7663</v>
      </c>
      <c r="J515">
        <v>177.24510000000001</v>
      </c>
      <c r="K515">
        <v>222.90799999999999</v>
      </c>
      <c r="L515">
        <v>290.33319999999998</v>
      </c>
      <c r="M515">
        <v>258.77519999999998</v>
      </c>
      <c r="N515">
        <v>192.04320000000001</v>
      </c>
      <c r="O515">
        <v>228.52289999999999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4805.1776</v>
      </c>
      <c r="H516">
        <v>455.83929999999998</v>
      </c>
      <c r="I516">
        <v>667.3818</v>
      </c>
      <c r="J516">
        <v>700.68150000000003</v>
      </c>
      <c r="K516">
        <v>837.08500000000004</v>
      </c>
      <c r="L516">
        <v>810.84789999999998</v>
      </c>
      <c r="M516">
        <v>672.62170000000003</v>
      </c>
      <c r="N516">
        <v>578.15</v>
      </c>
      <c r="O516">
        <v>638.96609999999998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90.836500000000001</v>
      </c>
      <c r="G517">
        <v>91.284099999999995</v>
      </c>
      <c r="H517">
        <v>89.043099999999995</v>
      </c>
      <c r="I517">
        <v>84.191100000000006</v>
      </c>
      <c r="J517">
        <v>617.61680000000001</v>
      </c>
      <c r="K517">
        <v>1176.0414000000001</v>
      </c>
      <c r="L517">
        <v>1381.7905000000001</v>
      </c>
      <c r="M517">
        <v>1349.1747</v>
      </c>
      <c r="N517">
        <v>2033382.7279999999</v>
      </c>
      <c r="O517">
        <v>1801.6523999999999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1061.5261</v>
      </c>
      <c r="G518">
        <v>1121.4194</v>
      </c>
      <c r="H518">
        <v>889.61490000000003</v>
      </c>
      <c r="I518">
        <v>828.37929999999994</v>
      </c>
      <c r="J518">
        <v>757.23659999999995</v>
      </c>
      <c r="K518">
        <v>679.59709999999995</v>
      </c>
      <c r="L518">
        <v>759.37249999999995</v>
      </c>
      <c r="M518">
        <v>775.21069999999997</v>
      </c>
      <c r="N518">
        <v>718.52700000000004</v>
      </c>
      <c r="O518">
        <v>738.99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25.883600000000001</v>
      </c>
      <c r="G519">
        <v>21.191099999999999</v>
      </c>
      <c r="H519">
        <v>13.5282</v>
      </c>
      <c r="I519">
        <v>14.9605</v>
      </c>
      <c r="J519">
        <v>7.4653999999999998</v>
      </c>
      <c r="K519">
        <v>8.0238999999999994</v>
      </c>
      <c r="L519">
        <v>5.9737999999999998</v>
      </c>
      <c r="M519">
        <v>5.5155000000000003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14.9276</v>
      </c>
      <c r="G520">
        <v>22.734400000000001</v>
      </c>
      <c r="H520">
        <v>14.150700000000001</v>
      </c>
      <c r="I520">
        <v>12.2883</v>
      </c>
      <c r="J520">
        <v>15.064500000000001</v>
      </c>
      <c r="K520">
        <v>24.430299999999999</v>
      </c>
      <c r="L520">
        <v>42.415999999999997</v>
      </c>
      <c r="M520">
        <v>38.186</v>
      </c>
      <c r="N520">
        <v>31.023399999999999</v>
      </c>
      <c r="O520">
        <v>33.238500000000002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91.032399999999996</v>
      </c>
      <c r="G521">
        <v>122.1896</v>
      </c>
      <c r="H521">
        <v>100.05500000000001</v>
      </c>
      <c r="I521">
        <v>88.080200000000005</v>
      </c>
      <c r="J521">
        <v>78.676000000000002</v>
      </c>
      <c r="K521">
        <v>103.62649999999999</v>
      </c>
      <c r="L521">
        <v>104.7989</v>
      </c>
      <c r="M521">
        <v>74.576099999999997</v>
      </c>
      <c r="N521">
        <v>60.734999999999999</v>
      </c>
      <c r="O521">
        <v>69.332400000000007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23025.193800000001</v>
      </c>
      <c r="G522">
        <v>1130.8526999999999</v>
      </c>
      <c r="H522">
        <v>743.83339999999998</v>
      </c>
      <c r="I522">
        <v>584.8329</v>
      </c>
      <c r="J522">
        <v>588.28790000000004</v>
      </c>
      <c r="K522">
        <v>495.92910000000001</v>
      </c>
      <c r="L522">
        <v>488.3895</v>
      </c>
      <c r="M522">
        <v>483.12139999999999</v>
      </c>
      <c r="N522">
        <v>484.59519999999998</v>
      </c>
      <c r="O522">
        <v>126.7826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9.7986000000000004</v>
      </c>
      <c r="G523">
        <v>18.537700000000001</v>
      </c>
      <c r="H523">
        <v>0</v>
      </c>
      <c r="I523">
        <v>3.9600000000000003E-2</v>
      </c>
      <c r="J523">
        <v>3049.0120000000002</v>
      </c>
      <c r="K523">
        <v>4266.9027999999998</v>
      </c>
      <c r="L523">
        <v>4272.0607</v>
      </c>
      <c r="M523">
        <v>1091.9701</v>
      </c>
      <c r="N523">
        <v>663.82010000000002</v>
      </c>
      <c r="O523">
        <v>683.07899999999995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2351.0567999999998</v>
      </c>
      <c r="G524">
        <v>1908.5639000000001</v>
      </c>
      <c r="H524">
        <v>1220.4576</v>
      </c>
      <c r="I524">
        <v>1619.4106999999999</v>
      </c>
      <c r="J524">
        <v>3464.1365000000001</v>
      </c>
      <c r="K524">
        <v>2585.9535999999998</v>
      </c>
      <c r="L524">
        <v>2088.5255999999999</v>
      </c>
      <c r="M524">
        <v>3424.7343999999998</v>
      </c>
      <c r="N524">
        <v>2612.4403000000002</v>
      </c>
      <c r="O524">
        <v>1071.6305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56.721800000000002</v>
      </c>
      <c r="G525">
        <v>82.053700000000006</v>
      </c>
      <c r="H525">
        <v>51.4771</v>
      </c>
      <c r="I525">
        <v>45.975099999999998</v>
      </c>
      <c r="J525">
        <v>37.604199999999999</v>
      </c>
      <c r="K525">
        <v>44.573999999999998</v>
      </c>
      <c r="L525">
        <v>41.898499999999999</v>
      </c>
      <c r="M525">
        <v>77.694400000000002</v>
      </c>
      <c r="N525">
        <v>70.025400000000005</v>
      </c>
      <c r="O525">
        <v>83.275599999999997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622.75930000000005</v>
      </c>
      <c r="G526">
        <v>728.2115</v>
      </c>
      <c r="H526">
        <v>488.91829999999999</v>
      </c>
      <c r="I526">
        <v>1138.2149999999999</v>
      </c>
      <c r="J526">
        <v>923.78250000000003</v>
      </c>
      <c r="K526">
        <v>441.0179</v>
      </c>
      <c r="L526">
        <v>309.5179</v>
      </c>
      <c r="M526">
        <v>227.72450000000001</v>
      </c>
      <c r="N526">
        <v>131.1713</v>
      </c>
      <c r="O526">
        <v>166.7687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42.165399999999998</v>
      </c>
      <c r="G528">
        <v>43.091000000000001</v>
      </c>
      <c r="H528">
        <v>38.039299999999997</v>
      </c>
      <c r="I528">
        <v>34.171300000000002</v>
      </c>
      <c r="J528">
        <v>41.6096</v>
      </c>
      <c r="K528">
        <v>29.779699999999998</v>
      </c>
      <c r="L528">
        <v>22.180199999999999</v>
      </c>
      <c r="M528">
        <v>20.421900000000001</v>
      </c>
      <c r="N528">
        <v>18.2118</v>
      </c>
      <c r="O528">
        <v>15.694100000000001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123.69199999999999</v>
      </c>
      <c r="G529">
        <v>172.8613</v>
      </c>
      <c r="H529">
        <v>68.545699999999997</v>
      </c>
      <c r="I529">
        <v>42.807000000000002</v>
      </c>
      <c r="J529">
        <v>36.552100000000003</v>
      </c>
      <c r="K529">
        <v>44.845500000000001</v>
      </c>
      <c r="L529">
        <v>41.784300000000002</v>
      </c>
      <c r="M529">
        <v>34.860399999999998</v>
      </c>
      <c r="N529">
        <v>34.480600000000003</v>
      </c>
      <c r="O529">
        <v>33.734099999999998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184.88810000000001</v>
      </c>
      <c r="G530">
        <v>206.5461</v>
      </c>
      <c r="H530">
        <v>234.59299999999999</v>
      </c>
      <c r="I530">
        <v>240.05080000000001</v>
      </c>
      <c r="J530">
        <v>251.8056</v>
      </c>
      <c r="K530">
        <v>254.4083</v>
      </c>
      <c r="L530">
        <v>84.725700000000003</v>
      </c>
      <c r="M530">
        <v>104.78879999999999</v>
      </c>
      <c r="N530">
        <v>143.63229999999999</v>
      </c>
      <c r="O530">
        <v>159.45359999999999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143.05860000000001</v>
      </c>
      <c r="G531">
        <v>198.8126</v>
      </c>
      <c r="H531">
        <v>190.8296</v>
      </c>
      <c r="I531">
        <v>184.57589999999999</v>
      </c>
      <c r="J531">
        <v>174.92590000000001</v>
      </c>
      <c r="K531">
        <v>144.14570000000001</v>
      </c>
      <c r="L531">
        <v>131.12299999999999</v>
      </c>
      <c r="M531">
        <v>125.12479999999999</v>
      </c>
      <c r="N531">
        <v>131.02029999999999</v>
      </c>
      <c r="O531">
        <v>98.591200000000001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39.684399999999997</v>
      </c>
      <c r="O532">
        <v>44.473799999999997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8.1160999999999994</v>
      </c>
      <c r="G533">
        <v>2.2812999999999999</v>
      </c>
      <c r="H533">
        <v>4.9634999999999998</v>
      </c>
      <c r="I533">
        <v>4.9406999999999996</v>
      </c>
      <c r="J533">
        <v>21.9514</v>
      </c>
      <c r="K533">
        <v>15.468299999999999</v>
      </c>
      <c r="L533">
        <v>15.879300000000001</v>
      </c>
      <c r="M533">
        <v>17.674199999999999</v>
      </c>
      <c r="N533">
        <v>18.462599999999998</v>
      </c>
      <c r="O533">
        <v>32.781599999999997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0</v>
      </c>
      <c r="H534">
        <v>0</v>
      </c>
      <c r="I534">
        <v>1.5375000000000001</v>
      </c>
      <c r="J534">
        <v>5.8428000000000004</v>
      </c>
      <c r="K534">
        <v>20.166699999999999</v>
      </c>
      <c r="L534">
        <v>61.583500000000001</v>
      </c>
      <c r="M534">
        <v>55.600200000000001</v>
      </c>
      <c r="N534">
        <v>0</v>
      </c>
      <c r="O534">
        <v>0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42.549799999999998</v>
      </c>
      <c r="G535">
        <v>41.783799999999999</v>
      </c>
      <c r="H535">
        <v>31.483000000000001</v>
      </c>
      <c r="I535">
        <v>20.489799999999999</v>
      </c>
      <c r="J535">
        <v>43.441400000000002</v>
      </c>
      <c r="K535">
        <v>35.8035</v>
      </c>
      <c r="L535">
        <v>36.5916</v>
      </c>
      <c r="M535">
        <v>40.052300000000002</v>
      </c>
      <c r="N535">
        <v>46.456800000000001</v>
      </c>
      <c r="O535">
        <v>52.318300000000001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517.32320000000004</v>
      </c>
      <c r="G536">
        <v>124.60420000000001</v>
      </c>
      <c r="H536">
        <v>85.632300000000001</v>
      </c>
      <c r="I536">
        <v>64.387299999999996</v>
      </c>
      <c r="J536">
        <v>53.554900000000004</v>
      </c>
      <c r="K536">
        <v>62.183199999999999</v>
      </c>
      <c r="L536">
        <v>69.949700000000007</v>
      </c>
      <c r="M536">
        <v>70.9178</v>
      </c>
      <c r="N536">
        <v>77.014899999999997</v>
      </c>
      <c r="O536">
        <v>108.7915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282.58359999999999</v>
      </c>
      <c r="G537">
        <v>306.1551</v>
      </c>
      <c r="H537">
        <v>137.04740000000001</v>
      </c>
      <c r="I537">
        <v>98.984700000000004</v>
      </c>
      <c r="J537">
        <v>63.551200000000001</v>
      </c>
      <c r="K537">
        <v>82.088499999999996</v>
      </c>
      <c r="L537">
        <v>36.709400000000002</v>
      </c>
      <c r="M537">
        <v>44.857599999999998</v>
      </c>
      <c r="N537">
        <v>56.238500000000002</v>
      </c>
      <c r="O537">
        <v>51.044899999999998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2476.4459000000002</v>
      </c>
      <c r="G538">
        <v>6700.3572000000004</v>
      </c>
      <c r="H538">
        <v>4905.8613999999998</v>
      </c>
      <c r="I538">
        <v>2543.5663</v>
      </c>
      <c r="J538">
        <v>1325.3552999999999</v>
      </c>
      <c r="K538">
        <v>2481.9549999999999</v>
      </c>
      <c r="L538">
        <v>3075.4151000000002</v>
      </c>
      <c r="M538">
        <v>2981.5158000000001</v>
      </c>
      <c r="N538">
        <v>3347.8474000000001</v>
      </c>
      <c r="O538">
        <v>2776.9328999999998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2686.2813999999998</v>
      </c>
      <c r="G539">
        <v>1277.9157</v>
      </c>
      <c r="H539">
        <v>1391.0974000000001</v>
      </c>
      <c r="I539">
        <v>2804.3321000000001</v>
      </c>
      <c r="J539">
        <v>2921.4875000000002</v>
      </c>
      <c r="K539">
        <v>2335.8191000000002</v>
      </c>
      <c r="L539">
        <v>2074.7440999999999</v>
      </c>
      <c r="M539">
        <v>1136.8199</v>
      </c>
      <c r="N539">
        <v>2672.3101000000001</v>
      </c>
      <c r="O539">
        <v>2633.63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2.2000999999999999</v>
      </c>
      <c r="G540">
        <v>2.1741999999999999</v>
      </c>
      <c r="H540">
        <v>2.8126000000000002</v>
      </c>
      <c r="I540">
        <v>4.8243999999999998</v>
      </c>
      <c r="J540">
        <v>3.7576999999999998</v>
      </c>
      <c r="K540">
        <v>8.7475000000000005</v>
      </c>
      <c r="L540">
        <v>24.265699999999999</v>
      </c>
      <c r="M540">
        <v>5.0396999999999998</v>
      </c>
      <c r="N540">
        <v>6.2009999999999996</v>
      </c>
      <c r="O540">
        <v>5.2766000000000002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878.98850000000004</v>
      </c>
      <c r="G541">
        <v>916.59749999999997</v>
      </c>
      <c r="H541">
        <v>428.61959999999999</v>
      </c>
      <c r="I541">
        <v>576.20699999999999</v>
      </c>
      <c r="J541">
        <v>1390.8023000000001</v>
      </c>
      <c r="K541">
        <v>1168.221</v>
      </c>
      <c r="L541">
        <v>2413.1714999999999</v>
      </c>
      <c r="M541">
        <v>4157.0375999999997</v>
      </c>
      <c r="N541">
        <v>3626.1831999999999</v>
      </c>
      <c r="O541">
        <v>14268.4545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16.283300000000001</v>
      </c>
      <c r="G542">
        <v>25.0914</v>
      </c>
      <c r="H542">
        <v>12.152100000000001</v>
      </c>
      <c r="I542">
        <v>15.750999999999999</v>
      </c>
      <c r="J542">
        <v>12.947800000000001</v>
      </c>
      <c r="K542">
        <v>11.366300000000001</v>
      </c>
      <c r="L542">
        <v>10.0562</v>
      </c>
      <c r="M542">
        <v>12.050800000000001</v>
      </c>
      <c r="N542">
        <v>11.998100000000001</v>
      </c>
      <c r="O542">
        <v>17.651299999999999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4.3207000000000004</v>
      </c>
      <c r="G543">
        <v>2.6957</v>
      </c>
      <c r="H543">
        <v>3.3090999999999999</v>
      </c>
      <c r="I543">
        <v>36.267200000000003</v>
      </c>
      <c r="J543">
        <v>10.351900000000001</v>
      </c>
      <c r="K543">
        <v>156.32560000000001</v>
      </c>
      <c r="L543">
        <v>248.49590000000001</v>
      </c>
      <c r="M543">
        <v>65.705399999999997</v>
      </c>
      <c r="N543">
        <v>129.0958</v>
      </c>
      <c r="O543">
        <v>110.5279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16.9055</v>
      </c>
      <c r="G544">
        <v>28.017099999999999</v>
      </c>
      <c r="H544">
        <v>30.355399999999999</v>
      </c>
      <c r="I544">
        <v>28.276700000000002</v>
      </c>
      <c r="J544">
        <v>31.870699999999999</v>
      </c>
      <c r="K544">
        <v>37.840299999999999</v>
      </c>
      <c r="L544">
        <v>32.5837</v>
      </c>
      <c r="M544">
        <v>44.953699999999998</v>
      </c>
      <c r="N544">
        <v>98.231200000000001</v>
      </c>
      <c r="O544">
        <v>126.456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221.52699999999999</v>
      </c>
      <c r="G545">
        <v>238.0068</v>
      </c>
      <c r="H545">
        <v>242.65280000000001</v>
      </c>
      <c r="I545">
        <v>161.9753</v>
      </c>
      <c r="J545">
        <v>120.6841</v>
      </c>
      <c r="K545">
        <v>130.999</v>
      </c>
      <c r="L545">
        <v>121.0134</v>
      </c>
      <c r="M545">
        <v>123.5003</v>
      </c>
      <c r="N545">
        <v>133.2354</v>
      </c>
      <c r="O545">
        <v>168.476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4163.9733999999999</v>
      </c>
      <c r="G547">
        <v>151.37200000000001</v>
      </c>
      <c r="H547">
        <v>1668.3273999999999</v>
      </c>
      <c r="I547">
        <v>3601.3515000000002</v>
      </c>
      <c r="J547">
        <v>2572.4575</v>
      </c>
      <c r="K547">
        <v>1052.9593</v>
      </c>
      <c r="L547">
        <v>583.35590000000002</v>
      </c>
      <c r="M547">
        <v>494.19310000000002</v>
      </c>
      <c r="N547">
        <v>564.74749999999995</v>
      </c>
      <c r="O547">
        <v>746.45479999999998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1118.5191</v>
      </c>
      <c r="G548">
        <v>929.11500000000001</v>
      </c>
      <c r="H548">
        <v>733.04430000000002</v>
      </c>
      <c r="I548">
        <v>905.5924</v>
      </c>
      <c r="J548">
        <v>909.5009</v>
      </c>
      <c r="K548">
        <v>858.84310000000005</v>
      </c>
      <c r="L548">
        <v>1019.205</v>
      </c>
      <c r="M548">
        <v>913.68989999999997</v>
      </c>
      <c r="N548">
        <v>1104.9086</v>
      </c>
      <c r="O548">
        <v>814.68150000000003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7020.223</v>
      </c>
      <c r="G549">
        <v>109264.25079999999</v>
      </c>
      <c r="H549">
        <v>4958.1634999999997</v>
      </c>
      <c r="I549">
        <v>1862.6511</v>
      </c>
      <c r="J549">
        <v>4735.8092999999999</v>
      </c>
      <c r="K549">
        <v>1101.1569999999999</v>
      </c>
      <c r="L549">
        <v>2977.393</v>
      </c>
      <c r="M549">
        <v>2741.0740000000001</v>
      </c>
      <c r="N549">
        <v>2688.8359999999998</v>
      </c>
      <c r="O549">
        <v>1491.5184999999999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31.996099999999998</v>
      </c>
      <c r="G550">
        <v>35.771900000000002</v>
      </c>
      <c r="H550">
        <v>39.830300000000001</v>
      </c>
      <c r="I550">
        <v>31.742599999999999</v>
      </c>
      <c r="J550">
        <v>21.881399999999999</v>
      </c>
      <c r="K550">
        <v>29.2378</v>
      </c>
      <c r="L550">
        <v>28.7698</v>
      </c>
      <c r="M550">
        <v>29.3523</v>
      </c>
      <c r="N550">
        <v>27.6402</v>
      </c>
      <c r="O550">
        <v>26.3962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154.12129999999999</v>
      </c>
      <c r="G551">
        <v>334.89299999999997</v>
      </c>
      <c r="H551">
        <v>1030.3388</v>
      </c>
      <c r="I551">
        <v>1125.5083999999999</v>
      </c>
      <c r="J551">
        <v>496.82929999999999</v>
      </c>
      <c r="K551">
        <v>194.8158</v>
      </c>
      <c r="L551">
        <v>139.114</v>
      </c>
      <c r="M551">
        <v>128.45939999999999</v>
      </c>
      <c r="N551">
        <v>102.6281</v>
      </c>
      <c r="O551">
        <v>98.948400000000007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0.49370000000000003</v>
      </c>
      <c r="M552">
        <v>2.077</v>
      </c>
      <c r="N552">
        <v>2.4712999999999998</v>
      </c>
      <c r="O552">
        <v>2.9097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81.843699999999998</v>
      </c>
      <c r="G553">
        <v>114.64319999999999</v>
      </c>
      <c r="H553">
        <v>120.3644</v>
      </c>
      <c r="I553">
        <v>116.1075</v>
      </c>
      <c r="J553">
        <v>121.27930000000001</v>
      </c>
      <c r="K553">
        <v>61.227800000000002</v>
      </c>
      <c r="L553">
        <v>94.742599999999996</v>
      </c>
      <c r="M553">
        <v>83.219899999999996</v>
      </c>
      <c r="N553">
        <v>68.810500000000005</v>
      </c>
      <c r="O553">
        <v>56.116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21.771999999999998</v>
      </c>
      <c r="G554">
        <v>113.62179999999999</v>
      </c>
      <c r="H554">
        <v>275.16160000000002</v>
      </c>
      <c r="I554">
        <v>254.8991</v>
      </c>
      <c r="J554">
        <v>56.924199999999999</v>
      </c>
      <c r="K554">
        <v>32.3157</v>
      </c>
      <c r="L554">
        <v>16.812899999999999</v>
      </c>
      <c r="M554">
        <v>79.808300000000003</v>
      </c>
      <c r="N554">
        <v>81.158199999999994</v>
      </c>
      <c r="O554">
        <v>92.257900000000006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602.67790000000002</v>
      </c>
      <c r="G555">
        <v>625.20719999999994</v>
      </c>
      <c r="H555">
        <v>600.70190000000002</v>
      </c>
      <c r="I555">
        <v>333.35950000000003</v>
      </c>
      <c r="J555">
        <v>98.389700000000005</v>
      </c>
      <c r="K555">
        <v>116.95140000000001</v>
      </c>
      <c r="L555">
        <v>103.459</v>
      </c>
      <c r="M555">
        <v>120.4117</v>
      </c>
      <c r="N555">
        <v>81.569400000000002</v>
      </c>
      <c r="O555">
        <v>113.5453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M556">
        <v>49.664200000000001</v>
      </c>
      <c r="N556">
        <v>24.503499999999999</v>
      </c>
      <c r="O556">
        <v>75.925899999999999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2749.8687</v>
      </c>
      <c r="G557">
        <v>2621.3888000000002</v>
      </c>
      <c r="H557">
        <v>3649.9409000000001</v>
      </c>
      <c r="I557">
        <v>3470.2813999999998</v>
      </c>
      <c r="J557">
        <v>2133.0875000000001</v>
      </c>
      <c r="K557">
        <v>4320.5460999999996</v>
      </c>
      <c r="L557">
        <v>5667.6207000000004</v>
      </c>
      <c r="M557">
        <v>5657.8657000000003</v>
      </c>
      <c r="N557">
        <v>4604.6974</v>
      </c>
      <c r="O557">
        <v>4170.259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5491.6642000000002</v>
      </c>
      <c r="G558">
        <v>2963.3872000000001</v>
      </c>
      <c r="H558">
        <v>3635.9652999999998</v>
      </c>
      <c r="I558">
        <v>3715.0140999999999</v>
      </c>
      <c r="J558">
        <v>3129.9454999999998</v>
      </c>
      <c r="K558">
        <v>3277.6669000000002</v>
      </c>
      <c r="L558">
        <v>1763.7406000000001</v>
      </c>
      <c r="M558">
        <v>970.4239</v>
      </c>
      <c r="N558">
        <v>939.64710000000002</v>
      </c>
      <c r="O558">
        <v>3925.5895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127.2141</v>
      </c>
      <c r="G559">
        <v>140.14400000000001</v>
      </c>
      <c r="H559">
        <v>123.866</v>
      </c>
      <c r="I559">
        <v>127.41240000000001</v>
      </c>
      <c r="J559">
        <v>137.06630000000001</v>
      </c>
      <c r="K559">
        <v>144.41149999999999</v>
      </c>
      <c r="L559">
        <v>148.96420000000001</v>
      </c>
      <c r="M559">
        <v>135.881</v>
      </c>
      <c r="N559">
        <v>132.0076</v>
      </c>
      <c r="O559">
        <v>154.50559999999999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21.9224</v>
      </c>
      <c r="G560">
        <v>34.998800000000003</v>
      </c>
      <c r="H560">
        <v>28.996300000000002</v>
      </c>
      <c r="I560">
        <v>34.567</v>
      </c>
      <c r="J560">
        <v>35.165900000000001</v>
      </c>
      <c r="K560">
        <v>43.998699999999999</v>
      </c>
      <c r="L560">
        <v>67.844899999999996</v>
      </c>
      <c r="M560">
        <v>70.190100000000001</v>
      </c>
      <c r="N560">
        <v>111.8758</v>
      </c>
      <c r="O560">
        <v>110.673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8.8008000000000006</v>
      </c>
      <c r="G561">
        <v>67.977099999999993</v>
      </c>
      <c r="H561">
        <v>64.685000000000002</v>
      </c>
      <c r="I561">
        <v>80.198999999999998</v>
      </c>
      <c r="J561">
        <v>101.81740000000001</v>
      </c>
      <c r="K561">
        <v>157.16470000000001</v>
      </c>
      <c r="L561">
        <v>196.90690000000001</v>
      </c>
      <c r="M561">
        <v>185.46799999999999</v>
      </c>
      <c r="N561">
        <v>165.19829999999999</v>
      </c>
      <c r="O561">
        <v>140.16249999999999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4609.1544000000004</v>
      </c>
      <c r="G562">
        <v>3845.4567999999999</v>
      </c>
      <c r="H562">
        <v>2242.3575999999998</v>
      </c>
      <c r="I562">
        <v>1766.8794</v>
      </c>
      <c r="J562">
        <v>1556.6876999999999</v>
      </c>
      <c r="K562">
        <v>1078.9829999999999</v>
      </c>
      <c r="L562">
        <v>2441.1911</v>
      </c>
      <c r="M562">
        <v>6329.5465999999997</v>
      </c>
      <c r="N562">
        <v>6434.5240999999996</v>
      </c>
      <c r="O562">
        <v>5973.0365000000002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89.560699999999997</v>
      </c>
      <c r="G563">
        <v>107.1142</v>
      </c>
      <c r="H563">
        <v>97.864699999999999</v>
      </c>
      <c r="I563">
        <v>91.825800000000001</v>
      </c>
      <c r="J563">
        <v>81.673599999999993</v>
      </c>
      <c r="K563">
        <v>93.051699999999997</v>
      </c>
      <c r="L563">
        <v>110.7946</v>
      </c>
      <c r="M563">
        <v>119.6738</v>
      </c>
      <c r="N563">
        <v>110.1962</v>
      </c>
      <c r="O563">
        <v>96.258200000000002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3012.7125000000001</v>
      </c>
      <c r="G564">
        <v>7129.7707</v>
      </c>
      <c r="H564">
        <v>3513.7622000000001</v>
      </c>
      <c r="I564">
        <v>1719.2460000000001</v>
      </c>
      <c r="J564">
        <v>2398.73</v>
      </c>
      <c r="K564">
        <v>3415.4694</v>
      </c>
      <c r="L564">
        <v>9122.0082999999995</v>
      </c>
      <c r="M564">
        <v>2158.9555999999998</v>
      </c>
      <c r="N564">
        <v>2138.7779999999998</v>
      </c>
      <c r="O564">
        <v>2457.8404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492.3725</v>
      </c>
      <c r="G565">
        <v>709.63160000000005</v>
      </c>
      <c r="H565">
        <v>511.49799999999999</v>
      </c>
      <c r="I565">
        <v>502.5659</v>
      </c>
      <c r="J565">
        <v>615.88400000000001</v>
      </c>
      <c r="K565">
        <v>838.61839999999995</v>
      </c>
      <c r="L565">
        <v>389.5659</v>
      </c>
      <c r="M565">
        <v>278.38709999999998</v>
      </c>
      <c r="N565">
        <v>219.84289999999999</v>
      </c>
      <c r="O565">
        <v>204.29769999999999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18.571400000000001</v>
      </c>
      <c r="G566">
        <v>42.705199999999998</v>
      </c>
      <c r="H566">
        <v>75.344399999999993</v>
      </c>
      <c r="I566">
        <v>77.968699999999998</v>
      </c>
      <c r="J566">
        <v>100.974</v>
      </c>
      <c r="K566">
        <v>41.171399999999998</v>
      </c>
      <c r="L566">
        <v>37.926000000000002</v>
      </c>
      <c r="M566">
        <v>39.778799999999997</v>
      </c>
      <c r="N566">
        <v>43.376800000000003</v>
      </c>
      <c r="O566">
        <v>45.306899999999999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73.756299999999996</v>
      </c>
      <c r="G567">
        <v>85.853399999999993</v>
      </c>
      <c r="H567">
        <v>71.227800000000002</v>
      </c>
      <c r="I567">
        <v>76.4495</v>
      </c>
      <c r="J567">
        <v>73.784099999999995</v>
      </c>
      <c r="K567">
        <v>70.378799999999998</v>
      </c>
      <c r="L567">
        <v>62.497399999999999</v>
      </c>
      <c r="M567">
        <v>55.590499999999999</v>
      </c>
      <c r="N567">
        <v>53.1997</v>
      </c>
      <c r="O567">
        <v>62.345500000000001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65.375900000000001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329.05220000000003</v>
      </c>
      <c r="G570">
        <v>221.69909999999999</v>
      </c>
      <c r="H570">
        <v>236.458</v>
      </c>
      <c r="I570">
        <v>119.1816</v>
      </c>
      <c r="J570">
        <v>321.88470000000001</v>
      </c>
      <c r="K570">
        <v>426.58199999999999</v>
      </c>
      <c r="L570">
        <v>418.44139999999999</v>
      </c>
      <c r="M570">
        <v>358.55680000000001</v>
      </c>
      <c r="N570">
        <v>185.93620000000001</v>
      </c>
      <c r="O570">
        <v>209.04169999999999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222.93450000000001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82.690700000000007</v>
      </c>
      <c r="G572">
        <v>109.28740000000001</v>
      </c>
      <c r="H572">
        <v>101.86190000000001</v>
      </c>
      <c r="I572">
        <v>98.757800000000003</v>
      </c>
      <c r="J572">
        <v>92.985399999999998</v>
      </c>
      <c r="K572">
        <v>114.5027</v>
      </c>
      <c r="L572">
        <v>117.60590000000001</v>
      </c>
      <c r="M572">
        <v>107.7593</v>
      </c>
      <c r="N572">
        <v>107.74639999999999</v>
      </c>
      <c r="O572">
        <v>122.0168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105.00839999999999</v>
      </c>
      <c r="G573">
        <v>118.99679999999999</v>
      </c>
      <c r="H573">
        <v>130.17670000000001</v>
      </c>
      <c r="I573">
        <v>90.710700000000003</v>
      </c>
      <c r="J573">
        <v>73.473799999999997</v>
      </c>
      <c r="K573">
        <v>48.392800000000001</v>
      </c>
      <c r="L573">
        <v>60.764899999999997</v>
      </c>
      <c r="M573">
        <v>84.879099999999994</v>
      </c>
      <c r="N573">
        <v>67.966999999999999</v>
      </c>
      <c r="O573">
        <v>54.524500000000003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1683.3876</v>
      </c>
      <c r="G574">
        <v>2646.3407000000002</v>
      </c>
      <c r="H574">
        <v>1577.7094999999999</v>
      </c>
      <c r="I574">
        <v>1106.3202000000001</v>
      </c>
      <c r="J574">
        <v>1466.4983999999999</v>
      </c>
      <c r="K574">
        <v>1228.5572999999999</v>
      </c>
      <c r="L574">
        <v>5575.0595000000003</v>
      </c>
      <c r="M574">
        <v>11256.6752</v>
      </c>
      <c r="N574">
        <v>4316.5713999999998</v>
      </c>
      <c r="O574">
        <v>6335.2605999999996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54.689700000000002</v>
      </c>
      <c r="G575">
        <v>78.4405</v>
      </c>
      <c r="H575">
        <v>72.188699999999997</v>
      </c>
      <c r="I575">
        <v>63.042499999999997</v>
      </c>
      <c r="J575">
        <v>67.2089</v>
      </c>
      <c r="K575">
        <v>66.505600000000001</v>
      </c>
      <c r="L575">
        <v>68.036100000000005</v>
      </c>
      <c r="M575">
        <v>53.171599999999998</v>
      </c>
      <c r="N575">
        <v>54.780200000000001</v>
      </c>
      <c r="O575">
        <v>52.244799999999998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277.4314</v>
      </c>
      <c r="H576">
        <v>182.5659</v>
      </c>
      <c r="I576">
        <v>105.9158</v>
      </c>
      <c r="J576">
        <v>167.77070000000001</v>
      </c>
      <c r="K576">
        <v>105.0377</v>
      </c>
      <c r="L576">
        <v>188.59569999999999</v>
      </c>
      <c r="M576">
        <v>134.6979</v>
      </c>
      <c r="N576">
        <v>90.110100000000003</v>
      </c>
      <c r="O576">
        <v>85.102800000000002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7.5198</v>
      </c>
      <c r="G577">
        <v>17.765999999999998</v>
      </c>
      <c r="H577">
        <v>7.2592999999999996</v>
      </c>
      <c r="I577">
        <v>5.8738000000000001</v>
      </c>
      <c r="J577">
        <v>19.997599999999998</v>
      </c>
      <c r="K577">
        <v>25.590499999999999</v>
      </c>
      <c r="L577">
        <v>35.244500000000002</v>
      </c>
      <c r="M577">
        <v>74.5959</v>
      </c>
      <c r="N577">
        <v>75.871899999999997</v>
      </c>
      <c r="O577">
        <v>6596.6634000000004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62.403100000000002</v>
      </c>
      <c r="G578">
        <v>31.362300000000001</v>
      </c>
      <c r="H578">
        <v>42.4377</v>
      </c>
      <c r="I578">
        <v>37.062399999999997</v>
      </c>
      <c r="J578">
        <v>21.997499999999999</v>
      </c>
      <c r="K578">
        <v>46.4268</v>
      </c>
      <c r="L578">
        <v>45.423299999999998</v>
      </c>
      <c r="M578">
        <v>49.982100000000003</v>
      </c>
      <c r="N578">
        <v>50.123899999999999</v>
      </c>
      <c r="O578">
        <v>53.792999999999999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105.0616</v>
      </c>
      <c r="I579">
        <v>121.44329999999999</v>
      </c>
      <c r="J579">
        <v>340.29109999999997</v>
      </c>
      <c r="K579">
        <v>360.44409999999999</v>
      </c>
      <c r="L579">
        <v>231.9419</v>
      </c>
      <c r="M579">
        <v>174.23230000000001</v>
      </c>
      <c r="N579">
        <v>148.04409999999999</v>
      </c>
      <c r="O579">
        <v>187.43459999999999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47.345599999999997</v>
      </c>
      <c r="G580">
        <v>56.958500000000001</v>
      </c>
      <c r="H580">
        <v>55.229599999999998</v>
      </c>
      <c r="I580">
        <v>135.41970000000001</v>
      </c>
      <c r="J580">
        <v>341.63</v>
      </c>
      <c r="K580">
        <v>76.887799999999999</v>
      </c>
      <c r="L580">
        <v>955.16639999999995</v>
      </c>
      <c r="M580">
        <v>310.31470000000002</v>
      </c>
      <c r="N580">
        <v>205.32929999999999</v>
      </c>
      <c r="O580">
        <v>117.88209999999999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93.025599999999997</v>
      </c>
      <c r="G581">
        <v>117.3948</v>
      </c>
      <c r="H581">
        <v>103.3283</v>
      </c>
      <c r="I581">
        <v>98.266400000000004</v>
      </c>
      <c r="J581">
        <v>138.917</v>
      </c>
      <c r="K581">
        <v>189.96600000000001</v>
      </c>
      <c r="L581">
        <v>148.83860000000001</v>
      </c>
      <c r="M581">
        <v>210.8853</v>
      </c>
      <c r="N581">
        <v>195.5575</v>
      </c>
      <c r="O581">
        <v>187.12039999999999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3707.8912999999998</v>
      </c>
      <c r="G582">
        <v>5597.6134000000002</v>
      </c>
      <c r="H582">
        <v>14449.4184</v>
      </c>
      <c r="I582">
        <v>5002.5384999999997</v>
      </c>
      <c r="J582">
        <v>4773.1895000000004</v>
      </c>
      <c r="K582">
        <v>7057.3841000000002</v>
      </c>
      <c r="L582">
        <v>4546.0609999999997</v>
      </c>
      <c r="M582">
        <v>36979.621400000004</v>
      </c>
      <c r="N582">
        <v>9677.1219999999994</v>
      </c>
      <c r="O582">
        <v>16144.2104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6493.3909000000003</v>
      </c>
      <c r="G583">
        <v>4164.7592000000004</v>
      </c>
      <c r="H583">
        <v>1295.4214999999999</v>
      </c>
      <c r="I583">
        <v>1147.6366</v>
      </c>
      <c r="J583">
        <v>1235.4836</v>
      </c>
      <c r="K583">
        <v>1168.549</v>
      </c>
      <c r="L583">
        <v>1802.4068</v>
      </c>
      <c r="M583">
        <v>2048.6763000000001</v>
      </c>
      <c r="N583">
        <v>918.95770000000005</v>
      </c>
      <c r="O583">
        <v>911.77949999999998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244.35919999999999</v>
      </c>
      <c r="G584">
        <v>246.1986</v>
      </c>
      <c r="H584">
        <v>154.82669999999999</v>
      </c>
      <c r="I584">
        <v>235.80420000000001</v>
      </c>
      <c r="J584">
        <v>318.85969999999998</v>
      </c>
      <c r="K584">
        <v>253.4237</v>
      </c>
      <c r="L584">
        <v>158.58539999999999</v>
      </c>
      <c r="M584">
        <v>151.83369999999999</v>
      </c>
      <c r="N584">
        <v>114.7051</v>
      </c>
      <c r="O584">
        <v>93.414299999999997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93.397400000000005</v>
      </c>
      <c r="G585">
        <v>90.650099999999995</v>
      </c>
      <c r="H585">
        <v>62.262300000000003</v>
      </c>
      <c r="I585">
        <v>51.359000000000002</v>
      </c>
      <c r="J585">
        <v>72.243799999999993</v>
      </c>
      <c r="K585">
        <v>71.570899999999995</v>
      </c>
      <c r="L585">
        <v>57.6297</v>
      </c>
      <c r="M585">
        <v>46.545900000000003</v>
      </c>
      <c r="N585">
        <v>53.273800000000001</v>
      </c>
      <c r="O585">
        <v>58.764200000000002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7887.9069</v>
      </c>
      <c r="H586">
        <v>2562.4140000000002</v>
      </c>
      <c r="I586">
        <v>320.94850000000002</v>
      </c>
      <c r="J586">
        <v>435.99889999999999</v>
      </c>
      <c r="K586">
        <v>177.3527</v>
      </c>
      <c r="L586">
        <v>58.593200000000003</v>
      </c>
      <c r="M586">
        <v>48.216999999999999</v>
      </c>
      <c r="N586">
        <v>139.07130000000001</v>
      </c>
      <c r="O586">
        <v>76.923900000000003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38.026600000000002</v>
      </c>
      <c r="G587">
        <v>47.689300000000003</v>
      </c>
      <c r="H587">
        <v>40.482900000000001</v>
      </c>
      <c r="I587">
        <v>38.351399999999998</v>
      </c>
      <c r="J587">
        <v>40.874699999999997</v>
      </c>
      <c r="K587">
        <v>41.9373</v>
      </c>
      <c r="L587">
        <v>39.811799999999998</v>
      </c>
      <c r="M587">
        <v>43.524099999999997</v>
      </c>
      <c r="N587">
        <v>40.2898</v>
      </c>
      <c r="O587">
        <v>30.600100000000001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0.65429999999999999</v>
      </c>
      <c r="G588">
        <v>3.9681000000000002</v>
      </c>
      <c r="H588">
        <v>5.7291999999999996</v>
      </c>
      <c r="I588">
        <v>5.6210000000000004</v>
      </c>
      <c r="J588">
        <v>6.6769999999999996</v>
      </c>
      <c r="K588">
        <v>15.1972</v>
      </c>
      <c r="L588">
        <v>17.0305</v>
      </c>
      <c r="M588">
        <v>25.096499999999999</v>
      </c>
      <c r="N588">
        <v>22.747599999999998</v>
      </c>
      <c r="O588">
        <v>19.4999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99.415700000000001</v>
      </c>
      <c r="G589">
        <v>89.241200000000006</v>
      </c>
      <c r="H589">
        <v>80.905900000000003</v>
      </c>
      <c r="I589">
        <v>77.688400000000001</v>
      </c>
      <c r="J589">
        <v>68.724900000000005</v>
      </c>
      <c r="K589">
        <v>64.041200000000003</v>
      </c>
      <c r="L589">
        <v>52.909799999999997</v>
      </c>
      <c r="M589">
        <v>43.205500000000001</v>
      </c>
      <c r="N589">
        <v>44.55</v>
      </c>
      <c r="O589">
        <v>44.821899999999999</v>
      </c>
      <c r="P589">
        <v>41086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37.753</v>
      </c>
      <c r="G590">
        <v>65.738200000000006</v>
      </c>
      <c r="H590">
        <v>75.588800000000006</v>
      </c>
      <c r="I590">
        <v>70.138300000000001</v>
      </c>
      <c r="J590">
        <v>48.707900000000002</v>
      </c>
      <c r="K590">
        <v>48.607700000000001</v>
      </c>
      <c r="L590">
        <v>40.033900000000003</v>
      </c>
      <c r="M590">
        <v>42.069400000000002</v>
      </c>
      <c r="N590">
        <v>31.734400000000001</v>
      </c>
      <c r="O590">
        <v>438.23169999999999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657.48220000000003</v>
      </c>
      <c r="G591">
        <v>2955.5382</v>
      </c>
      <c r="H591">
        <v>796.93449999999996</v>
      </c>
      <c r="I591">
        <v>966.17160000000001</v>
      </c>
      <c r="J591">
        <v>524.87220000000002</v>
      </c>
      <c r="K591">
        <v>726.14599999999996</v>
      </c>
      <c r="L591">
        <v>1231.3824999999999</v>
      </c>
      <c r="M591">
        <v>268.35019999999997</v>
      </c>
      <c r="N591">
        <v>562.66099999999994</v>
      </c>
      <c r="O591">
        <v>460.39069999999998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1539.9836</v>
      </c>
      <c r="G592">
        <v>1537.5522000000001</v>
      </c>
      <c r="H592">
        <v>415.1275</v>
      </c>
      <c r="I592">
        <v>818.51760000000002</v>
      </c>
      <c r="J592">
        <v>524.92849999999999</v>
      </c>
      <c r="K592">
        <v>1204.9150999999999</v>
      </c>
      <c r="L592">
        <v>1093.8994</v>
      </c>
      <c r="M592">
        <v>598.96690000000001</v>
      </c>
      <c r="N592">
        <v>261.5129</v>
      </c>
      <c r="O592">
        <v>12.865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398.81099999999998</v>
      </c>
      <c r="G593">
        <v>475.28390000000002</v>
      </c>
      <c r="H593">
        <v>109.9922</v>
      </c>
      <c r="I593">
        <v>83.560599999999994</v>
      </c>
      <c r="J593">
        <v>38.953800000000001</v>
      </c>
      <c r="K593">
        <v>32.835000000000001</v>
      </c>
      <c r="L593">
        <v>18.989799999999999</v>
      </c>
      <c r="M593">
        <v>16.179600000000001</v>
      </c>
      <c r="N593">
        <v>13.7059</v>
      </c>
      <c r="O593">
        <v>11.152100000000001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1.9787999999999999</v>
      </c>
      <c r="G594">
        <v>0</v>
      </c>
      <c r="H594">
        <v>0</v>
      </c>
      <c r="I594">
        <v>0</v>
      </c>
      <c r="J594">
        <v>0</v>
      </c>
      <c r="K594">
        <v>0.95299999999999996</v>
      </c>
      <c r="L594">
        <v>15.7401</v>
      </c>
      <c r="M594">
        <v>38.459400000000002</v>
      </c>
      <c r="N594">
        <v>53.168300000000002</v>
      </c>
      <c r="O594">
        <v>143.2473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351.62639999999999</v>
      </c>
      <c r="G595">
        <v>325.07330000000002</v>
      </c>
      <c r="H595">
        <v>2.3858000000000001</v>
      </c>
      <c r="I595">
        <v>0</v>
      </c>
      <c r="J595">
        <v>154.09909999999999</v>
      </c>
      <c r="K595">
        <v>4399.5514000000003</v>
      </c>
      <c r="M595">
        <v>50762.154499999997</v>
      </c>
      <c r="N595">
        <v>5467.4013000000004</v>
      </c>
      <c r="O595">
        <v>242235.1839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291.88510000000002</v>
      </c>
      <c r="G596">
        <v>364.2217</v>
      </c>
      <c r="H596">
        <v>109.3496</v>
      </c>
      <c r="I596">
        <v>127.404</v>
      </c>
      <c r="J596">
        <v>155.608</v>
      </c>
      <c r="K596">
        <v>150.27430000000001</v>
      </c>
      <c r="L596">
        <v>124.121</v>
      </c>
      <c r="M596">
        <v>98.701599999999999</v>
      </c>
      <c r="N596">
        <v>71.613799999999998</v>
      </c>
      <c r="O596">
        <v>37.904200000000003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127.6795</v>
      </c>
      <c r="G597">
        <v>148.66</v>
      </c>
      <c r="H597">
        <v>191.7963</v>
      </c>
      <c r="I597">
        <v>172.8049</v>
      </c>
      <c r="J597">
        <v>150.8937</v>
      </c>
      <c r="K597">
        <v>155.64150000000001</v>
      </c>
      <c r="L597">
        <v>170.6799</v>
      </c>
      <c r="M597">
        <v>142.3271</v>
      </c>
      <c r="N597">
        <v>107.0727</v>
      </c>
      <c r="O597">
        <v>83.743399999999994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83.312200000000004</v>
      </c>
      <c r="G598">
        <v>82.842500000000001</v>
      </c>
      <c r="H598">
        <v>74.725099999999998</v>
      </c>
      <c r="I598">
        <v>57.625399999999999</v>
      </c>
      <c r="J598">
        <v>76.149699999999996</v>
      </c>
      <c r="K598">
        <v>79.271699999999996</v>
      </c>
      <c r="L598">
        <v>79.5732</v>
      </c>
      <c r="M598">
        <v>80.158100000000005</v>
      </c>
      <c r="N598">
        <v>80.0214</v>
      </c>
      <c r="O598">
        <v>78.671099999999996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48657.592700000001</v>
      </c>
      <c r="L599">
        <v>28022.2533</v>
      </c>
      <c r="M599">
        <v>25332.482499999998</v>
      </c>
      <c r="N599">
        <v>20467.464</v>
      </c>
      <c r="O599">
        <v>36686.407299999999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18.639299999999999</v>
      </c>
      <c r="H600">
        <v>144.20609999999999</v>
      </c>
      <c r="I600">
        <v>348.82810000000001</v>
      </c>
      <c r="J600">
        <v>120.7599</v>
      </c>
      <c r="K600">
        <v>144.87880000000001</v>
      </c>
      <c r="L600">
        <v>23.750800000000002</v>
      </c>
      <c r="M600">
        <v>33.354100000000003</v>
      </c>
      <c r="N600">
        <v>38.834099999999999</v>
      </c>
      <c r="O600">
        <v>28.3994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1199.1183000000001</v>
      </c>
      <c r="G601">
        <v>2156.2386999999999</v>
      </c>
      <c r="H601">
        <v>1907.7828</v>
      </c>
      <c r="I601">
        <v>1895.1510000000001</v>
      </c>
      <c r="J601">
        <v>2587.5083</v>
      </c>
      <c r="K601">
        <v>1461.5735999999999</v>
      </c>
      <c r="L601">
        <v>1938.6786999999999</v>
      </c>
      <c r="M601">
        <v>1414.3306</v>
      </c>
      <c r="N601">
        <v>1782.3768</v>
      </c>
      <c r="O601">
        <v>1259.6737000000001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204.9502</v>
      </c>
      <c r="G602">
        <v>317.76859999999999</v>
      </c>
      <c r="H602">
        <v>296.93049999999999</v>
      </c>
      <c r="I602">
        <v>233.63210000000001</v>
      </c>
      <c r="J602">
        <v>135.47999999999999</v>
      </c>
      <c r="K602">
        <v>144.11709999999999</v>
      </c>
      <c r="L602">
        <v>210.8811</v>
      </c>
      <c r="M602">
        <v>229.14420000000001</v>
      </c>
      <c r="N602">
        <v>238.78809999999999</v>
      </c>
      <c r="O602">
        <v>197.44569999999999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29.433499999999999</v>
      </c>
      <c r="G603">
        <v>32.150199999999998</v>
      </c>
      <c r="H603">
        <v>30.667000000000002</v>
      </c>
      <c r="I603">
        <v>32.546300000000002</v>
      </c>
      <c r="J603">
        <v>29.433700000000002</v>
      </c>
      <c r="K603">
        <v>67.716899999999995</v>
      </c>
      <c r="L603">
        <v>63.6462</v>
      </c>
      <c r="M603">
        <v>232.22319999999999</v>
      </c>
      <c r="N603">
        <v>199.41569999999999</v>
      </c>
      <c r="O603">
        <v>173.84219999999999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0.92449999999999999</v>
      </c>
      <c r="G604">
        <v>0.86160000000000003</v>
      </c>
      <c r="H604">
        <v>0.92500000000000004</v>
      </c>
      <c r="I604">
        <v>1.9359</v>
      </c>
      <c r="J604">
        <v>4.1745999999999999</v>
      </c>
      <c r="K604">
        <v>5.2176999999999998</v>
      </c>
      <c r="L604">
        <v>6.7652999999999999</v>
      </c>
      <c r="M604">
        <v>8.9117999999999995</v>
      </c>
      <c r="N604">
        <v>9.5661000000000005</v>
      </c>
      <c r="O604">
        <v>9.1332000000000004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29.75</v>
      </c>
      <c r="G605">
        <v>32.959099999999999</v>
      </c>
      <c r="H605">
        <v>22.043800000000001</v>
      </c>
      <c r="I605">
        <v>21.303799999999999</v>
      </c>
      <c r="J605">
        <v>26.654699999999998</v>
      </c>
      <c r="K605">
        <v>37.0276</v>
      </c>
      <c r="L605">
        <v>40.627899999999997</v>
      </c>
      <c r="M605">
        <v>35.811500000000002</v>
      </c>
      <c r="N605">
        <v>46.0578</v>
      </c>
      <c r="O605">
        <v>16.348099999999999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43.756900000000002</v>
      </c>
      <c r="G606">
        <v>35.348399999999998</v>
      </c>
      <c r="H606">
        <v>66.454700000000003</v>
      </c>
      <c r="I606">
        <v>207.8356</v>
      </c>
      <c r="J606">
        <v>50.024999999999999</v>
      </c>
      <c r="K606">
        <v>183.43170000000001</v>
      </c>
      <c r="L606">
        <v>169.02610000000001</v>
      </c>
      <c r="M606">
        <v>392.12979999999999</v>
      </c>
      <c r="N606">
        <v>241.8295</v>
      </c>
      <c r="O606">
        <v>263.9144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1969.6161</v>
      </c>
      <c r="G607">
        <v>5720.7957999999999</v>
      </c>
      <c r="H607">
        <v>3043.5608000000002</v>
      </c>
      <c r="I607">
        <v>2677.9357</v>
      </c>
      <c r="J607">
        <v>1468.1409000000001</v>
      </c>
      <c r="K607">
        <v>2397.0221999999999</v>
      </c>
      <c r="L607">
        <v>1189.711</v>
      </c>
      <c r="M607">
        <v>40.436</v>
      </c>
      <c r="N607">
        <v>22.784700000000001</v>
      </c>
      <c r="O607">
        <v>27.363800000000001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594.1499</v>
      </c>
      <c r="L608">
        <v>890.5317</v>
      </c>
      <c r="M608">
        <v>667.7355</v>
      </c>
      <c r="N608">
        <v>0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28.177099999999999</v>
      </c>
      <c r="G609">
        <v>32.4026</v>
      </c>
      <c r="H609">
        <v>25.613399999999999</v>
      </c>
      <c r="I609">
        <v>30.6691</v>
      </c>
      <c r="J609">
        <v>32.075699999999998</v>
      </c>
      <c r="K609">
        <v>112.04819999999999</v>
      </c>
      <c r="L609">
        <v>171.60599999999999</v>
      </c>
      <c r="M609">
        <v>191.5018</v>
      </c>
      <c r="N609">
        <v>214.0247</v>
      </c>
      <c r="O609">
        <v>212.11590000000001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49.250100000000003</v>
      </c>
      <c r="G610">
        <v>42.528199999999998</v>
      </c>
      <c r="H610">
        <v>54.861199999999997</v>
      </c>
      <c r="I610">
        <v>38.995199999999997</v>
      </c>
      <c r="J610">
        <v>39.162700000000001</v>
      </c>
      <c r="K610">
        <v>20.031199999999998</v>
      </c>
      <c r="L610">
        <v>13.843</v>
      </c>
      <c r="M610">
        <v>21.760400000000001</v>
      </c>
      <c r="N610">
        <v>19.5623</v>
      </c>
      <c r="O610">
        <v>7.2584999999999997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91.6434</v>
      </c>
      <c r="G611">
        <v>105.51990000000001</v>
      </c>
      <c r="H611">
        <v>39.392000000000003</v>
      </c>
      <c r="I611">
        <v>38.7239</v>
      </c>
      <c r="J611">
        <v>39.1965</v>
      </c>
      <c r="K611">
        <v>34.593000000000004</v>
      </c>
      <c r="L611">
        <v>37.573999999999998</v>
      </c>
      <c r="M611">
        <v>36.895000000000003</v>
      </c>
      <c r="N611">
        <v>30.782399999999999</v>
      </c>
      <c r="O611">
        <v>30.190799999999999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49.4009</v>
      </c>
      <c r="G612">
        <v>51.506900000000002</v>
      </c>
      <c r="H612">
        <v>47.559600000000003</v>
      </c>
      <c r="I612">
        <v>49.621499999999997</v>
      </c>
      <c r="J612">
        <v>48.748600000000003</v>
      </c>
      <c r="K612">
        <v>44.890599999999999</v>
      </c>
      <c r="L612">
        <v>39.568300000000001</v>
      </c>
      <c r="M612">
        <v>37.0747</v>
      </c>
      <c r="N612">
        <v>36.637700000000002</v>
      </c>
      <c r="O612">
        <v>38.856900000000003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131.81479999999999</v>
      </c>
      <c r="G613">
        <v>219.38669999999999</v>
      </c>
      <c r="H613">
        <v>233.66569999999999</v>
      </c>
      <c r="I613">
        <v>233.59469999999999</v>
      </c>
      <c r="J613">
        <v>278.89210000000003</v>
      </c>
      <c r="K613">
        <v>274.86419999999998</v>
      </c>
      <c r="L613">
        <v>138.76840000000001</v>
      </c>
      <c r="M613">
        <v>113.501</v>
      </c>
      <c r="N613">
        <v>106.30159999999999</v>
      </c>
      <c r="O613">
        <v>94.630799999999994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145.8305</v>
      </c>
      <c r="G614">
        <v>68.058400000000006</v>
      </c>
      <c r="H614">
        <v>134.33439999999999</v>
      </c>
      <c r="I614">
        <v>140.34020000000001</v>
      </c>
      <c r="J614">
        <v>10.113</v>
      </c>
      <c r="K614">
        <v>9.9838000000000005</v>
      </c>
      <c r="L614">
        <v>116.1728</v>
      </c>
      <c r="M614">
        <v>0</v>
      </c>
      <c r="N614">
        <v>145.64330000000001</v>
      </c>
      <c r="O614">
        <v>63.763399999999997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3937.9279999999999</v>
      </c>
      <c r="G615">
        <v>5945.585</v>
      </c>
      <c r="H615">
        <v>1452.6212</v>
      </c>
      <c r="I615">
        <v>1840.2762</v>
      </c>
      <c r="J615">
        <v>3433.8254999999999</v>
      </c>
      <c r="K615">
        <v>2709.3323</v>
      </c>
      <c r="L615">
        <v>12007.2816</v>
      </c>
      <c r="M615">
        <v>5097.9647000000004</v>
      </c>
      <c r="N615">
        <v>9056.8531000000003</v>
      </c>
      <c r="O615">
        <v>5335.5529999999999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7.0216000000000003</v>
      </c>
      <c r="G616">
        <v>12.606400000000001</v>
      </c>
      <c r="H616">
        <v>11.827400000000001</v>
      </c>
      <c r="I616">
        <v>8.5952999999999999</v>
      </c>
      <c r="J616">
        <v>7.0370999999999997</v>
      </c>
      <c r="K616">
        <v>8.7777999999999992</v>
      </c>
      <c r="L616">
        <v>15.2331</v>
      </c>
      <c r="M616">
        <v>10.121600000000001</v>
      </c>
      <c r="N616">
        <v>11.190799999999999</v>
      </c>
      <c r="O616">
        <v>15.2501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449.61689999999999</v>
      </c>
      <c r="G617">
        <v>370.63729999999998</v>
      </c>
      <c r="H617">
        <v>250.3116</v>
      </c>
      <c r="I617">
        <v>223.01509999999999</v>
      </c>
      <c r="J617">
        <v>200.11420000000001</v>
      </c>
      <c r="K617">
        <v>165.2364</v>
      </c>
      <c r="L617">
        <v>179.25129999999999</v>
      </c>
      <c r="M617">
        <v>152.58170000000001</v>
      </c>
      <c r="N617">
        <v>111.40689999999999</v>
      </c>
      <c r="O617">
        <v>90.445999999999998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215.52629999999999</v>
      </c>
      <c r="G618">
        <v>97.876999999999995</v>
      </c>
      <c r="H618">
        <v>59.596499999999999</v>
      </c>
      <c r="I618">
        <v>60.352699999999999</v>
      </c>
      <c r="J618">
        <v>21.7974</v>
      </c>
      <c r="K618">
        <v>51.226599999999998</v>
      </c>
      <c r="L618">
        <v>42.304900000000004</v>
      </c>
      <c r="M618">
        <v>56.141399999999997</v>
      </c>
      <c r="N618">
        <v>115.78279999999999</v>
      </c>
      <c r="O618">
        <v>101.399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48.904400000000003</v>
      </c>
      <c r="G619">
        <v>47.558300000000003</v>
      </c>
      <c r="H619">
        <v>50.185600000000001</v>
      </c>
      <c r="I619">
        <v>69.695300000000003</v>
      </c>
      <c r="J619">
        <v>66.895700000000005</v>
      </c>
      <c r="K619">
        <v>81.72</v>
      </c>
      <c r="L619">
        <v>84.960999999999999</v>
      </c>
      <c r="M619">
        <v>85.832499999999996</v>
      </c>
      <c r="N619">
        <v>76.155000000000001</v>
      </c>
      <c r="O619">
        <v>91.099500000000006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609.99860000000001</v>
      </c>
      <c r="G620">
        <v>756.87969999999996</v>
      </c>
      <c r="H620">
        <v>851.66340000000002</v>
      </c>
      <c r="I620">
        <v>410.88630000000001</v>
      </c>
      <c r="J620">
        <v>401.05919999999998</v>
      </c>
      <c r="K620">
        <v>154.07249999999999</v>
      </c>
      <c r="L620">
        <v>163.7534</v>
      </c>
      <c r="M620">
        <v>155.80590000000001</v>
      </c>
      <c r="N620">
        <v>151.4359</v>
      </c>
      <c r="O620">
        <v>143.76249999999999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3.0266999999999999</v>
      </c>
      <c r="G621">
        <v>3.0527000000000002</v>
      </c>
      <c r="H621">
        <v>3.9205000000000001</v>
      </c>
      <c r="I621">
        <v>2.1818</v>
      </c>
      <c r="J621">
        <v>3.3576999999999999</v>
      </c>
      <c r="K621">
        <v>3.9106000000000001</v>
      </c>
      <c r="L621">
        <v>47.540500000000002</v>
      </c>
      <c r="M621">
        <v>43.052399999999999</v>
      </c>
      <c r="N621">
        <v>51.905999999999999</v>
      </c>
      <c r="O621">
        <v>68.986500000000007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139.49340000000001</v>
      </c>
      <c r="H622">
        <v>39.744199999999999</v>
      </c>
      <c r="I622">
        <v>33.465200000000003</v>
      </c>
      <c r="J622">
        <v>27.151800000000001</v>
      </c>
      <c r="K622">
        <v>23.667999999999999</v>
      </c>
      <c r="L622">
        <v>19.299199999999999</v>
      </c>
      <c r="M622">
        <v>18.990100000000002</v>
      </c>
      <c r="N622">
        <v>19.456900000000001</v>
      </c>
      <c r="O622">
        <v>18.356200000000001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56.374000000000002</v>
      </c>
      <c r="G623">
        <v>45.4968</v>
      </c>
      <c r="H623">
        <v>29.695699999999999</v>
      </c>
      <c r="I623">
        <v>638.20169999999996</v>
      </c>
      <c r="J623">
        <v>2229.8458999999998</v>
      </c>
      <c r="K623">
        <v>1898.2045000000001</v>
      </c>
      <c r="L623">
        <v>4134.1194999999998</v>
      </c>
      <c r="M623">
        <v>1858.8936000000001</v>
      </c>
      <c r="N623">
        <v>3911.5810000000001</v>
      </c>
      <c r="O623">
        <v>3076.6102999999998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9.4036000000000008</v>
      </c>
      <c r="G624">
        <v>17.2639</v>
      </c>
      <c r="H624">
        <v>24.0625</v>
      </c>
      <c r="I624">
        <v>22.552199999999999</v>
      </c>
      <c r="J624">
        <v>3.9544000000000001</v>
      </c>
      <c r="K624">
        <v>102.2062</v>
      </c>
      <c r="L624">
        <v>101.67919999999999</v>
      </c>
      <c r="M624">
        <v>88.768000000000001</v>
      </c>
      <c r="N624">
        <v>67.893299999999996</v>
      </c>
      <c r="O624">
        <v>106.39619999999999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27.3188</v>
      </c>
      <c r="G625">
        <v>24.268699999999999</v>
      </c>
      <c r="H625">
        <v>24.362100000000002</v>
      </c>
      <c r="I625">
        <v>24.550999999999998</v>
      </c>
      <c r="J625">
        <v>25.0701</v>
      </c>
      <c r="K625">
        <v>31.786000000000001</v>
      </c>
      <c r="L625">
        <v>40.348700000000001</v>
      </c>
      <c r="M625">
        <v>40.972700000000003</v>
      </c>
      <c r="N625">
        <v>36.0105</v>
      </c>
      <c r="O625">
        <v>33.425899999999999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61.246499999999997</v>
      </c>
      <c r="G626">
        <v>68.732299999999995</v>
      </c>
      <c r="H626">
        <v>86.149600000000007</v>
      </c>
      <c r="I626">
        <v>89.801000000000002</v>
      </c>
      <c r="J626">
        <v>132.9341</v>
      </c>
      <c r="K626">
        <v>174.63149999999999</v>
      </c>
      <c r="L626">
        <v>113.7983</v>
      </c>
      <c r="M626">
        <v>129.39590000000001</v>
      </c>
      <c r="N626">
        <v>238.94579999999999</v>
      </c>
      <c r="O626">
        <v>155.935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83.897599999999997</v>
      </c>
      <c r="G627">
        <v>199.1848</v>
      </c>
      <c r="H627">
        <v>281.71129999999999</v>
      </c>
      <c r="I627">
        <v>338.38580000000002</v>
      </c>
      <c r="J627">
        <v>295.91559999999998</v>
      </c>
      <c r="K627">
        <v>382.71429999999998</v>
      </c>
      <c r="L627">
        <v>284.12759999999997</v>
      </c>
      <c r="M627">
        <v>197.52449999999999</v>
      </c>
      <c r="N627">
        <v>83.53</v>
      </c>
      <c r="O627">
        <v>81.868399999999994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75.744500000000002</v>
      </c>
      <c r="G628">
        <v>82.931600000000003</v>
      </c>
      <c r="H628">
        <v>40.431800000000003</v>
      </c>
      <c r="I628">
        <v>41.668799999999997</v>
      </c>
      <c r="J628">
        <v>43.112900000000003</v>
      </c>
      <c r="K628">
        <v>32.567799999999998</v>
      </c>
      <c r="L628">
        <v>33.143300000000004</v>
      </c>
      <c r="M628">
        <v>37.0565</v>
      </c>
      <c r="N628">
        <v>33.200499999999998</v>
      </c>
      <c r="O628">
        <v>35.455599999999997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628.03790000000004</v>
      </c>
      <c r="G629">
        <v>1046.6600000000001</v>
      </c>
      <c r="H629">
        <v>559.84820000000002</v>
      </c>
      <c r="I629">
        <v>958.78530000000001</v>
      </c>
      <c r="J629">
        <v>267.49</v>
      </c>
      <c r="K629">
        <v>52.330500000000001</v>
      </c>
      <c r="L629">
        <v>215.6711</v>
      </c>
      <c r="M629">
        <v>499.22590000000002</v>
      </c>
      <c r="N629">
        <v>1164.3083999999999</v>
      </c>
      <c r="O629">
        <v>2915.3903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78.402299999999997</v>
      </c>
      <c r="G630">
        <v>113.0001</v>
      </c>
      <c r="H630">
        <v>97.814099999999996</v>
      </c>
      <c r="I630">
        <v>109.8389</v>
      </c>
      <c r="J630">
        <v>139.17570000000001</v>
      </c>
      <c r="K630">
        <v>188.45740000000001</v>
      </c>
      <c r="L630">
        <v>179.50239999999999</v>
      </c>
      <c r="M630">
        <v>203.9742</v>
      </c>
      <c r="N630">
        <v>178.7079</v>
      </c>
      <c r="O630">
        <v>143.16239999999999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26.918199999999999</v>
      </c>
      <c r="G631">
        <v>23.039400000000001</v>
      </c>
      <c r="H631">
        <v>21.774799999999999</v>
      </c>
      <c r="I631">
        <v>1435.1161999999999</v>
      </c>
      <c r="J631">
        <v>2255.4405999999999</v>
      </c>
      <c r="K631">
        <v>1922.1394</v>
      </c>
      <c r="L631">
        <v>1184.2335</v>
      </c>
      <c r="M631">
        <v>1991.2779</v>
      </c>
      <c r="N631">
        <v>55191.648500000003</v>
      </c>
      <c r="O631">
        <v>12065.903700000001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167.58510000000001</v>
      </c>
      <c r="G632">
        <v>456.98360000000002</v>
      </c>
      <c r="H632">
        <v>63.882800000000003</v>
      </c>
      <c r="I632">
        <v>24.752099999999999</v>
      </c>
      <c r="J632">
        <v>4903.7383</v>
      </c>
      <c r="K632">
        <v>26973.245900000002</v>
      </c>
      <c r="L632">
        <v>14155.3068</v>
      </c>
      <c r="M632">
        <v>6428.0681000000004</v>
      </c>
      <c r="N632">
        <v>1120.6228000000001</v>
      </c>
      <c r="O632">
        <v>166819.90460000001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119.2942</v>
      </c>
      <c r="G633">
        <v>168.78030000000001</v>
      </c>
      <c r="H633">
        <v>153.14760000000001</v>
      </c>
      <c r="I633">
        <v>45.386600000000001</v>
      </c>
      <c r="J633">
        <v>59.313899999999997</v>
      </c>
      <c r="K633">
        <v>37.171900000000001</v>
      </c>
      <c r="L633">
        <v>9109.7891</v>
      </c>
      <c r="M633">
        <v>40577.468999999997</v>
      </c>
      <c r="N633">
        <v>14478.821400000001</v>
      </c>
      <c r="O633">
        <v>10766.3107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135.14359999999999</v>
      </c>
      <c r="G634">
        <v>154.45830000000001</v>
      </c>
      <c r="H634">
        <v>132.65969999999999</v>
      </c>
      <c r="I634">
        <v>129.54249999999999</v>
      </c>
      <c r="J634">
        <v>136.10890000000001</v>
      </c>
      <c r="K634">
        <v>140.7987</v>
      </c>
      <c r="L634">
        <v>135.95570000000001</v>
      </c>
      <c r="M634">
        <v>145.0266</v>
      </c>
      <c r="N634">
        <v>130.6593</v>
      </c>
      <c r="O634">
        <v>41.563400000000001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2037.9364</v>
      </c>
      <c r="G635">
        <v>4330.7991000000002</v>
      </c>
      <c r="H635">
        <v>1744.098</v>
      </c>
      <c r="I635">
        <v>1994.0153</v>
      </c>
      <c r="J635">
        <v>1862.9353000000001</v>
      </c>
      <c r="K635">
        <v>884.98710000000005</v>
      </c>
      <c r="L635">
        <v>3649.3321000000001</v>
      </c>
      <c r="M635">
        <v>3953.4331999999999</v>
      </c>
      <c r="N635">
        <v>4532.8962000000001</v>
      </c>
      <c r="O635">
        <v>4417.8127000000004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148.9829</v>
      </c>
      <c r="G636">
        <v>160.83410000000001</v>
      </c>
      <c r="H636">
        <v>128.3321</v>
      </c>
      <c r="I636">
        <v>111.31829999999999</v>
      </c>
      <c r="J636">
        <v>162.16569999999999</v>
      </c>
      <c r="K636">
        <v>200.3194</v>
      </c>
      <c r="L636">
        <v>168.9084</v>
      </c>
      <c r="M636">
        <v>171.3022</v>
      </c>
      <c r="N636">
        <v>110.5064</v>
      </c>
      <c r="O636">
        <v>418.27530000000002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399.94420000000002</v>
      </c>
      <c r="G637">
        <v>1821.0296000000001</v>
      </c>
      <c r="H637">
        <v>589.77</v>
      </c>
      <c r="I637">
        <v>788.23659999999995</v>
      </c>
      <c r="J637">
        <v>596.73080000000004</v>
      </c>
      <c r="K637">
        <v>454.95530000000002</v>
      </c>
      <c r="L637">
        <v>278.2088</v>
      </c>
      <c r="M637">
        <v>171.9579</v>
      </c>
      <c r="N637">
        <v>103.839</v>
      </c>
      <c r="O637">
        <v>99.8673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54.4602</v>
      </c>
      <c r="G638">
        <v>63.2288</v>
      </c>
      <c r="H638">
        <v>60.789499999999997</v>
      </c>
      <c r="I638">
        <v>55.517400000000002</v>
      </c>
      <c r="J638">
        <v>69.751599999999996</v>
      </c>
      <c r="K638">
        <v>71.159199999999998</v>
      </c>
      <c r="L638">
        <v>76.501900000000006</v>
      </c>
      <c r="M638">
        <v>71.611699999999999</v>
      </c>
      <c r="N638">
        <v>71.939099999999996</v>
      </c>
      <c r="O638">
        <v>72.324200000000005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22.728300000000001</v>
      </c>
      <c r="G639">
        <v>30.974799999999998</v>
      </c>
      <c r="H639">
        <v>28.071100000000001</v>
      </c>
      <c r="I639">
        <v>28.756499999999999</v>
      </c>
      <c r="J639">
        <v>30.5946</v>
      </c>
      <c r="K639">
        <v>32.348700000000001</v>
      </c>
      <c r="L639">
        <v>36.058300000000003</v>
      </c>
      <c r="M639">
        <v>53.739199999999997</v>
      </c>
      <c r="N639">
        <v>39.176099999999998</v>
      </c>
      <c r="O639">
        <v>41.415799999999997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79.470399999999998</v>
      </c>
      <c r="G640">
        <v>44.952399999999997</v>
      </c>
      <c r="H640">
        <v>41.799300000000002</v>
      </c>
      <c r="I640">
        <v>36.621600000000001</v>
      </c>
      <c r="J640">
        <v>29.678899999999999</v>
      </c>
      <c r="K640">
        <v>25.1968</v>
      </c>
      <c r="L640">
        <v>29.594100000000001</v>
      </c>
      <c r="M640">
        <v>28.811299999999999</v>
      </c>
      <c r="N640">
        <v>31.1938</v>
      </c>
      <c r="O640">
        <v>36.151200000000003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17.364899999999999</v>
      </c>
      <c r="G641">
        <v>23.807099999999998</v>
      </c>
      <c r="H641">
        <v>33.040999999999997</v>
      </c>
      <c r="I641">
        <v>32.880299999999998</v>
      </c>
      <c r="J641">
        <v>39.750799999999998</v>
      </c>
      <c r="K641">
        <v>43.273400000000002</v>
      </c>
      <c r="L641">
        <v>42.954300000000003</v>
      </c>
      <c r="M641">
        <v>40.465699999999998</v>
      </c>
      <c r="N641">
        <v>40.7727</v>
      </c>
      <c r="O641">
        <v>40.585299999999997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3395.0023000000001</v>
      </c>
      <c r="G642">
        <v>8106.0950000000003</v>
      </c>
      <c r="H642">
        <v>6224.4865</v>
      </c>
      <c r="I642">
        <v>4617.6373000000003</v>
      </c>
      <c r="J642">
        <v>1575.5553</v>
      </c>
      <c r="K642">
        <v>1813.376</v>
      </c>
      <c r="L642">
        <v>2372.3544999999999</v>
      </c>
      <c r="M642">
        <v>1503.91</v>
      </c>
      <c r="N642">
        <v>2732.6410999999998</v>
      </c>
      <c r="O642">
        <v>3118.9092000000001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30.122599999999998</v>
      </c>
      <c r="G643">
        <v>64.505499999999998</v>
      </c>
      <c r="H643">
        <v>52.928400000000003</v>
      </c>
      <c r="I643">
        <v>68.470799999999997</v>
      </c>
      <c r="J643">
        <v>74.1768</v>
      </c>
      <c r="K643">
        <v>86.421199999999999</v>
      </c>
      <c r="L643">
        <v>80.861000000000004</v>
      </c>
      <c r="M643">
        <v>78.768299999999996</v>
      </c>
      <c r="N643">
        <v>77.522400000000005</v>
      </c>
      <c r="O643">
        <v>49.71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71.755600000000001</v>
      </c>
      <c r="G644">
        <v>69.377899999999997</v>
      </c>
      <c r="H644">
        <v>54.271000000000001</v>
      </c>
      <c r="I644">
        <v>127.8527</v>
      </c>
      <c r="J644">
        <v>141.35319999999999</v>
      </c>
      <c r="K644">
        <v>196.29159999999999</v>
      </c>
      <c r="L644">
        <v>4474.4619000000002</v>
      </c>
      <c r="M644">
        <v>1910.7876000000001</v>
      </c>
      <c r="N644">
        <v>1505.1615999999999</v>
      </c>
      <c r="O644">
        <v>1923.2147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44.718499999999999</v>
      </c>
      <c r="G645">
        <v>48.7742</v>
      </c>
      <c r="H645">
        <v>40.7226</v>
      </c>
      <c r="I645">
        <v>31.254899999999999</v>
      </c>
      <c r="J645">
        <v>18.874500000000001</v>
      </c>
      <c r="K645">
        <v>18.991099999999999</v>
      </c>
      <c r="L645">
        <v>21.537800000000001</v>
      </c>
      <c r="M645">
        <v>21.788</v>
      </c>
      <c r="N645">
        <v>20.3812</v>
      </c>
      <c r="O645">
        <v>22.2502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28.625699999999998</v>
      </c>
      <c r="I646">
        <v>7.7417999999999996</v>
      </c>
      <c r="J646">
        <v>21.742000000000001</v>
      </c>
      <c r="K646">
        <v>17.794699999999999</v>
      </c>
      <c r="L646">
        <v>17.830500000000001</v>
      </c>
      <c r="M646">
        <v>78.603099999999998</v>
      </c>
      <c r="N646">
        <v>296.64030000000002</v>
      </c>
      <c r="O646">
        <v>754.38739999999996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3275.2395000000001</v>
      </c>
      <c r="G647">
        <v>2358.8917000000001</v>
      </c>
      <c r="H647">
        <v>2198.5016999999998</v>
      </c>
      <c r="I647">
        <v>2121.9115999999999</v>
      </c>
      <c r="J647">
        <v>2628.9757</v>
      </c>
      <c r="K647">
        <v>2498.9328</v>
      </c>
      <c r="L647">
        <v>5747.8038999999999</v>
      </c>
      <c r="M647">
        <v>8609.2222000000002</v>
      </c>
      <c r="N647">
        <v>2202.7539999999999</v>
      </c>
      <c r="O647">
        <v>2011.4595999999999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35.971899999999998</v>
      </c>
      <c r="G648">
        <v>65.915999999999997</v>
      </c>
      <c r="H648">
        <v>46.601100000000002</v>
      </c>
      <c r="I648">
        <v>68.409700000000001</v>
      </c>
      <c r="J648">
        <v>93.320700000000002</v>
      </c>
      <c r="K648">
        <v>137.63419999999999</v>
      </c>
      <c r="L648">
        <v>128.39850000000001</v>
      </c>
      <c r="M648">
        <v>99.865700000000004</v>
      </c>
      <c r="N648">
        <v>77.017600000000002</v>
      </c>
      <c r="O648">
        <v>64.631200000000007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143.92859999999999</v>
      </c>
      <c r="G649">
        <v>137.71969999999999</v>
      </c>
      <c r="H649">
        <v>119.19280000000001</v>
      </c>
      <c r="I649">
        <v>158.62610000000001</v>
      </c>
      <c r="J649">
        <v>150.8261</v>
      </c>
      <c r="K649">
        <v>193.4273</v>
      </c>
      <c r="L649">
        <v>115.25</v>
      </c>
      <c r="M649">
        <v>118.57089999999999</v>
      </c>
      <c r="N649">
        <v>93.654600000000002</v>
      </c>
      <c r="O649">
        <v>73.523700000000005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33.066800000000001</v>
      </c>
      <c r="G650">
        <v>47.204900000000002</v>
      </c>
      <c r="H650">
        <v>47.487200000000001</v>
      </c>
      <c r="I650">
        <v>49.2971</v>
      </c>
      <c r="J650">
        <v>48.554299999999998</v>
      </c>
      <c r="K650">
        <v>0.55730000000000002</v>
      </c>
      <c r="L650">
        <v>4.2149000000000001</v>
      </c>
      <c r="M650">
        <v>3.9586999999999999</v>
      </c>
      <c r="N650">
        <v>0.90149999999999997</v>
      </c>
      <c r="O650">
        <v>7.5288000000000004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6.6977000000000002</v>
      </c>
      <c r="G652">
        <v>8.1245999999999992</v>
      </c>
      <c r="H652">
        <v>0.65159999999999996</v>
      </c>
      <c r="I652">
        <v>1.9232</v>
      </c>
      <c r="J652">
        <v>0</v>
      </c>
      <c r="K652">
        <v>0</v>
      </c>
      <c r="L652">
        <v>7547.1018999999997</v>
      </c>
      <c r="M652">
        <v>1832.7228</v>
      </c>
      <c r="N652">
        <v>1487.4960000000001</v>
      </c>
      <c r="O652">
        <v>2428.6923999999999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4.5091999999999999</v>
      </c>
      <c r="G653">
        <v>5.4965999999999999</v>
      </c>
      <c r="H653">
        <v>26.169799999999999</v>
      </c>
      <c r="I653">
        <v>25.2805</v>
      </c>
      <c r="J653">
        <v>28.480699999999999</v>
      </c>
      <c r="K653">
        <v>31.1554</v>
      </c>
      <c r="L653">
        <v>38.952100000000002</v>
      </c>
      <c r="M653">
        <v>49.5702</v>
      </c>
      <c r="N653">
        <v>52.978099999999998</v>
      </c>
      <c r="O653">
        <v>45.971200000000003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44.040199999999999</v>
      </c>
      <c r="G654">
        <v>79.272599999999997</v>
      </c>
      <c r="H654">
        <v>79.686999999999998</v>
      </c>
      <c r="I654">
        <v>83.106800000000007</v>
      </c>
      <c r="J654">
        <v>94.573300000000003</v>
      </c>
      <c r="K654">
        <v>127.5117</v>
      </c>
      <c r="L654">
        <v>158.57320000000001</v>
      </c>
      <c r="M654">
        <v>149.33680000000001</v>
      </c>
      <c r="N654">
        <v>131.28380000000001</v>
      </c>
      <c r="O654">
        <v>166.9119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362.41410000000002</v>
      </c>
      <c r="G655">
        <v>105.7998</v>
      </c>
      <c r="H655">
        <v>154.3434</v>
      </c>
      <c r="I655">
        <v>229.72219999999999</v>
      </c>
      <c r="J655">
        <v>274.43</v>
      </c>
      <c r="K655">
        <v>258.2525</v>
      </c>
      <c r="L655">
        <v>253.43389999999999</v>
      </c>
      <c r="M655">
        <v>205.10140000000001</v>
      </c>
      <c r="N655">
        <v>240.77340000000001</v>
      </c>
      <c r="O655">
        <v>196.27350000000001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164.5787</v>
      </c>
      <c r="G656">
        <v>140.10249999999999</v>
      </c>
      <c r="H656">
        <v>114.4057</v>
      </c>
      <c r="I656">
        <v>77.435900000000004</v>
      </c>
      <c r="J656">
        <v>79.016599999999997</v>
      </c>
      <c r="K656">
        <v>47.378999999999998</v>
      </c>
      <c r="L656">
        <v>97.264899999999997</v>
      </c>
      <c r="M656">
        <v>148.59530000000001</v>
      </c>
      <c r="N656">
        <v>188.16370000000001</v>
      </c>
      <c r="O656">
        <v>217.8426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27.687100000000001</v>
      </c>
      <c r="G657">
        <v>33.512599999999999</v>
      </c>
      <c r="H657">
        <v>29.302700000000002</v>
      </c>
      <c r="I657">
        <v>27.956499999999998</v>
      </c>
      <c r="J657">
        <v>28.071000000000002</v>
      </c>
      <c r="K657">
        <v>64.295000000000002</v>
      </c>
      <c r="L657">
        <v>40.064100000000003</v>
      </c>
      <c r="M657">
        <v>50.133299999999998</v>
      </c>
      <c r="N657">
        <v>61.867400000000004</v>
      </c>
      <c r="O657">
        <v>84.053600000000003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29.651</v>
      </c>
      <c r="G658">
        <v>38.577599999999997</v>
      </c>
      <c r="H658">
        <v>38.990400000000001</v>
      </c>
      <c r="I658">
        <v>23.012599999999999</v>
      </c>
      <c r="J658">
        <v>313.67840000000001</v>
      </c>
      <c r="K658">
        <v>1332.4976999999999</v>
      </c>
      <c r="L658">
        <v>1215.4301</v>
      </c>
      <c r="M658">
        <v>1435.9205999999999</v>
      </c>
      <c r="N658">
        <v>760.16719999999998</v>
      </c>
      <c r="O658">
        <v>504.46170000000001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114.9329</v>
      </c>
      <c r="G659">
        <v>166.88990000000001</v>
      </c>
      <c r="H659">
        <v>251.65049999999999</v>
      </c>
      <c r="I659">
        <v>284.78460000000001</v>
      </c>
      <c r="J659">
        <v>105.97490000000001</v>
      </c>
      <c r="K659">
        <v>136.346</v>
      </c>
      <c r="L659">
        <v>149.16489999999999</v>
      </c>
      <c r="M659">
        <v>105.1006</v>
      </c>
      <c r="N659">
        <v>95.1477</v>
      </c>
      <c r="O659">
        <v>105.4888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60.636200000000002</v>
      </c>
      <c r="G660">
        <v>59.920299999999997</v>
      </c>
      <c r="H660">
        <v>72.605199999999996</v>
      </c>
      <c r="I660">
        <v>66.618499999999997</v>
      </c>
      <c r="J660">
        <v>71.214299999999994</v>
      </c>
      <c r="K660">
        <v>95.206900000000005</v>
      </c>
      <c r="L660">
        <v>107.81189999999999</v>
      </c>
      <c r="M660">
        <v>93.897300000000001</v>
      </c>
      <c r="N660">
        <v>96.977999999999994</v>
      </c>
      <c r="O660">
        <v>109.5779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5.8545999999999996</v>
      </c>
      <c r="G661">
        <v>7.9378000000000002</v>
      </c>
      <c r="H661">
        <v>9.6707000000000001</v>
      </c>
      <c r="I661">
        <v>12.750299999999999</v>
      </c>
      <c r="J661">
        <v>17.223400000000002</v>
      </c>
      <c r="K661">
        <v>22.4284</v>
      </c>
      <c r="L661">
        <v>27.897200000000002</v>
      </c>
      <c r="M661">
        <v>24.7499</v>
      </c>
      <c r="N661">
        <v>17.077000000000002</v>
      </c>
      <c r="O661">
        <v>15.489699999999999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341.71019999999999</v>
      </c>
      <c r="G662">
        <v>325.84140000000002</v>
      </c>
      <c r="H662">
        <v>619.89750000000004</v>
      </c>
      <c r="I662">
        <v>531.76379999999995</v>
      </c>
      <c r="J662">
        <v>174.07550000000001</v>
      </c>
      <c r="K662">
        <v>217.1337</v>
      </c>
      <c r="L662">
        <v>420.35950000000003</v>
      </c>
      <c r="M662">
        <v>181.21629999999999</v>
      </c>
      <c r="N662">
        <v>221.43680000000001</v>
      </c>
      <c r="O662">
        <v>157.84229999999999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243.44909999999999</v>
      </c>
      <c r="G663">
        <v>229.321</v>
      </c>
      <c r="H663">
        <v>265.75459999999998</v>
      </c>
      <c r="I663">
        <v>301.1103</v>
      </c>
      <c r="J663">
        <v>257.4889</v>
      </c>
      <c r="K663">
        <v>287.62759999999997</v>
      </c>
      <c r="L663">
        <v>235.2782</v>
      </c>
      <c r="M663">
        <v>231.04</v>
      </c>
      <c r="N663">
        <v>191.2055</v>
      </c>
      <c r="O663">
        <v>227.69200000000001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218.82839999999999</v>
      </c>
      <c r="G664">
        <v>2255.9022</v>
      </c>
      <c r="H664">
        <v>1799.1434999999999</v>
      </c>
      <c r="I664">
        <v>50083.169900000001</v>
      </c>
      <c r="J664">
        <v>127904.20050000001</v>
      </c>
      <c r="K664">
        <v>98340.392999999996</v>
      </c>
      <c r="M664">
        <v>10625.186100000001</v>
      </c>
      <c r="N664">
        <v>400386.00290000002</v>
      </c>
      <c r="O664">
        <v>1410.9105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162.06909999999999</v>
      </c>
      <c r="G665">
        <v>102.3903</v>
      </c>
      <c r="H665">
        <v>112.7175</v>
      </c>
      <c r="I665">
        <v>237.88229999999999</v>
      </c>
      <c r="J665">
        <v>2441.6891999999998</v>
      </c>
      <c r="K665">
        <v>8530.152</v>
      </c>
      <c r="L665">
        <v>13221.8732</v>
      </c>
      <c r="M665">
        <v>2056.3645000000001</v>
      </c>
      <c r="N665">
        <v>487.46839999999997</v>
      </c>
      <c r="O665">
        <v>7363.4474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10.922000000000001</v>
      </c>
      <c r="G666">
        <v>14.999000000000001</v>
      </c>
      <c r="H666">
        <v>46.7928</v>
      </c>
      <c r="I666">
        <v>63.296500000000002</v>
      </c>
      <c r="J666">
        <v>59.252200000000002</v>
      </c>
      <c r="K666">
        <v>58.818100000000001</v>
      </c>
      <c r="L666">
        <v>49.946800000000003</v>
      </c>
      <c r="M666">
        <v>56.843699999999998</v>
      </c>
      <c r="N666">
        <v>62.114600000000003</v>
      </c>
      <c r="O666">
        <v>53.9011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6.2213000000000003</v>
      </c>
      <c r="G667">
        <v>145.25290000000001</v>
      </c>
      <c r="H667">
        <v>226.9597</v>
      </c>
      <c r="I667">
        <v>64.215900000000005</v>
      </c>
      <c r="J667">
        <v>20.828199999999999</v>
      </c>
      <c r="K667">
        <v>80.466099999999997</v>
      </c>
      <c r="L667">
        <v>48.6768</v>
      </c>
      <c r="M667">
        <v>23.725999999999999</v>
      </c>
      <c r="N667">
        <v>13908.595300000001</v>
      </c>
      <c r="O667">
        <v>28.560199999999998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134.0711</v>
      </c>
      <c r="G668">
        <v>128.39959999999999</v>
      </c>
      <c r="H668">
        <v>119.16079999999999</v>
      </c>
      <c r="I668">
        <v>145.46539999999999</v>
      </c>
      <c r="J668">
        <v>127.1129</v>
      </c>
      <c r="K668">
        <v>157.4811</v>
      </c>
      <c r="L668">
        <v>436.8313</v>
      </c>
      <c r="M668">
        <v>548.21879999999999</v>
      </c>
      <c r="N668">
        <v>1718.1704999999999</v>
      </c>
      <c r="O668">
        <v>841.90160000000003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599.92700000000002</v>
      </c>
      <c r="G669">
        <v>983.53290000000004</v>
      </c>
      <c r="H669">
        <v>832.37090000000001</v>
      </c>
      <c r="I669">
        <v>463.52659999999997</v>
      </c>
      <c r="J669">
        <v>309.7278</v>
      </c>
      <c r="K669">
        <v>270.25560000000002</v>
      </c>
      <c r="L669">
        <v>359.98610000000002</v>
      </c>
      <c r="M669">
        <v>395.20769999999999</v>
      </c>
      <c r="N669">
        <v>299.29680000000002</v>
      </c>
      <c r="O669">
        <v>221.64320000000001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3620.3915000000002</v>
      </c>
      <c r="G670">
        <v>5569.8512000000001</v>
      </c>
      <c r="H670">
        <v>5612.5156999999999</v>
      </c>
      <c r="I670">
        <v>5193.6675999999998</v>
      </c>
      <c r="J670">
        <v>3853.5099</v>
      </c>
      <c r="K670">
        <v>1535.9575</v>
      </c>
      <c r="L670">
        <v>21486.3662</v>
      </c>
      <c r="M670">
        <v>6307.8723</v>
      </c>
      <c r="N670">
        <v>6958.5906999999997</v>
      </c>
      <c r="O670">
        <v>7020.5697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118.7319</v>
      </c>
      <c r="G671">
        <v>84.825699999999998</v>
      </c>
      <c r="H671">
        <v>5.2754000000000003</v>
      </c>
      <c r="I671">
        <v>7.3910999999999998</v>
      </c>
      <c r="J671">
        <v>10.2014</v>
      </c>
      <c r="K671">
        <v>9.9598999999999993</v>
      </c>
      <c r="L671">
        <v>8.8339999999999996</v>
      </c>
      <c r="M671">
        <v>11.0944</v>
      </c>
      <c r="N671">
        <v>10.537100000000001</v>
      </c>
      <c r="O671">
        <v>13.3124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112.9254</v>
      </c>
      <c r="G672">
        <v>120.0291</v>
      </c>
      <c r="H672">
        <v>116.6737</v>
      </c>
      <c r="I672">
        <v>114.1374</v>
      </c>
      <c r="J672">
        <v>78.467500000000001</v>
      </c>
      <c r="K672">
        <v>81.647300000000001</v>
      </c>
      <c r="L672">
        <v>97.758799999999994</v>
      </c>
      <c r="M672">
        <v>93.262600000000006</v>
      </c>
      <c r="N672">
        <v>99.031499999999994</v>
      </c>
      <c r="O672">
        <v>72.086100000000002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173.09970000000001</v>
      </c>
      <c r="G673">
        <v>197.74680000000001</v>
      </c>
      <c r="H673">
        <v>189.655</v>
      </c>
      <c r="I673">
        <v>226.4683</v>
      </c>
      <c r="J673">
        <v>221.548</v>
      </c>
      <c r="K673">
        <v>153.40889999999999</v>
      </c>
      <c r="L673">
        <v>115.5667</v>
      </c>
      <c r="M673">
        <v>93.661600000000007</v>
      </c>
      <c r="N673">
        <v>70.514799999999994</v>
      </c>
      <c r="O673">
        <v>69.074100000000001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30.369900000000001</v>
      </c>
      <c r="G674">
        <v>20.132999999999999</v>
      </c>
      <c r="H674">
        <v>4.6750999999999996</v>
      </c>
      <c r="I674">
        <v>5.6261999999999999</v>
      </c>
      <c r="J674">
        <v>27.755800000000001</v>
      </c>
      <c r="K674">
        <v>628.62310000000002</v>
      </c>
      <c r="L674">
        <v>4620.3334000000004</v>
      </c>
      <c r="M674">
        <v>3538.6621</v>
      </c>
      <c r="N674">
        <v>1547.9909</v>
      </c>
      <c r="O674">
        <v>4972.3343000000004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186.7089</v>
      </c>
      <c r="G675">
        <v>259.11840000000001</v>
      </c>
      <c r="H675">
        <v>65.226799999999997</v>
      </c>
      <c r="I675">
        <v>57.691000000000003</v>
      </c>
      <c r="J675">
        <v>57.985599999999998</v>
      </c>
      <c r="K675">
        <v>132.62469999999999</v>
      </c>
      <c r="L675">
        <v>123.6298</v>
      </c>
      <c r="M675">
        <v>166.8614</v>
      </c>
      <c r="N675">
        <v>199.6146</v>
      </c>
      <c r="O675">
        <v>289.23950000000002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1359.2442000000001</v>
      </c>
      <c r="G676">
        <v>1822.9978000000001</v>
      </c>
      <c r="H676">
        <v>1088.0079000000001</v>
      </c>
      <c r="I676">
        <v>1004.8277</v>
      </c>
      <c r="J676">
        <v>964.98419999999999</v>
      </c>
      <c r="K676">
        <v>1293.8699999999999</v>
      </c>
      <c r="L676">
        <v>1652.8189</v>
      </c>
      <c r="M676">
        <v>3146.7354</v>
      </c>
      <c r="N676">
        <v>2734.1878000000002</v>
      </c>
      <c r="O676">
        <v>1653.6623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6.4736000000000002</v>
      </c>
      <c r="G677">
        <v>8.5594000000000001</v>
      </c>
      <c r="H677">
        <v>9.6870999999999992</v>
      </c>
      <c r="I677">
        <v>9.2129999999999992</v>
      </c>
      <c r="J677">
        <v>9.6461000000000006</v>
      </c>
      <c r="K677">
        <v>10.1601</v>
      </c>
      <c r="L677">
        <v>8.7164000000000001</v>
      </c>
      <c r="M677">
        <v>13.718999999999999</v>
      </c>
      <c r="N677">
        <v>14.3361</v>
      </c>
      <c r="O677">
        <v>19.735900000000001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216.941</v>
      </c>
      <c r="G678">
        <v>176.26589999999999</v>
      </c>
      <c r="H678">
        <v>102.8848</v>
      </c>
      <c r="I678">
        <v>97.312899999999999</v>
      </c>
      <c r="J678">
        <v>217.64400000000001</v>
      </c>
      <c r="K678">
        <v>257.56849999999997</v>
      </c>
      <c r="L678">
        <v>311.13119999999998</v>
      </c>
      <c r="M678">
        <v>277.21510000000001</v>
      </c>
      <c r="N678">
        <v>295.28910000000002</v>
      </c>
      <c r="O678">
        <v>337.87459999999999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28.2592</v>
      </c>
      <c r="G679">
        <v>37.937399999999997</v>
      </c>
      <c r="H679">
        <v>43.468200000000003</v>
      </c>
      <c r="I679">
        <v>47.126199999999997</v>
      </c>
      <c r="J679">
        <v>36.403100000000002</v>
      </c>
      <c r="K679">
        <v>46.230499999999999</v>
      </c>
      <c r="L679">
        <v>63.023600000000002</v>
      </c>
      <c r="M679">
        <v>54.849800000000002</v>
      </c>
      <c r="N679">
        <v>58.8733</v>
      </c>
      <c r="O679">
        <v>64.295599999999993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169.1302</v>
      </c>
      <c r="G680">
        <v>356.06920000000002</v>
      </c>
      <c r="H680">
        <v>241.7645</v>
      </c>
      <c r="I680">
        <v>225.48820000000001</v>
      </c>
      <c r="J680">
        <v>234.68170000000001</v>
      </c>
      <c r="K680">
        <v>229.64689999999999</v>
      </c>
      <c r="L680">
        <v>245.45779999999999</v>
      </c>
      <c r="M680">
        <v>220.2627</v>
      </c>
      <c r="N680">
        <v>212.85560000000001</v>
      </c>
      <c r="O680">
        <v>181.78700000000001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64.679599999999994</v>
      </c>
      <c r="G681">
        <v>69.956699999999998</v>
      </c>
      <c r="H681">
        <v>148.7627</v>
      </c>
      <c r="I681">
        <v>248.87180000000001</v>
      </c>
      <c r="J681">
        <v>544.17240000000004</v>
      </c>
      <c r="K681">
        <v>294.79109999999997</v>
      </c>
      <c r="L681">
        <v>592.6173</v>
      </c>
      <c r="M681">
        <v>365.03460000000001</v>
      </c>
      <c r="N681">
        <v>216.19970000000001</v>
      </c>
      <c r="O681">
        <v>123.8843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74.529300000000006</v>
      </c>
      <c r="G682">
        <v>81.298000000000002</v>
      </c>
      <c r="H682">
        <v>49.555</v>
      </c>
      <c r="I682">
        <v>47.616900000000001</v>
      </c>
      <c r="J682">
        <v>54.504199999999997</v>
      </c>
      <c r="K682">
        <v>52.823599999999999</v>
      </c>
      <c r="L682">
        <v>50.432499999999997</v>
      </c>
      <c r="M682">
        <v>48.923999999999999</v>
      </c>
      <c r="N682">
        <v>41.563600000000001</v>
      </c>
      <c r="O682">
        <v>45.594200000000001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15.742100000000001</v>
      </c>
      <c r="G683">
        <v>17.253499999999999</v>
      </c>
      <c r="H683">
        <v>15.48</v>
      </c>
      <c r="I683">
        <v>16.804500000000001</v>
      </c>
      <c r="J683">
        <v>93.942400000000006</v>
      </c>
      <c r="K683">
        <v>139.9134</v>
      </c>
      <c r="L683">
        <v>37.116799999999998</v>
      </c>
      <c r="M683">
        <v>40.288400000000003</v>
      </c>
      <c r="N683">
        <v>30.240400000000001</v>
      </c>
      <c r="O683">
        <v>34.785800000000002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129.9922</v>
      </c>
      <c r="G684">
        <v>124.4235</v>
      </c>
      <c r="H684">
        <v>156.589</v>
      </c>
      <c r="I684">
        <v>180.0044</v>
      </c>
      <c r="J684">
        <v>154.5316</v>
      </c>
      <c r="K684">
        <v>134.27160000000001</v>
      </c>
      <c r="L684">
        <v>124.5339</v>
      </c>
      <c r="M684">
        <v>108.9768</v>
      </c>
      <c r="N684">
        <v>127.8621</v>
      </c>
      <c r="O684">
        <v>115.9829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0</v>
      </c>
      <c r="G685">
        <v>0</v>
      </c>
      <c r="H685">
        <v>2.5999999999999999E-2</v>
      </c>
      <c r="I685">
        <v>0</v>
      </c>
      <c r="J685">
        <v>3.3E-3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184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8270.5506999999998</v>
      </c>
      <c r="G686">
        <v>52985.044199999997</v>
      </c>
      <c r="H686">
        <v>3531.3658</v>
      </c>
      <c r="I686">
        <v>3962.5205999999998</v>
      </c>
      <c r="J686">
        <v>6579.4453999999996</v>
      </c>
      <c r="K686">
        <v>4208.9695000000002</v>
      </c>
      <c r="L686">
        <v>4770.7179999999998</v>
      </c>
      <c r="M686">
        <v>2197.1943000000001</v>
      </c>
      <c r="N686">
        <v>5465.4255000000003</v>
      </c>
      <c r="O686">
        <v>5683.8870999999999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42.844799999999999</v>
      </c>
      <c r="G687">
        <v>50.080300000000001</v>
      </c>
      <c r="H687">
        <v>38.8324</v>
      </c>
      <c r="I687">
        <v>42.643700000000003</v>
      </c>
      <c r="J687">
        <v>52.718400000000003</v>
      </c>
      <c r="K687">
        <v>30.078900000000001</v>
      </c>
      <c r="L687">
        <v>43.896500000000003</v>
      </c>
      <c r="M687">
        <v>48.025300000000001</v>
      </c>
      <c r="N687">
        <v>42.789400000000001</v>
      </c>
      <c r="O687">
        <v>37.063299999999998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78.945400000000006</v>
      </c>
      <c r="G688">
        <v>160.31530000000001</v>
      </c>
      <c r="H688">
        <v>114.122</v>
      </c>
      <c r="I688">
        <v>110.5733</v>
      </c>
      <c r="J688">
        <v>135.59460000000001</v>
      </c>
      <c r="K688">
        <v>332.79090000000002</v>
      </c>
      <c r="L688">
        <v>447187.5344</v>
      </c>
      <c r="M688">
        <v>292590.53340000001</v>
      </c>
      <c r="N688">
        <v>9347.8961999999992</v>
      </c>
      <c r="O688">
        <v>11538.948399999999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47.340200000000003</v>
      </c>
      <c r="G689">
        <v>83.716499999999996</v>
      </c>
      <c r="H689">
        <v>27.0596</v>
      </c>
      <c r="I689">
        <v>37.264400000000002</v>
      </c>
      <c r="J689">
        <v>89.406099999999995</v>
      </c>
      <c r="K689">
        <v>80.706900000000005</v>
      </c>
      <c r="L689">
        <v>35.5901</v>
      </c>
      <c r="M689">
        <v>70.604600000000005</v>
      </c>
      <c r="N689">
        <v>18.921900000000001</v>
      </c>
      <c r="O689">
        <v>20.739599999999999</v>
      </c>
      <c r="P689">
        <v>100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13.0869</v>
      </c>
      <c r="G690">
        <v>22.6191</v>
      </c>
      <c r="H690">
        <v>18.7882</v>
      </c>
      <c r="I690">
        <v>22.314499999999999</v>
      </c>
      <c r="J690">
        <v>23.883900000000001</v>
      </c>
      <c r="K690">
        <v>22.876999999999999</v>
      </c>
      <c r="L690">
        <v>26.568899999999999</v>
      </c>
      <c r="M690">
        <v>26.556999999999999</v>
      </c>
      <c r="N690">
        <v>32.152799999999999</v>
      </c>
      <c r="O690">
        <v>41.876300000000001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127.6263</v>
      </c>
      <c r="G691">
        <v>252.41210000000001</v>
      </c>
      <c r="H691">
        <v>204.93680000000001</v>
      </c>
      <c r="I691">
        <v>177.8135</v>
      </c>
      <c r="J691">
        <v>195.2946</v>
      </c>
      <c r="K691">
        <v>260.64960000000002</v>
      </c>
      <c r="L691">
        <v>338.916</v>
      </c>
      <c r="M691">
        <v>266.48140000000001</v>
      </c>
      <c r="N691">
        <v>182.35509999999999</v>
      </c>
      <c r="O691">
        <v>198.81819999999999</v>
      </c>
      <c r="P691">
        <v>74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80.360299999999995</v>
      </c>
      <c r="G692">
        <v>79.285700000000006</v>
      </c>
      <c r="H692">
        <v>96.1113</v>
      </c>
      <c r="I692">
        <v>77.422300000000007</v>
      </c>
      <c r="J692">
        <v>78.215800000000002</v>
      </c>
      <c r="K692">
        <v>118.2363</v>
      </c>
      <c r="L692">
        <v>97.357200000000006</v>
      </c>
      <c r="M692">
        <v>92.824700000000007</v>
      </c>
      <c r="N692">
        <v>91.971999999999994</v>
      </c>
      <c r="O692">
        <v>85.492500000000007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15.3279</v>
      </c>
      <c r="G693">
        <v>14.9886</v>
      </c>
      <c r="H693">
        <v>17.821000000000002</v>
      </c>
      <c r="I693">
        <v>11.5021</v>
      </c>
      <c r="J693">
        <v>11.754899999999999</v>
      </c>
      <c r="K693">
        <v>12.6152</v>
      </c>
      <c r="L693">
        <v>18.648599999999998</v>
      </c>
      <c r="M693">
        <v>22.972200000000001</v>
      </c>
      <c r="N693">
        <v>24.2197</v>
      </c>
      <c r="O693">
        <v>27.9589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124.477</v>
      </c>
      <c r="G694">
        <v>55.039200000000001</v>
      </c>
      <c r="H694">
        <v>166.0172</v>
      </c>
      <c r="I694">
        <v>138.4392</v>
      </c>
      <c r="J694">
        <v>146.12649999999999</v>
      </c>
      <c r="K694">
        <v>78.481700000000004</v>
      </c>
      <c r="L694">
        <v>178.32650000000001</v>
      </c>
      <c r="M694">
        <v>281.42759999999998</v>
      </c>
      <c r="N694">
        <v>238.72319999999999</v>
      </c>
      <c r="O694">
        <v>219.2209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65.8018</v>
      </c>
      <c r="G695">
        <v>67.143699999999995</v>
      </c>
      <c r="H695">
        <v>56.193199999999997</v>
      </c>
      <c r="I695">
        <v>53.472700000000003</v>
      </c>
      <c r="J695">
        <v>46.932899999999997</v>
      </c>
      <c r="K695">
        <v>56.477699999999999</v>
      </c>
      <c r="L695">
        <v>60.958799999999997</v>
      </c>
      <c r="M695">
        <v>49.577100000000002</v>
      </c>
      <c r="N695">
        <v>46.349299999999999</v>
      </c>
      <c r="O695">
        <v>52.1325</v>
      </c>
      <c r="P695">
        <v>1595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45.359900000000003</v>
      </c>
      <c r="G696">
        <v>39.781999999999996</v>
      </c>
      <c r="H696">
        <v>36.150799999999997</v>
      </c>
      <c r="I696">
        <v>46.217799999999997</v>
      </c>
      <c r="J696">
        <v>59.917200000000001</v>
      </c>
      <c r="K696">
        <v>69.631600000000006</v>
      </c>
      <c r="L696">
        <v>35.285800000000002</v>
      </c>
      <c r="M696">
        <v>57.484400000000001</v>
      </c>
      <c r="N696">
        <v>71.779799999999994</v>
      </c>
      <c r="O696">
        <v>73.491799999999998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16.316099999999999</v>
      </c>
      <c r="G697">
        <v>14.245100000000001</v>
      </c>
      <c r="H697">
        <v>85.801400000000001</v>
      </c>
      <c r="I697">
        <v>75.520099999999999</v>
      </c>
      <c r="J697">
        <v>69.171199999999999</v>
      </c>
      <c r="K697">
        <v>77.306700000000006</v>
      </c>
      <c r="L697">
        <v>64.142700000000005</v>
      </c>
      <c r="M697">
        <v>56.378399999999999</v>
      </c>
      <c r="N697">
        <v>42.320300000000003</v>
      </c>
      <c r="O697">
        <v>52.6614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2.5979999999999999</v>
      </c>
      <c r="G698">
        <v>5.0960999999999999</v>
      </c>
      <c r="H698">
        <v>9.1859999999999999</v>
      </c>
      <c r="I698">
        <v>10.880800000000001</v>
      </c>
      <c r="J698">
        <v>9.2050000000000001</v>
      </c>
      <c r="K698">
        <v>10.605600000000001</v>
      </c>
      <c r="L698">
        <v>10.7082</v>
      </c>
      <c r="M698">
        <v>12.9846</v>
      </c>
      <c r="N698">
        <v>17.119700000000002</v>
      </c>
      <c r="O698">
        <v>43.297600000000003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106.7256</v>
      </c>
      <c r="G699">
        <v>146.0361</v>
      </c>
      <c r="H699">
        <v>132.83359999999999</v>
      </c>
      <c r="I699">
        <v>112.4918</v>
      </c>
      <c r="J699">
        <v>112.32299999999999</v>
      </c>
      <c r="K699">
        <v>95.197699999999998</v>
      </c>
      <c r="L699">
        <v>111.0132</v>
      </c>
      <c r="M699">
        <v>87.576300000000003</v>
      </c>
      <c r="N699">
        <v>91.147499999999994</v>
      </c>
      <c r="O699">
        <v>89.702100000000002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735.04719999999998</v>
      </c>
      <c r="K700">
        <v>1364.8363999999999</v>
      </c>
      <c r="L700">
        <v>686.15359999999998</v>
      </c>
      <c r="M700">
        <v>665.05160000000001</v>
      </c>
      <c r="N700">
        <v>708.89589999999998</v>
      </c>
      <c r="O700">
        <v>578.54020000000003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618.97019999999998</v>
      </c>
      <c r="G701">
        <v>832.43399999999997</v>
      </c>
      <c r="H701">
        <v>664.08630000000005</v>
      </c>
      <c r="I701">
        <v>615.88120000000004</v>
      </c>
      <c r="J701">
        <v>1056.298</v>
      </c>
      <c r="K701">
        <v>1413.9455</v>
      </c>
      <c r="L701">
        <v>3243.7624999999998</v>
      </c>
      <c r="M701">
        <v>2816.2289000000001</v>
      </c>
      <c r="N701">
        <v>2883.3703999999998</v>
      </c>
      <c r="O701">
        <v>2889.6262999999999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65.313199999999995</v>
      </c>
      <c r="G702">
        <v>73.403999999999996</v>
      </c>
      <c r="H702">
        <v>76.846299999999999</v>
      </c>
      <c r="I702">
        <v>78.347499999999997</v>
      </c>
      <c r="J702">
        <v>81.278400000000005</v>
      </c>
      <c r="K702">
        <v>84.546899999999994</v>
      </c>
      <c r="L702">
        <v>84.492800000000003</v>
      </c>
      <c r="M702">
        <v>86.429000000000002</v>
      </c>
      <c r="N702">
        <v>79.425399999999996</v>
      </c>
      <c r="O702">
        <v>79.608400000000003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548.34169999999995</v>
      </c>
      <c r="G703">
        <v>679.4289</v>
      </c>
      <c r="H703">
        <v>457.5052</v>
      </c>
      <c r="I703">
        <v>420.14429999999999</v>
      </c>
      <c r="J703">
        <v>472.24090000000001</v>
      </c>
      <c r="K703">
        <v>619.88440000000003</v>
      </c>
      <c r="L703">
        <v>666.85659999999996</v>
      </c>
      <c r="M703">
        <v>676.52200000000005</v>
      </c>
      <c r="N703">
        <v>410.40269999999998</v>
      </c>
      <c r="O703">
        <v>350.88740000000001</v>
      </c>
      <c r="P703">
        <v>3742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48.6982</v>
      </c>
      <c r="G704">
        <v>62.415199999999999</v>
      </c>
      <c r="H704">
        <v>50.011299999999999</v>
      </c>
      <c r="I704">
        <v>36.9771</v>
      </c>
      <c r="J704">
        <v>31.2483</v>
      </c>
      <c r="K704">
        <v>37.271599999999999</v>
      </c>
      <c r="L704">
        <v>28.68</v>
      </c>
      <c r="M704">
        <v>26.889900000000001</v>
      </c>
      <c r="N704">
        <v>17.2333</v>
      </c>
      <c r="O704">
        <v>14.894600000000001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305.53949999999998</v>
      </c>
      <c r="G705">
        <v>329.59339999999997</v>
      </c>
      <c r="H705">
        <v>385.20299999999997</v>
      </c>
      <c r="I705">
        <v>648.56690000000003</v>
      </c>
      <c r="J705">
        <v>1075.1812</v>
      </c>
      <c r="K705">
        <v>609.25250000000005</v>
      </c>
      <c r="L705">
        <v>74.7256</v>
      </c>
      <c r="M705">
        <v>103.5352</v>
      </c>
      <c r="N705">
        <v>85.936000000000007</v>
      </c>
      <c r="O705">
        <v>80.171000000000006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157.8554</v>
      </c>
      <c r="G706">
        <v>136.35730000000001</v>
      </c>
      <c r="H706">
        <v>155.3563</v>
      </c>
      <c r="I706">
        <v>150.7433</v>
      </c>
      <c r="J706">
        <v>139.8125</v>
      </c>
      <c r="K706">
        <v>120.45140000000001</v>
      </c>
      <c r="L706">
        <v>122.43049999999999</v>
      </c>
      <c r="M706">
        <v>82.922799999999995</v>
      </c>
      <c r="N706">
        <v>61.001600000000003</v>
      </c>
      <c r="O706">
        <v>72.764799999999994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K707">
        <v>0</v>
      </c>
      <c r="L707">
        <v>42027.262499999997</v>
      </c>
      <c r="M707">
        <v>112246.3444</v>
      </c>
      <c r="N707">
        <v>38772.631800000003</v>
      </c>
      <c r="O707">
        <v>181833.47029999999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59.782200000000003</v>
      </c>
      <c r="G708">
        <v>3.6692</v>
      </c>
      <c r="H708">
        <v>4.4733000000000001</v>
      </c>
      <c r="I708">
        <v>5.9352999999999998</v>
      </c>
      <c r="J708">
        <v>6.7633999999999999</v>
      </c>
      <c r="K708">
        <v>8.1654999999999998</v>
      </c>
      <c r="L708">
        <v>7.6867000000000001</v>
      </c>
      <c r="M708">
        <v>4.4909999999999997</v>
      </c>
      <c r="N708">
        <v>7.9349999999999996</v>
      </c>
      <c r="O708">
        <v>5.5842999999999998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260.09019999999998</v>
      </c>
      <c r="G709">
        <v>267.8553</v>
      </c>
      <c r="H709">
        <v>308.25009999999997</v>
      </c>
      <c r="I709">
        <v>225.18790000000001</v>
      </c>
      <c r="J709">
        <v>164.7944</v>
      </c>
      <c r="K709">
        <v>275.73309999999998</v>
      </c>
      <c r="L709">
        <v>414.8168</v>
      </c>
      <c r="M709">
        <v>295.00310000000002</v>
      </c>
      <c r="N709">
        <v>180.79300000000001</v>
      </c>
      <c r="O709">
        <v>194.51849999999999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57.154800000000002</v>
      </c>
      <c r="G711">
        <v>25.463000000000001</v>
      </c>
      <c r="H711">
        <v>23.3705</v>
      </c>
      <c r="I711">
        <v>96.266000000000005</v>
      </c>
      <c r="J711">
        <v>0</v>
      </c>
      <c r="K711">
        <v>0</v>
      </c>
      <c r="L711">
        <v>0</v>
      </c>
      <c r="O711">
        <v>0</v>
      </c>
      <c r="P711">
        <v>102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20.0215</v>
      </c>
      <c r="G712">
        <v>17.353899999999999</v>
      </c>
      <c r="H712">
        <v>36.053699999999999</v>
      </c>
      <c r="I712">
        <v>46.437800000000003</v>
      </c>
      <c r="J712">
        <v>44.884099999999997</v>
      </c>
      <c r="K712">
        <v>53.630400000000002</v>
      </c>
      <c r="L712">
        <v>72.615700000000004</v>
      </c>
      <c r="M712">
        <v>49.118200000000002</v>
      </c>
      <c r="N712">
        <v>54.864600000000003</v>
      </c>
      <c r="O712">
        <v>68.146299999999997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122.1758</v>
      </c>
      <c r="G713">
        <v>145.08179999999999</v>
      </c>
      <c r="H713">
        <v>142.28720000000001</v>
      </c>
      <c r="I713">
        <v>147.42529999999999</v>
      </c>
      <c r="J713">
        <v>135.86760000000001</v>
      </c>
      <c r="K713">
        <v>151.4922</v>
      </c>
      <c r="L713">
        <v>176.37909999999999</v>
      </c>
      <c r="M713">
        <v>136.577</v>
      </c>
      <c r="N713">
        <v>158.07130000000001</v>
      </c>
      <c r="O713">
        <v>127.3305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7.1551999999999998</v>
      </c>
      <c r="G714">
        <v>179.22210000000001</v>
      </c>
      <c r="H714">
        <v>178.63480000000001</v>
      </c>
      <c r="I714">
        <v>165.61410000000001</v>
      </c>
      <c r="J714">
        <v>143.46530000000001</v>
      </c>
      <c r="K714">
        <v>144.35409999999999</v>
      </c>
      <c r="L714">
        <v>164.2534</v>
      </c>
      <c r="M714">
        <v>156.26410000000001</v>
      </c>
      <c r="N714">
        <v>135.03299999999999</v>
      </c>
      <c r="O714">
        <v>131.3443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3.9834000000000001</v>
      </c>
      <c r="G715">
        <v>2.2098</v>
      </c>
      <c r="H715">
        <v>12.8932</v>
      </c>
      <c r="I715">
        <v>18.162500000000001</v>
      </c>
      <c r="J715">
        <v>28.199100000000001</v>
      </c>
      <c r="K715">
        <v>29.07</v>
      </c>
      <c r="L715">
        <v>14.5174</v>
      </c>
      <c r="M715">
        <v>14.628500000000001</v>
      </c>
      <c r="N715">
        <v>11.927300000000001</v>
      </c>
      <c r="O715">
        <v>22.912199999999999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20.793900000000001</v>
      </c>
      <c r="G716">
        <v>34.6706</v>
      </c>
      <c r="H716">
        <v>39.358600000000003</v>
      </c>
      <c r="I716">
        <v>29.400600000000001</v>
      </c>
      <c r="J716">
        <v>24.539400000000001</v>
      </c>
      <c r="K716">
        <v>9.6959</v>
      </c>
      <c r="L716">
        <v>19.590800000000002</v>
      </c>
      <c r="M716">
        <v>22.697199999999999</v>
      </c>
      <c r="N716">
        <v>21.946000000000002</v>
      </c>
      <c r="O716">
        <v>22.799600000000002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2420.4279999999999</v>
      </c>
      <c r="G717">
        <v>2602.1993000000002</v>
      </c>
      <c r="H717">
        <v>2031.0326</v>
      </c>
      <c r="I717">
        <v>1124.0992000000001</v>
      </c>
      <c r="J717">
        <v>1605.2420999999999</v>
      </c>
      <c r="K717">
        <v>1394.1515999999999</v>
      </c>
      <c r="L717">
        <v>1220.7076999999999</v>
      </c>
      <c r="M717">
        <v>1658.7247</v>
      </c>
      <c r="N717">
        <v>1947.5930000000001</v>
      </c>
      <c r="O717">
        <v>1602.3920000000001</v>
      </c>
      <c r="P717">
        <v>1056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304.78120000000001</v>
      </c>
      <c r="G718">
        <v>359.32150000000001</v>
      </c>
      <c r="H718">
        <v>301.38189999999997</v>
      </c>
      <c r="I718">
        <v>303.68020000000001</v>
      </c>
      <c r="J718">
        <v>218.73310000000001</v>
      </c>
      <c r="K718">
        <v>134.75880000000001</v>
      </c>
      <c r="L718">
        <v>104.2979</v>
      </c>
      <c r="M718">
        <v>137.0283</v>
      </c>
      <c r="N718">
        <v>130.2088</v>
      </c>
      <c r="O718">
        <v>119.9396</v>
      </c>
      <c r="P718">
        <v>81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233.0531</v>
      </c>
      <c r="G719">
        <v>289.15010000000001</v>
      </c>
      <c r="H719">
        <v>243.69159999999999</v>
      </c>
      <c r="I719">
        <v>270.42110000000002</v>
      </c>
      <c r="J719">
        <v>215.7122</v>
      </c>
      <c r="K719">
        <v>210.2148</v>
      </c>
      <c r="L719">
        <v>206.98570000000001</v>
      </c>
      <c r="M719">
        <v>160.93299999999999</v>
      </c>
      <c r="N719">
        <v>143.1876</v>
      </c>
      <c r="O719">
        <v>134.5189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19.741900000000001</v>
      </c>
      <c r="G720">
        <v>19.380700000000001</v>
      </c>
      <c r="H720">
        <v>19.3978</v>
      </c>
      <c r="I720">
        <v>28.705500000000001</v>
      </c>
      <c r="J720">
        <v>21.859200000000001</v>
      </c>
      <c r="K720">
        <v>24.680599999999998</v>
      </c>
      <c r="L720">
        <v>17.950600000000001</v>
      </c>
      <c r="M720">
        <v>24.470700000000001</v>
      </c>
      <c r="N720">
        <v>20.285900000000002</v>
      </c>
      <c r="O720">
        <v>14.3439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55.972299999999997</v>
      </c>
      <c r="G721">
        <v>59.352600000000002</v>
      </c>
      <c r="H721">
        <v>35.148000000000003</v>
      </c>
      <c r="I721">
        <v>35.169899999999998</v>
      </c>
      <c r="J721">
        <v>41.217399999999998</v>
      </c>
      <c r="K721">
        <v>42.267299999999999</v>
      </c>
      <c r="L721">
        <v>39.3688</v>
      </c>
      <c r="M721">
        <v>40.851399999999998</v>
      </c>
      <c r="N721">
        <v>39.684399999999997</v>
      </c>
      <c r="O721">
        <v>44.473799999999997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320.17219999999998</v>
      </c>
      <c r="G722">
        <v>299.24560000000002</v>
      </c>
      <c r="H722">
        <v>50.790999999999997</v>
      </c>
      <c r="I722">
        <v>51.678899999999999</v>
      </c>
      <c r="J722">
        <v>45.362900000000003</v>
      </c>
      <c r="K722">
        <v>33.141599999999997</v>
      </c>
      <c r="L722">
        <v>57.299700000000001</v>
      </c>
      <c r="M722">
        <v>54.924300000000002</v>
      </c>
      <c r="N722">
        <v>54.771500000000003</v>
      </c>
      <c r="O722">
        <v>55.496899999999997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56.379899999999999</v>
      </c>
      <c r="G723">
        <v>69.053200000000004</v>
      </c>
      <c r="H723">
        <v>54.963799999999999</v>
      </c>
      <c r="I723">
        <v>56.523699999999998</v>
      </c>
      <c r="J723">
        <v>43.727600000000002</v>
      </c>
      <c r="K723">
        <v>43.047699999999999</v>
      </c>
      <c r="L723">
        <v>39.063000000000002</v>
      </c>
      <c r="M723">
        <v>279.09100000000001</v>
      </c>
      <c r="N723">
        <v>138.36660000000001</v>
      </c>
      <c r="O723">
        <v>163.23769999999999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16.515699999999999</v>
      </c>
      <c r="G724">
        <v>65.129400000000004</v>
      </c>
      <c r="H724">
        <v>32.3461</v>
      </c>
      <c r="I724">
        <v>38.184699999999999</v>
      </c>
      <c r="J724">
        <v>14.615600000000001</v>
      </c>
      <c r="K724">
        <v>4.4234999999999998</v>
      </c>
      <c r="L724">
        <v>9.8942999999999994</v>
      </c>
      <c r="M724">
        <v>11.670500000000001</v>
      </c>
      <c r="N724">
        <v>57.144500000000001</v>
      </c>
      <c r="O724">
        <v>105.0377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32.817900000000002</v>
      </c>
      <c r="G725">
        <v>38.698099999999997</v>
      </c>
      <c r="H725">
        <v>36.222200000000001</v>
      </c>
      <c r="I725">
        <v>35.1907</v>
      </c>
      <c r="J725">
        <v>33.639699999999998</v>
      </c>
      <c r="K725">
        <v>39.102800000000002</v>
      </c>
      <c r="L725">
        <v>35.504100000000001</v>
      </c>
      <c r="M725">
        <v>29.116900000000001</v>
      </c>
      <c r="N725">
        <v>28.9282</v>
      </c>
      <c r="O725">
        <v>38.732199999999999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311.28769999999997</v>
      </c>
      <c r="N726">
        <v>251.98820000000001</v>
      </c>
      <c r="O726">
        <v>243.84460000000001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93.542500000000004</v>
      </c>
      <c r="G727">
        <v>82.222300000000004</v>
      </c>
      <c r="H727">
        <v>106.0904</v>
      </c>
      <c r="I727">
        <v>113.3223</v>
      </c>
      <c r="J727">
        <v>92.3904</v>
      </c>
      <c r="K727">
        <v>91.2072</v>
      </c>
      <c r="L727">
        <v>90.282799999999995</v>
      </c>
      <c r="M727">
        <v>85.529700000000005</v>
      </c>
      <c r="N727">
        <v>92.451800000000006</v>
      </c>
      <c r="O727">
        <v>91.1267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30.2911</v>
      </c>
      <c r="G728">
        <v>11.5093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217.32929999999999</v>
      </c>
      <c r="G729">
        <v>223.6456</v>
      </c>
      <c r="H729">
        <v>227.42750000000001</v>
      </c>
      <c r="I729">
        <v>248.136</v>
      </c>
      <c r="J729">
        <v>242.77969999999999</v>
      </c>
      <c r="K729">
        <v>227.81890000000001</v>
      </c>
      <c r="L729">
        <v>224.74019999999999</v>
      </c>
      <c r="M729">
        <v>199.17310000000001</v>
      </c>
      <c r="N729">
        <v>168.13499999999999</v>
      </c>
      <c r="O729">
        <v>127.4635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93.187299999999993</v>
      </c>
      <c r="G730">
        <v>176.0821</v>
      </c>
      <c r="H730">
        <v>802.33969999999999</v>
      </c>
      <c r="I730">
        <v>667.39729999999997</v>
      </c>
      <c r="J730">
        <v>708.05020000000002</v>
      </c>
      <c r="K730">
        <v>655.17179999999996</v>
      </c>
      <c r="L730">
        <v>955.99249999999995</v>
      </c>
      <c r="M730">
        <v>1094.5601999999999</v>
      </c>
      <c r="N730">
        <v>644.17600000000004</v>
      </c>
      <c r="O730">
        <v>1306.1840999999999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P731">
        <v>4976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107.1486</v>
      </c>
      <c r="G732">
        <v>159.57980000000001</v>
      </c>
      <c r="H732">
        <v>356.34629999999999</v>
      </c>
      <c r="I732">
        <v>347.55450000000002</v>
      </c>
      <c r="J732">
        <v>239.13300000000001</v>
      </c>
      <c r="K732">
        <v>332.66699999999997</v>
      </c>
      <c r="L732">
        <v>256.61279999999999</v>
      </c>
      <c r="M732">
        <v>210.04990000000001</v>
      </c>
      <c r="N732">
        <v>205.173</v>
      </c>
      <c r="O732">
        <v>153.8297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94.457700000000003</v>
      </c>
      <c r="G733">
        <v>105.40260000000001</v>
      </c>
      <c r="H733">
        <v>95.622699999999995</v>
      </c>
      <c r="I733">
        <v>108.8721</v>
      </c>
      <c r="J733">
        <v>99.341399999999993</v>
      </c>
      <c r="K733">
        <v>101.684</v>
      </c>
      <c r="L733">
        <v>111.7347</v>
      </c>
      <c r="M733">
        <v>125.55719999999999</v>
      </c>
      <c r="N733">
        <v>134.44409999999999</v>
      </c>
      <c r="O733">
        <v>129.46539999999999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26.588000000000001</v>
      </c>
      <c r="G734">
        <v>49.251100000000001</v>
      </c>
      <c r="H734">
        <v>56.440399999999997</v>
      </c>
      <c r="I734">
        <v>47.896000000000001</v>
      </c>
      <c r="J734">
        <v>41.579900000000002</v>
      </c>
      <c r="K734">
        <v>48.796599999999998</v>
      </c>
      <c r="L734">
        <v>68.493399999999994</v>
      </c>
      <c r="M734">
        <v>58.160499999999999</v>
      </c>
      <c r="N734">
        <v>58.201500000000003</v>
      </c>
      <c r="O734">
        <v>49.898899999999998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203.185</v>
      </c>
      <c r="G735">
        <v>206.43629999999999</v>
      </c>
      <c r="H735">
        <v>190.08959999999999</v>
      </c>
      <c r="I735">
        <v>179.833</v>
      </c>
      <c r="J735">
        <v>155.74340000000001</v>
      </c>
      <c r="K735">
        <v>157.5719</v>
      </c>
      <c r="L735">
        <v>160.6651</v>
      </c>
      <c r="M735">
        <v>147.65729999999999</v>
      </c>
      <c r="N735">
        <v>134.22229999999999</v>
      </c>
      <c r="O735">
        <v>127.66500000000001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65.243899999999996</v>
      </c>
      <c r="G736">
        <v>183.83969999999999</v>
      </c>
      <c r="H736">
        <v>143.95910000000001</v>
      </c>
      <c r="I736">
        <v>89.601699999999994</v>
      </c>
      <c r="J736">
        <v>122.5226</v>
      </c>
      <c r="K736">
        <v>139.04409999999999</v>
      </c>
      <c r="L736">
        <v>106.4051</v>
      </c>
      <c r="M736">
        <v>134.07230000000001</v>
      </c>
      <c r="N736">
        <v>137.709</v>
      </c>
      <c r="O736">
        <v>90.239099999999993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211.82499999999999</v>
      </c>
      <c r="G737">
        <v>204.26179999999999</v>
      </c>
      <c r="H737">
        <v>88.956100000000006</v>
      </c>
      <c r="I737">
        <v>96.891400000000004</v>
      </c>
      <c r="J737">
        <v>117.5348</v>
      </c>
      <c r="K737">
        <v>156.16149999999999</v>
      </c>
      <c r="L737">
        <v>138.4091</v>
      </c>
      <c r="M737">
        <v>134.59530000000001</v>
      </c>
      <c r="N737">
        <v>103.73569999999999</v>
      </c>
      <c r="O737">
        <v>90.467299999999994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387.86290000000002</v>
      </c>
      <c r="G738">
        <v>647.11030000000005</v>
      </c>
      <c r="H738">
        <v>704.255</v>
      </c>
      <c r="I738">
        <v>1184.8039000000001</v>
      </c>
      <c r="J738">
        <v>1080.3033</v>
      </c>
      <c r="K738">
        <v>1052.7813000000001</v>
      </c>
      <c r="L738">
        <v>729.9787</v>
      </c>
      <c r="M738">
        <v>845.47040000000004</v>
      </c>
      <c r="N738">
        <v>798.80309999999997</v>
      </c>
      <c r="O738">
        <v>1027.0917999999999</v>
      </c>
      <c r="P738">
        <v>357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122.717</v>
      </c>
      <c r="G739">
        <v>113.4164</v>
      </c>
      <c r="H739">
        <v>118.26130000000001</v>
      </c>
      <c r="I739">
        <v>130.37119999999999</v>
      </c>
      <c r="J739">
        <v>156.61449999999999</v>
      </c>
      <c r="K739">
        <v>207.1481</v>
      </c>
      <c r="L739">
        <v>144.82660000000001</v>
      </c>
      <c r="M739">
        <v>148.84639999999999</v>
      </c>
      <c r="N739">
        <v>151.85429999999999</v>
      </c>
      <c r="O739">
        <v>185.9341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3240.1626000000001</v>
      </c>
      <c r="G740">
        <v>5555.8288000000002</v>
      </c>
      <c r="H740">
        <v>3754.8537000000001</v>
      </c>
      <c r="I740">
        <v>4738.2303000000002</v>
      </c>
      <c r="J740">
        <v>3349.3508000000002</v>
      </c>
      <c r="K740">
        <v>8957.0023000000001</v>
      </c>
      <c r="L740">
        <v>2963.9326000000001</v>
      </c>
      <c r="M740">
        <v>117.328</v>
      </c>
      <c r="N740">
        <v>119.4903</v>
      </c>
      <c r="O740">
        <v>126.3044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K741">
        <v>67.885099999999994</v>
      </c>
      <c r="L741">
        <v>69.767099999999999</v>
      </c>
      <c r="M741">
        <v>69.230199999999996</v>
      </c>
      <c r="N741">
        <v>69.781800000000004</v>
      </c>
      <c r="O741">
        <v>69.460899999999995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194.01589999999999</v>
      </c>
      <c r="G742">
        <v>267.82639999999998</v>
      </c>
      <c r="H742">
        <v>267.2518</v>
      </c>
      <c r="I742">
        <v>224.197</v>
      </c>
      <c r="J742">
        <v>221.87970000000001</v>
      </c>
      <c r="K742">
        <v>210.6807</v>
      </c>
      <c r="L742">
        <v>184.37950000000001</v>
      </c>
      <c r="M742">
        <v>193.93389999999999</v>
      </c>
      <c r="N742">
        <v>178.9622</v>
      </c>
      <c r="O742">
        <v>95.1297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71.790999999999997</v>
      </c>
      <c r="G743">
        <v>109.8849</v>
      </c>
      <c r="H743">
        <v>102.6698</v>
      </c>
      <c r="I743">
        <v>109.0519</v>
      </c>
      <c r="J743">
        <v>105.1728</v>
      </c>
      <c r="K743">
        <v>181.83699999999999</v>
      </c>
      <c r="L743">
        <v>192.1053</v>
      </c>
      <c r="M743">
        <v>196.95910000000001</v>
      </c>
      <c r="N743">
        <v>178.85910000000001</v>
      </c>
      <c r="O743">
        <v>187.2595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"600853"</f>
        <v>600853</v>
      </c>
      <c r="C744" t="s">
        <v>1720</v>
      </c>
      <c r="D744" t="s">
        <v>101</v>
      </c>
      <c r="F744">
        <v>55.809199999999997</v>
      </c>
      <c r="G744">
        <v>142.8689</v>
      </c>
      <c r="H744">
        <v>317.24779999999998</v>
      </c>
      <c r="I744">
        <v>312.05</v>
      </c>
      <c r="J744">
        <v>230.89779999999999</v>
      </c>
      <c r="K744">
        <v>285.63139999999999</v>
      </c>
      <c r="L744">
        <v>282.69189999999998</v>
      </c>
      <c r="M744">
        <v>319.67680000000001</v>
      </c>
      <c r="N744">
        <v>287.65440000000001</v>
      </c>
      <c r="O744">
        <v>213.4299</v>
      </c>
      <c r="P744">
        <v>94</v>
      </c>
      <c r="Q744" t="s">
        <v>1721</v>
      </c>
    </row>
    <row r="745" spans="1:17" x14ac:dyDescent="0.3">
      <c r="A745" t="s">
        <v>17</v>
      </c>
      <c r="B745" t="str">
        <f>"600854"</f>
        <v>600854</v>
      </c>
      <c r="C745" t="s">
        <v>1722</v>
      </c>
      <c r="D745" t="s">
        <v>1723</v>
      </c>
      <c r="F745">
        <v>982.48270000000002</v>
      </c>
      <c r="G745">
        <v>961.25710000000004</v>
      </c>
      <c r="H745">
        <v>1658.2577000000001</v>
      </c>
      <c r="I745">
        <v>462.9776</v>
      </c>
      <c r="J745">
        <v>725.77080000000001</v>
      </c>
      <c r="K745">
        <v>2402.3476999999998</v>
      </c>
      <c r="L745">
        <v>2391.0306999999998</v>
      </c>
      <c r="M745">
        <v>1278.4781</v>
      </c>
      <c r="N745">
        <v>691.58130000000006</v>
      </c>
      <c r="O745">
        <v>850.19209999999998</v>
      </c>
      <c r="P745">
        <v>146</v>
      </c>
      <c r="Q745" t="s">
        <v>1724</v>
      </c>
    </row>
    <row r="746" spans="1:17" x14ac:dyDescent="0.3">
      <c r="A746" t="s">
        <v>17</v>
      </c>
      <c r="B746" t="str">
        <f>"600855"</f>
        <v>600855</v>
      </c>
      <c r="C746" t="s">
        <v>1725</v>
      </c>
      <c r="D746" t="s">
        <v>236</v>
      </c>
      <c r="F746">
        <v>421.98430000000002</v>
      </c>
      <c r="G746">
        <v>215.70949999999999</v>
      </c>
      <c r="H746">
        <v>109.5181</v>
      </c>
      <c r="I746">
        <v>111.0823</v>
      </c>
      <c r="J746">
        <v>124.5579</v>
      </c>
      <c r="K746">
        <v>130.31890000000001</v>
      </c>
      <c r="L746">
        <v>147.2715</v>
      </c>
      <c r="M746">
        <v>231.08330000000001</v>
      </c>
      <c r="N746">
        <v>195.13550000000001</v>
      </c>
      <c r="O746">
        <v>160.54589999999999</v>
      </c>
      <c r="P746">
        <v>139</v>
      </c>
      <c r="Q746" t="s">
        <v>1726</v>
      </c>
    </row>
    <row r="747" spans="1:17" x14ac:dyDescent="0.3">
      <c r="A747" t="s">
        <v>17</v>
      </c>
      <c r="B747" t="str">
        <f>"600856"</f>
        <v>600856</v>
      </c>
      <c r="C747" t="s">
        <v>1727</v>
      </c>
      <c r="D747" t="s">
        <v>1541</v>
      </c>
      <c r="F747">
        <v>1.8129</v>
      </c>
      <c r="G747">
        <v>3.2464</v>
      </c>
      <c r="H747">
        <v>2.738</v>
      </c>
      <c r="I747">
        <v>22.452300000000001</v>
      </c>
      <c r="J747">
        <v>37.189100000000003</v>
      </c>
      <c r="K747">
        <v>26.0046</v>
      </c>
      <c r="L747">
        <v>21.066099999999999</v>
      </c>
      <c r="M747">
        <v>5.7675999999999998</v>
      </c>
      <c r="N747">
        <v>7.3155000000000001</v>
      </c>
      <c r="O747">
        <v>7.1333000000000002</v>
      </c>
      <c r="P747">
        <v>129</v>
      </c>
      <c r="Q747" t="s">
        <v>1728</v>
      </c>
    </row>
    <row r="748" spans="1:17" x14ac:dyDescent="0.3">
      <c r="A748" t="s">
        <v>17</v>
      </c>
      <c r="B748" t="str">
        <f>"600857"</f>
        <v>600857</v>
      </c>
      <c r="C748" t="s">
        <v>1729</v>
      </c>
      <c r="D748" t="s">
        <v>633</v>
      </c>
      <c r="F748">
        <v>31.074000000000002</v>
      </c>
      <c r="G748">
        <v>36.414700000000003</v>
      </c>
      <c r="H748">
        <v>24.625499999999999</v>
      </c>
      <c r="I748">
        <v>31.0791</v>
      </c>
      <c r="J748">
        <v>35.248199999999997</v>
      </c>
      <c r="K748">
        <v>33.608600000000003</v>
      </c>
      <c r="L748">
        <v>26.182700000000001</v>
      </c>
      <c r="M748">
        <v>24.488099999999999</v>
      </c>
      <c r="N748">
        <v>17.8292</v>
      </c>
      <c r="O748">
        <v>25.608499999999999</v>
      </c>
      <c r="P748">
        <v>74</v>
      </c>
      <c r="Q748" t="s">
        <v>1730</v>
      </c>
    </row>
    <row r="749" spans="1:17" x14ac:dyDescent="0.3">
      <c r="A749" t="s">
        <v>17</v>
      </c>
      <c r="B749" t="str">
        <f>"600858"</f>
        <v>600858</v>
      </c>
      <c r="C749" t="s">
        <v>1731</v>
      </c>
      <c r="D749" t="s">
        <v>1404</v>
      </c>
      <c r="F749">
        <v>100.55110000000001</v>
      </c>
      <c r="G749">
        <v>120.29519999999999</v>
      </c>
      <c r="H749">
        <v>46.340800000000002</v>
      </c>
      <c r="I749">
        <v>74.165800000000004</v>
      </c>
      <c r="J749">
        <v>74.873400000000004</v>
      </c>
      <c r="K749">
        <v>78.930300000000003</v>
      </c>
      <c r="L749">
        <v>87.731200000000001</v>
      </c>
      <c r="M749">
        <v>110.5581</v>
      </c>
      <c r="N749">
        <v>99.662000000000006</v>
      </c>
      <c r="O749">
        <v>150.09880000000001</v>
      </c>
      <c r="P749">
        <v>91</v>
      </c>
      <c r="Q749" t="s">
        <v>1732</v>
      </c>
    </row>
    <row r="750" spans="1:17" x14ac:dyDescent="0.3">
      <c r="A750" t="s">
        <v>17</v>
      </c>
      <c r="B750" t="str">
        <f>"600859"</f>
        <v>600859</v>
      </c>
      <c r="C750" t="s">
        <v>1733</v>
      </c>
      <c r="D750" t="s">
        <v>633</v>
      </c>
      <c r="F750">
        <v>90.951700000000002</v>
      </c>
      <c r="G750">
        <v>98.243099999999998</v>
      </c>
      <c r="H750">
        <v>22.575099999999999</v>
      </c>
      <c r="I750">
        <v>19.200299999999999</v>
      </c>
      <c r="J750">
        <v>15.247299999999999</v>
      </c>
      <c r="K750">
        <v>14.6839</v>
      </c>
      <c r="L750">
        <v>13.775600000000001</v>
      </c>
      <c r="M750">
        <v>12.747400000000001</v>
      </c>
      <c r="N750">
        <v>11.722799999999999</v>
      </c>
      <c r="O750">
        <v>11.820399999999999</v>
      </c>
      <c r="P750">
        <v>553</v>
      </c>
      <c r="Q750" t="s">
        <v>1734</v>
      </c>
    </row>
    <row r="751" spans="1:17" x14ac:dyDescent="0.3">
      <c r="A751" t="s">
        <v>17</v>
      </c>
      <c r="B751" t="str">
        <f>"600860"</f>
        <v>600860</v>
      </c>
      <c r="C751" t="s">
        <v>1735</v>
      </c>
      <c r="D751" t="s">
        <v>274</v>
      </c>
      <c r="F751">
        <v>148.3237</v>
      </c>
      <c r="G751">
        <v>165.43989999999999</v>
      </c>
      <c r="H751">
        <v>152.87440000000001</v>
      </c>
      <c r="I751">
        <v>229.2619</v>
      </c>
      <c r="J751">
        <v>160.00120000000001</v>
      </c>
      <c r="K751">
        <v>190.2604</v>
      </c>
      <c r="L751">
        <v>246.3518</v>
      </c>
      <c r="M751">
        <v>180.0334</v>
      </c>
      <c r="N751">
        <v>320.24239999999998</v>
      </c>
      <c r="O751">
        <v>335.87979999999999</v>
      </c>
      <c r="P751">
        <v>108</v>
      </c>
      <c r="Q751" t="s">
        <v>1736</v>
      </c>
    </row>
    <row r="752" spans="1:17" x14ac:dyDescent="0.3">
      <c r="A752" t="s">
        <v>17</v>
      </c>
      <c r="B752" t="str">
        <f>"600861"</f>
        <v>600861</v>
      </c>
      <c r="C752" t="s">
        <v>1737</v>
      </c>
      <c r="D752" t="s">
        <v>1404</v>
      </c>
      <c r="F752">
        <v>875.5874</v>
      </c>
      <c r="G752">
        <v>778.48329999999999</v>
      </c>
      <c r="H752">
        <v>190.25409999999999</v>
      </c>
      <c r="I752">
        <v>354.71269999999998</v>
      </c>
      <c r="J752">
        <v>387.29450000000003</v>
      </c>
      <c r="K752">
        <v>410.46050000000002</v>
      </c>
      <c r="L752">
        <v>448.07479999999998</v>
      </c>
      <c r="M752">
        <v>426.46910000000003</v>
      </c>
      <c r="N752">
        <v>247.01740000000001</v>
      </c>
      <c r="O752">
        <v>176.8058</v>
      </c>
      <c r="P752">
        <v>72</v>
      </c>
      <c r="Q752" t="s">
        <v>1738</v>
      </c>
    </row>
    <row r="753" spans="1:17" x14ac:dyDescent="0.3">
      <c r="A753" t="s">
        <v>17</v>
      </c>
      <c r="B753" t="str">
        <f>"600862"</f>
        <v>600862</v>
      </c>
      <c r="C753" t="s">
        <v>1739</v>
      </c>
      <c r="D753" t="s">
        <v>98</v>
      </c>
      <c r="F753">
        <v>297.56220000000002</v>
      </c>
      <c r="G753">
        <v>314.85860000000002</v>
      </c>
      <c r="H753">
        <v>716.68330000000003</v>
      </c>
      <c r="I753">
        <v>600.08050000000003</v>
      </c>
      <c r="J753">
        <v>458.91739999999999</v>
      </c>
      <c r="K753">
        <v>751.06060000000002</v>
      </c>
      <c r="L753">
        <v>739.22239999999999</v>
      </c>
      <c r="M753">
        <v>2504.3739</v>
      </c>
      <c r="N753">
        <v>1553.3103000000001</v>
      </c>
      <c r="O753">
        <v>1718.6125999999999</v>
      </c>
      <c r="P753">
        <v>457</v>
      </c>
      <c r="Q753" t="s">
        <v>1740</v>
      </c>
    </row>
    <row r="754" spans="1:17" x14ac:dyDescent="0.3">
      <c r="A754" t="s">
        <v>17</v>
      </c>
      <c r="B754" t="str">
        <f>"600863"</f>
        <v>600863</v>
      </c>
      <c r="C754" t="s">
        <v>1741</v>
      </c>
      <c r="D754" t="s">
        <v>41</v>
      </c>
      <c r="F754">
        <v>11.1478</v>
      </c>
      <c r="G754">
        <v>15.212400000000001</v>
      </c>
      <c r="H754">
        <v>17.7029</v>
      </c>
      <c r="I754">
        <v>17.198399999999999</v>
      </c>
      <c r="J754">
        <v>19.851600000000001</v>
      </c>
      <c r="K754">
        <v>21.6617</v>
      </c>
      <c r="L754">
        <v>27.574100000000001</v>
      </c>
      <c r="M754">
        <v>23.773800000000001</v>
      </c>
      <c r="N754">
        <v>24.0626</v>
      </c>
      <c r="O754">
        <v>27.378399999999999</v>
      </c>
      <c r="P754">
        <v>310</v>
      </c>
      <c r="Q754" t="s">
        <v>1742</v>
      </c>
    </row>
    <row r="755" spans="1:17" x14ac:dyDescent="0.3">
      <c r="A755" t="s">
        <v>17</v>
      </c>
      <c r="B755" t="str">
        <f>"600864"</f>
        <v>600864</v>
      </c>
      <c r="C755" t="s">
        <v>1743</v>
      </c>
      <c r="D755" t="s">
        <v>80</v>
      </c>
      <c r="F755">
        <v>97.781300000000002</v>
      </c>
      <c r="G755">
        <v>99.621399999999994</v>
      </c>
      <c r="H755">
        <v>121.7011</v>
      </c>
      <c r="I755">
        <v>89.927199999999999</v>
      </c>
      <c r="J755">
        <v>77.438500000000005</v>
      </c>
      <c r="K755">
        <v>75.058899999999994</v>
      </c>
      <c r="L755">
        <v>84.709299999999999</v>
      </c>
      <c r="M755">
        <v>86.511099999999999</v>
      </c>
      <c r="N755">
        <v>90.468400000000003</v>
      </c>
      <c r="O755">
        <v>105.34610000000001</v>
      </c>
      <c r="P755">
        <v>412</v>
      </c>
      <c r="Q755" t="s">
        <v>1744</v>
      </c>
    </row>
    <row r="756" spans="1:17" x14ac:dyDescent="0.3">
      <c r="A756" t="s">
        <v>17</v>
      </c>
      <c r="B756" t="str">
        <f>"600865"</f>
        <v>600865</v>
      </c>
      <c r="C756" t="s">
        <v>1745</v>
      </c>
      <c r="D756" t="s">
        <v>633</v>
      </c>
      <c r="F756">
        <v>11.9656</v>
      </c>
      <c r="G756">
        <v>15.158799999999999</v>
      </c>
      <c r="H756">
        <v>1.1129</v>
      </c>
      <c r="I756">
        <v>1.909</v>
      </c>
      <c r="J756">
        <v>1.089</v>
      </c>
      <c r="K756">
        <v>0.92420000000000002</v>
      </c>
      <c r="L756">
        <v>1.4722999999999999</v>
      </c>
      <c r="M756">
        <v>4.3842999999999996</v>
      </c>
      <c r="N756">
        <v>2085.7251999999999</v>
      </c>
      <c r="O756">
        <v>1898.193</v>
      </c>
      <c r="P756">
        <v>123</v>
      </c>
      <c r="Q756" t="s">
        <v>1746</v>
      </c>
    </row>
    <row r="757" spans="1:17" x14ac:dyDescent="0.3">
      <c r="A757" t="s">
        <v>17</v>
      </c>
      <c r="B757" t="str">
        <f>"600866"</f>
        <v>600866</v>
      </c>
      <c r="C757" t="s">
        <v>1747</v>
      </c>
      <c r="D757" t="s">
        <v>677</v>
      </c>
      <c r="F757">
        <v>150.36529999999999</v>
      </c>
      <c r="G757">
        <v>204.11340000000001</v>
      </c>
      <c r="H757">
        <v>164.1506</v>
      </c>
      <c r="I757">
        <v>160.3365</v>
      </c>
      <c r="J757">
        <v>230.63509999999999</v>
      </c>
      <c r="K757">
        <v>204.54740000000001</v>
      </c>
      <c r="L757">
        <v>162.58070000000001</v>
      </c>
      <c r="M757">
        <v>194.1311</v>
      </c>
      <c r="N757">
        <v>186.54390000000001</v>
      </c>
      <c r="O757">
        <v>164.9658</v>
      </c>
      <c r="P757">
        <v>143</v>
      </c>
      <c r="Q757" t="s">
        <v>1748</v>
      </c>
    </row>
    <row r="758" spans="1:17" x14ac:dyDescent="0.3">
      <c r="A758" t="s">
        <v>17</v>
      </c>
      <c r="B758" t="str">
        <f>"600867"</f>
        <v>600867</v>
      </c>
      <c r="C758" t="s">
        <v>1749</v>
      </c>
      <c r="D758" t="s">
        <v>1379</v>
      </c>
      <c r="F758">
        <v>442.89139999999998</v>
      </c>
      <c r="G758">
        <v>446.2833</v>
      </c>
      <c r="H758">
        <v>545.14840000000004</v>
      </c>
      <c r="I758">
        <v>584.72349999999994</v>
      </c>
      <c r="J758">
        <v>799.2355</v>
      </c>
      <c r="K758">
        <v>919.37019999999995</v>
      </c>
      <c r="L758">
        <v>762.65819999999997</v>
      </c>
      <c r="M758">
        <v>410.69810000000001</v>
      </c>
      <c r="N758">
        <v>292.95089999999999</v>
      </c>
      <c r="O758">
        <v>288.03089999999997</v>
      </c>
      <c r="P758">
        <v>2948</v>
      </c>
      <c r="Q758" t="s">
        <v>1750</v>
      </c>
    </row>
    <row r="759" spans="1:17" x14ac:dyDescent="0.3">
      <c r="A759" t="s">
        <v>17</v>
      </c>
      <c r="B759" t="str">
        <f>"600868"</f>
        <v>600868</v>
      </c>
      <c r="C759" t="s">
        <v>1751</v>
      </c>
      <c r="D759" t="s">
        <v>66</v>
      </c>
      <c r="F759">
        <v>229.14590000000001</v>
      </c>
      <c r="G759">
        <v>0</v>
      </c>
      <c r="H759">
        <v>0</v>
      </c>
      <c r="I759">
        <v>0</v>
      </c>
      <c r="J759">
        <v>1.1248</v>
      </c>
      <c r="K759">
        <v>31.2136</v>
      </c>
      <c r="L759">
        <v>48.415599999999998</v>
      </c>
      <c r="M759">
        <v>22.9603</v>
      </c>
      <c r="N759">
        <v>31.300899999999999</v>
      </c>
      <c r="O759">
        <v>32.874699999999997</v>
      </c>
      <c r="P759">
        <v>125</v>
      </c>
      <c r="Q759" t="s">
        <v>1752</v>
      </c>
    </row>
    <row r="760" spans="1:17" x14ac:dyDescent="0.3">
      <c r="A760" t="s">
        <v>17</v>
      </c>
      <c r="B760" t="str">
        <f>"600869"</f>
        <v>600869</v>
      </c>
      <c r="C760" t="s">
        <v>1753</v>
      </c>
      <c r="D760" t="s">
        <v>1164</v>
      </c>
      <c r="F760">
        <v>67.481200000000001</v>
      </c>
      <c r="G760">
        <v>84.497399999999999</v>
      </c>
      <c r="H760">
        <v>95.792299999999997</v>
      </c>
      <c r="I760">
        <v>95.3673</v>
      </c>
      <c r="J760">
        <v>75.199200000000005</v>
      </c>
      <c r="K760">
        <v>73.256900000000002</v>
      </c>
      <c r="L760">
        <v>51.7667</v>
      </c>
      <c r="M760">
        <v>53.8416</v>
      </c>
      <c r="N760">
        <v>59.314799999999998</v>
      </c>
      <c r="O760">
        <v>73.673000000000002</v>
      </c>
      <c r="P760">
        <v>206</v>
      </c>
      <c r="Q760" t="s">
        <v>1754</v>
      </c>
    </row>
    <row r="761" spans="1:17" x14ac:dyDescent="0.3">
      <c r="A761" t="s">
        <v>17</v>
      </c>
      <c r="B761" t="str">
        <f>"600870"</f>
        <v>600870</v>
      </c>
      <c r="C761" t="s">
        <v>1755</v>
      </c>
      <c r="D761" t="s">
        <v>131</v>
      </c>
      <c r="F761">
        <v>351.20440000000002</v>
      </c>
      <c r="G761">
        <v>0.1169</v>
      </c>
      <c r="H761">
        <v>67.304500000000004</v>
      </c>
      <c r="I761">
        <v>63.261600000000001</v>
      </c>
      <c r="J761">
        <v>1.2615000000000001</v>
      </c>
      <c r="K761">
        <v>8.9999999999999998E-4</v>
      </c>
      <c r="L761">
        <v>44.774999999999999</v>
      </c>
      <c r="M761">
        <v>106.1626</v>
      </c>
      <c r="N761">
        <v>80.231300000000005</v>
      </c>
      <c r="O761">
        <v>38.558700000000002</v>
      </c>
      <c r="P761">
        <v>55</v>
      </c>
      <c r="Q761" t="s">
        <v>1756</v>
      </c>
    </row>
    <row r="762" spans="1:17" x14ac:dyDescent="0.3">
      <c r="A762" t="s">
        <v>17</v>
      </c>
      <c r="B762" t="str">
        <f>"600871"</f>
        <v>600871</v>
      </c>
      <c r="C762" t="s">
        <v>1757</v>
      </c>
      <c r="D762" t="s">
        <v>1758</v>
      </c>
      <c r="F762">
        <v>10.6439</v>
      </c>
      <c r="G762">
        <v>11.9079</v>
      </c>
      <c r="H762">
        <v>13.251200000000001</v>
      </c>
      <c r="I762">
        <v>52.836100000000002</v>
      </c>
      <c r="J762">
        <v>135.55019999999999</v>
      </c>
      <c r="K762">
        <v>162.49760000000001</v>
      </c>
      <c r="L762">
        <v>152.4847</v>
      </c>
      <c r="M762">
        <v>40.836300000000001</v>
      </c>
      <c r="N762">
        <v>48.0717</v>
      </c>
      <c r="O762">
        <v>49.646099999999997</v>
      </c>
      <c r="P762">
        <v>172</v>
      </c>
      <c r="Q762" t="s">
        <v>1759</v>
      </c>
    </row>
    <row r="763" spans="1:17" x14ac:dyDescent="0.3">
      <c r="A763" t="s">
        <v>17</v>
      </c>
      <c r="B763" t="str">
        <f>"600872"</f>
        <v>600872</v>
      </c>
      <c r="C763" t="s">
        <v>1760</v>
      </c>
      <c r="D763" t="s">
        <v>433</v>
      </c>
      <c r="F763">
        <v>270.80520000000001</v>
      </c>
      <c r="G763">
        <v>258.27339999999998</v>
      </c>
      <c r="H763">
        <v>260.30079999999998</v>
      </c>
      <c r="I763">
        <v>263.61509999999998</v>
      </c>
      <c r="J763">
        <v>297.70749999999998</v>
      </c>
      <c r="K763">
        <v>329.69069999999999</v>
      </c>
      <c r="L763">
        <v>346.4212</v>
      </c>
      <c r="M763">
        <v>347.67919999999998</v>
      </c>
      <c r="N763">
        <v>387.48489999999998</v>
      </c>
      <c r="O763">
        <v>443.56049999999999</v>
      </c>
      <c r="P763">
        <v>2534</v>
      </c>
      <c r="Q763" t="s">
        <v>1761</v>
      </c>
    </row>
    <row r="764" spans="1:17" x14ac:dyDescent="0.3">
      <c r="A764" t="s">
        <v>17</v>
      </c>
      <c r="B764" t="str">
        <f>"600873"</f>
        <v>600873</v>
      </c>
      <c r="C764" t="s">
        <v>1762</v>
      </c>
      <c r="D764" t="s">
        <v>433</v>
      </c>
      <c r="F764">
        <v>55.398299999999999</v>
      </c>
      <c r="G764">
        <v>69.056100000000001</v>
      </c>
      <c r="H764">
        <v>69.976699999999994</v>
      </c>
      <c r="I764">
        <v>47.690300000000001</v>
      </c>
      <c r="J764">
        <v>46.0122</v>
      </c>
      <c r="K764">
        <v>61.9375</v>
      </c>
      <c r="L764">
        <v>90.038799999999995</v>
      </c>
      <c r="M764">
        <v>91.908699999999996</v>
      </c>
      <c r="N764">
        <v>90.227400000000003</v>
      </c>
      <c r="O764">
        <v>104.08750000000001</v>
      </c>
      <c r="P764">
        <v>990</v>
      </c>
      <c r="Q764" t="s">
        <v>1763</v>
      </c>
    </row>
    <row r="765" spans="1:17" x14ac:dyDescent="0.3">
      <c r="A765" t="s">
        <v>17</v>
      </c>
      <c r="B765" t="str">
        <f>"600874"</f>
        <v>600874</v>
      </c>
      <c r="C765" t="s">
        <v>1764</v>
      </c>
      <c r="D765" t="s">
        <v>33</v>
      </c>
      <c r="F765">
        <v>3.4110999999999998</v>
      </c>
      <c r="G765">
        <v>3.2324000000000002</v>
      </c>
      <c r="H765">
        <v>3.9325999999999999</v>
      </c>
      <c r="I765">
        <v>6.2892000000000001</v>
      </c>
      <c r="J765">
        <v>8.9263999999999992</v>
      </c>
      <c r="K765">
        <v>10.9505</v>
      </c>
      <c r="L765">
        <v>7.6558000000000002</v>
      </c>
      <c r="M765">
        <v>18.890599999999999</v>
      </c>
      <c r="N765">
        <v>41.245399999999997</v>
      </c>
      <c r="O765">
        <v>49.231400000000001</v>
      </c>
      <c r="P765">
        <v>201</v>
      </c>
      <c r="Q765" t="s">
        <v>1765</v>
      </c>
    </row>
    <row r="766" spans="1:17" x14ac:dyDescent="0.3">
      <c r="A766" t="s">
        <v>17</v>
      </c>
      <c r="B766" t="str">
        <f>"600875"</f>
        <v>600875</v>
      </c>
      <c r="C766" t="s">
        <v>1766</v>
      </c>
      <c r="D766" t="s">
        <v>973</v>
      </c>
      <c r="F766">
        <v>240.3853</v>
      </c>
      <c r="G766">
        <v>230.46019999999999</v>
      </c>
      <c r="H766">
        <v>282.53570000000002</v>
      </c>
      <c r="I766">
        <v>328.30110000000002</v>
      </c>
      <c r="J766">
        <v>419.06139999999999</v>
      </c>
      <c r="K766">
        <v>453.62360000000001</v>
      </c>
      <c r="L766">
        <v>487.33370000000002</v>
      </c>
      <c r="M766">
        <v>436.11689999999999</v>
      </c>
      <c r="N766">
        <v>453.7235</v>
      </c>
      <c r="O766">
        <v>516.11699999999996</v>
      </c>
      <c r="P766">
        <v>482</v>
      </c>
      <c r="Q766" t="s">
        <v>1767</v>
      </c>
    </row>
    <row r="767" spans="1:17" x14ac:dyDescent="0.3">
      <c r="A767" t="s">
        <v>17</v>
      </c>
      <c r="B767" t="str">
        <f>"600876"</f>
        <v>600876</v>
      </c>
      <c r="C767" t="s">
        <v>1768</v>
      </c>
      <c r="D767" t="s">
        <v>666</v>
      </c>
      <c r="F767">
        <v>63.9497</v>
      </c>
      <c r="G767">
        <v>85.323800000000006</v>
      </c>
      <c r="H767">
        <v>91.943200000000004</v>
      </c>
      <c r="I767">
        <v>81.452200000000005</v>
      </c>
      <c r="J767">
        <v>218.54079999999999</v>
      </c>
      <c r="K767">
        <v>348.95260000000002</v>
      </c>
      <c r="L767">
        <v>169.88300000000001</v>
      </c>
      <c r="M767">
        <v>191.61019999999999</v>
      </c>
      <c r="N767">
        <v>454.50209999999998</v>
      </c>
      <c r="O767">
        <v>198.89670000000001</v>
      </c>
      <c r="P767">
        <v>175</v>
      </c>
      <c r="Q767" t="s">
        <v>1769</v>
      </c>
    </row>
    <row r="768" spans="1:17" x14ac:dyDescent="0.3">
      <c r="A768" t="s">
        <v>17</v>
      </c>
      <c r="B768" t="str">
        <f>"600877"</f>
        <v>600877</v>
      </c>
      <c r="C768" t="s">
        <v>1770</v>
      </c>
      <c r="D768" t="s">
        <v>359</v>
      </c>
      <c r="F768">
        <v>170.1995</v>
      </c>
      <c r="G768">
        <v>487.82190000000003</v>
      </c>
      <c r="H768">
        <v>656.32539999999995</v>
      </c>
      <c r="I768">
        <v>68.132499999999993</v>
      </c>
      <c r="J768">
        <v>81.631299999999996</v>
      </c>
      <c r="K768">
        <v>110.7509</v>
      </c>
      <c r="L768">
        <v>105.92829999999999</v>
      </c>
      <c r="M768">
        <v>72.316999999999993</v>
      </c>
      <c r="N768">
        <v>58.424300000000002</v>
      </c>
      <c r="O768">
        <v>64.855900000000005</v>
      </c>
      <c r="P768">
        <v>119</v>
      </c>
      <c r="Q768" t="s">
        <v>1771</v>
      </c>
    </row>
    <row r="769" spans="1:17" x14ac:dyDescent="0.3">
      <c r="A769" t="s">
        <v>17</v>
      </c>
      <c r="B769" t="str">
        <f>"600878"</f>
        <v>600878</v>
      </c>
      <c r="C769" t="s">
        <v>1772</v>
      </c>
      <c r="P769">
        <v>2</v>
      </c>
      <c r="Q769" t="s">
        <v>1773</v>
      </c>
    </row>
    <row r="770" spans="1:17" x14ac:dyDescent="0.3">
      <c r="A770" t="s">
        <v>17</v>
      </c>
      <c r="B770" t="str">
        <f>"600879"</f>
        <v>600879</v>
      </c>
      <c r="C770" t="s">
        <v>1774</v>
      </c>
      <c r="D770" t="s">
        <v>284</v>
      </c>
      <c r="F770">
        <v>520.51059999999995</v>
      </c>
      <c r="G770">
        <v>569.3039</v>
      </c>
      <c r="H770">
        <v>429.50439999999998</v>
      </c>
      <c r="I770">
        <v>347.15910000000002</v>
      </c>
      <c r="J770">
        <v>345.80489999999998</v>
      </c>
      <c r="K770">
        <v>286.96109999999999</v>
      </c>
      <c r="L770">
        <v>786.79229999999995</v>
      </c>
      <c r="M770">
        <v>852.85040000000004</v>
      </c>
      <c r="N770">
        <v>792.81200000000001</v>
      </c>
      <c r="O770">
        <v>617.94600000000003</v>
      </c>
      <c r="P770">
        <v>359</v>
      </c>
      <c r="Q770" t="s">
        <v>1775</v>
      </c>
    </row>
    <row r="771" spans="1:17" x14ac:dyDescent="0.3">
      <c r="A771" t="s">
        <v>17</v>
      </c>
      <c r="B771" t="str">
        <f>"600880"</f>
        <v>600880</v>
      </c>
      <c r="C771" t="s">
        <v>1776</v>
      </c>
      <c r="D771" t="s">
        <v>1777</v>
      </c>
      <c r="F771">
        <v>8.9891000000000005</v>
      </c>
      <c r="G771">
        <v>7.4824000000000002</v>
      </c>
      <c r="H771">
        <v>6.4478999999999997</v>
      </c>
      <c r="I771">
        <v>5.7606000000000002</v>
      </c>
      <c r="J771">
        <v>21.477599999999999</v>
      </c>
      <c r="K771">
        <v>13.509499999999999</v>
      </c>
      <c r="L771">
        <v>13.6548</v>
      </c>
      <c r="M771">
        <v>20.319500000000001</v>
      </c>
      <c r="N771">
        <v>29.615500000000001</v>
      </c>
      <c r="O771">
        <v>40.633400000000002</v>
      </c>
      <c r="P771">
        <v>314</v>
      </c>
      <c r="Q771" t="s">
        <v>1778</v>
      </c>
    </row>
    <row r="772" spans="1:17" x14ac:dyDescent="0.3">
      <c r="A772" t="s">
        <v>17</v>
      </c>
      <c r="B772" t="str">
        <f>"600881"</f>
        <v>600881</v>
      </c>
      <c r="C772" t="s">
        <v>1779</v>
      </c>
      <c r="D772" t="s">
        <v>110</v>
      </c>
      <c r="F772">
        <v>317.59800000000001</v>
      </c>
      <c r="G772">
        <v>338.88839999999999</v>
      </c>
      <c r="H772">
        <v>443.70749999999998</v>
      </c>
      <c r="I772">
        <v>421.8689</v>
      </c>
      <c r="J772">
        <v>512.80579999999998</v>
      </c>
      <c r="K772">
        <v>502.64729999999997</v>
      </c>
      <c r="L772">
        <v>483.76799999999997</v>
      </c>
      <c r="M772">
        <v>367.65469999999999</v>
      </c>
      <c r="N772">
        <v>376.29820000000001</v>
      </c>
      <c r="O772">
        <v>418.42989999999998</v>
      </c>
      <c r="P772">
        <v>144</v>
      </c>
      <c r="Q772" t="s">
        <v>1780</v>
      </c>
    </row>
    <row r="773" spans="1:17" x14ac:dyDescent="0.3">
      <c r="A773" t="s">
        <v>17</v>
      </c>
      <c r="B773" t="str">
        <f>"600882"</f>
        <v>600882</v>
      </c>
      <c r="C773" t="s">
        <v>1781</v>
      </c>
      <c r="D773" t="s">
        <v>900</v>
      </c>
      <c r="F773">
        <v>69.403800000000004</v>
      </c>
      <c r="G773">
        <v>65.221699999999998</v>
      </c>
      <c r="H773">
        <v>66.522400000000005</v>
      </c>
      <c r="I773">
        <v>78.1892</v>
      </c>
      <c r="J773">
        <v>61.262500000000003</v>
      </c>
      <c r="K773">
        <v>80.477800000000002</v>
      </c>
      <c r="L773">
        <v>105.0728</v>
      </c>
      <c r="M773">
        <v>94.0749</v>
      </c>
      <c r="N773">
        <v>84.956599999999995</v>
      </c>
      <c r="O773">
        <v>123.2976</v>
      </c>
      <c r="P773">
        <v>515</v>
      </c>
      <c r="Q773" t="s">
        <v>1782</v>
      </c>
    </row>
    <row r="774" spans="1:17" x14ac:dyDescent="0.3">
      <c r="A774" t="s">
        <v>17</v>
      </c>
      <c r="B774" t="str">
        <f>"600883"</f>
        <v>600883</v>
      </c>
      <c r="C774" t="s">
        <v>1783</v>
      </c>
      <c r="D774" t="s">
        <v>731</v>
      </c>
      <c r="F774">
        <v>243.46010000000001</v>
      </c>
      <c r="G774">
        <v>242.9667</v>
      </c>
      <c r="H774">
        <v>196.65600000000001</v>
      </c>
      <c r="I774">
        <v>146.57050000000001</v>
      </c>
      <c r="J774">
        <v>209.71039999999999</v>
      </c>
      <c r="K774">
        <v>199.72819999999999</v>
      </c>
      <c r="L774">
        <v>240.4365</v>
      </c>
      <c r="M774">
        <v>300.56979999999999</v>
      </c>
      <c r="N774">
        <v>134.94980000000001</v>
      </c>
      <c r="O774">
        <v>85.5381</v>
      </c>
      <c r="P774">
        <v>78</v>
      </c>
      <c r="Q774" t="s">
        <v>1784</v>
      </c>
    </row>
    <row r="775" spans="1:17" x14ac:dyDescent="0.3">
      <c r="A775" t="s">
        <v>17</v>
      </c>
      <c r="B775" t="str">
        <f>"600884"</f>
        <v>600884</v>
      </c>
      <c r="C775" t="s">
        <v>1785</v>
      </c>
      <c r="D775" t="s">
        <v>1786</v>
      </c>
      <c r="F775">
        <v>69.5959</v>
      </c>
      <c r="G775">
        <v>122.5308</v>
      </c>
      <c r="H775">
        <v>157.53870000000001</v>
      </c>
      <c r="I775">
        <v>184.3938</v>
      </c>
      <c r="J775">
        <v>113.7311</v>
      </c>
      <c r="K775">
        <v>132.59819999999999</v>
      </c>
      <c r="L775">
        <v>128.9111</v>
      </c>
      <c r="M775">
        <v>131.27940000000001</v>
      </c>
      <c r="N775">
        <v>153.6207</v>
      </c>
      <c r="O775">
        <v>155.68729999999999</v>
      </c>
      <c r="P775">
        <v>758</v>
      </c>
      <c r="Q775" t="s">
        <v>1787</v>
      </c>
    </row>
    <row r="776" spans="1:17" x14ac:dyDescent="0.3">
      <c r="A776" t="s">
        <v>17</v>
      </c>
      <c r="B776" t="str">
        <f>"600885"</f>
        <v>600885</v>
      </c>
      <c r="C776" t="s">
        <v>1788</v>
      </c>
      <c r="D776" t="s">
        <v>610</v>
      </c>
      <c r="F776">
        <v>131.71969999999999</v>
      </c>
      <c r="G776">
        <v>144.30430000000001</v>
      </c>
      <c r="H776">
        <v>154.96260000000001</v>
      </c>
      <c r="I776">
        <v>154.6944</v>
      </c>
      <c r="J776">
        <v>137.52799999999999</v>
      </c>
      <c r="K776">
        <v>130.9384</v>
      </c>
      <c r="L776">
        <v>135.91730000000001</v>
      </c>
      <c r="M776">
        <v>115.676</v>
      </c>
      <c r="N776">
        <v>110.09780000000001</v>
      </c>
      <c r="O776">
        <v>192.09819999999999</v>
      </c>
      <c r="P776">
        <v>13105</v>
      </c>
      <c r="Q776" t="s">
        <v>1789</v>
      </c>
    </row>
    <row r="777" spans="1:17" x14ac:dyDescent="0.3">
      <c r="A777" t="s">
        <v>17</v>
      </c>
      <c r="B777" t="str">
        <f>"600886"</f>
        <v>600886</v>
      </c>
      <c r="C777" t="s">
        <v>1790</v>
      </c>
      <c r="D777" t="s">
        <v>66</v>
      </c>
      <c r="F777">
        <v>16.876300000000001</v>
      </c>
      <c r="G777">
        <v>28.1374</v>
      </c>
      <c r="H777">
        <v>31.0245</v>
      </c>
      <c r="I777">
        <v>29.275300000000001</v>
      </c>
      <c r="J777">
        <v>30.4099</v>
      </c>
      <c r="K777">
        <v>31.201000000000001</v>
      </c>
      <c r="L777">
        <v>31.739599999999999</v>
      </c>
      <c r="M777">
        <v>29.036999999999999</v>
      </c>
      <c r="N777">
        <v>32.9422</v>
      </c>
      <c r="O777">
        <v>27.785900000000002</v>
      </c>
      <c r="P777">
        <v>2023</v>
      </c>
      <c r="Q777" t="s">
        <v>1791</v>
      </c>
    </row>
    <row r="778" spans="1:17" x14ac:dyDescent="0.3">
      <c r="A778" t="s">
        <v>17</v>
      </c>
      <c r="B778" t="str">
        <f>"600887"</f>
        <v>600887</v>
      </c>
      <c r="C778" t="s">
        <v>1792</v>
      </c>
      <c r="D778" t="s">
        <v>900</v>
      </c>
      <c r="F778">
        <v>44.569400000000002</v>
      </c>
      <c r="G778">
        <v>52.025799999999997</v>
      </c>
      <c r="H778">
        <v>44.4694</v>
      </c>
      <c r="I778">
        <v>37.1419</v>
      </c>
      <c r="J778">
        <v>43.381399999999999</v>
      </c>
      <c r="K778">
        <v>49.959699999999998</v>
      </c>
      <c r="L778">
        <v>52.7562</v>
      </c>
      <c r="M778">
        <v>51.474299999999999</v>
      </c>
      <c r="N778">
        <v>38.415700000000001</v>
      </c>
      <c r="O778">
        <v>47.387500000000003</v>
      </c>
      <c r="P778">
        <v>72799</v>
      </c>
      <c r="Q778" t="s">
        <v>1793</v>
      </c>
    </row>
    <row r="779" spans="1:17" x14ac:dyDescent="0.3">
      <c r="A779" t="s">
        <v>17</v>
      </c>
      <c r="B779" t="str">
        <f>"600888"</f>
        <v>600888</v>
      </c>
      <c r="C779" t="s">
        <v>1794</v>
      </c>
      <c r="D779" t="s">
        <v>504</v>
      </c>
      <c r="F779">
        <v>83.897000000000006</v>
      </c>
      <c r="G779">
        <v>122.30929999999999</v>
      </c>
      <c r="H779">
        <v>116.4388</v>
      </c>
      <c r="I779">
        <v>127.8993</v>
      </c>
      <c r="J779">
        <v>92.056399999999996</v>
      </c>
      <c r="K779">
        <v>78.634100000000004</v>
      </c>
      <c r="L779">
        <v>75.235500000000002</v>
      </c>
      <c r="M779">
        <v>137.49109999999999</v>
      </c>
      <c r="N779">
        <v>159.9898</v>
      </c>
      <c r="O779">
        <v>191.27500000000001</v>
      </c>
      <c r="P779">
        <v>183</v>
      </c>
      <c r="Q779" t="s">
        <v>1795</v>
      </c>
    </row>
    <row r="780" spans="1:17" x14ac:dyDescent="0.3">
      <c r="A780" t="s">
        <v>17</v>
      </c>
      <c r="B780" t="str">
        <f>"600889"</f>
        <v>600889</v>
      </c>
      <c r="C780" t="s">
        <v>1796</v>
      </c>
      <c r="D780" t="s">
        <v>888</v>
      </c>
      <c r="F780">
        <v>224.06200000000001</v>
      </c>
      <c r="G780">
        <v>131.6798</v>
      </c>
      <c r="H780">
        <v>195.8837</v>
      </c>
      <c r="I780">
        <v>166.82060000000001</v>
      </c>
      <c r="J780">
        <v>61.413200000000003</v>
      </c>
      <c r="K780">
        <v>71.226500000000001</v>
      </c>
      <c r="L780">
        <v>217.3202</v>
      </c>
      <c r="M780">
        <v>313.47410000000002</v>
      </c>
      <c r="N780">
        <v>760.66200000000003</v>
      </c>
      <c r="O780">
        <v>799.00360000000001</v>
      </c>
      <c r="P780">
        <v>77</v>
      </c>
      <c r="Q780" t="s">
        <v>1797</v>
      </c>
    </row>
    <row r="781" spans="1:17" x14ac:dyDescent="0.3">
      <c r="A781" t="s">
        <v>17</v>
      </c>
      <c r="B781" t="str">
        <f>"600890"</f>
        <v>600890</v>
      </c>
      <c r="C781" t="s">
        <v>1798</v>
      </c>
      <c r="D781" t="s">
        <v>30</v>
      </c>
      <c r="F781">
        <v>159.86680000000001</v>
      </c>
      <c r="G781">
        <v>211.1662</v>
      </c>
      <c r="H781">
        <v>69.259500000000003</v>
      </c>
      <c r="I781">
        <v>60.428199999999997</v>
      </c>
      <c r="J781">
        <v>51.981400000000001</v>
      </c>
      <c r="K781">
        <v>47.995800000000003</v>
      </c>
      <c r="L781">
        <v>45.643300000000004</v>
      </c>
      <c r="M781">
        <v>28.730799999999999</v>
      </c>
      <c r="N781">
        <v>41.2958</v>
      </c>
      <c r="O781">
        <v>41.220500000000001</v>
      </c>
      <c r="P781">
        <v>73</v>
      </c>
      <c r="Q781" t="s">
        <v>1799</v>
      </c>
    </row>
    <row r="782" spans="1:17" x14ac:dyDescent="0.3">
      <c r="A782" t="s">
        <v>17</v>
      </c>
      <c r="B782" t="str">
        <f>"600891"</f>
        <v>600891</v>
      </c>
      <c r="C782" t="s">
        <v>1800</v>
      </c>
      <c r="G782">
        <v>1355.5250000000001</v>
      </c>
      <c r="H782">
        <v>777.02610000000004</v>
      </c>
      <c r="I782">
        <v>216.0855</v>
      </c>
      <c r="J782">
        <v>199.03710000000001</v>
      </c>
      <c r="K782">
        <v>243.38249999999999</v>
      </c>
      <c r="L782">
        <v>208.98230000000001</v>
      </c>
      <c r="M782">
        <v>30.339099999999998</v>
      </c>
      <c r="N782">
        <v>27.773099999999999</v>
      </c>
      <c r="O782">
        <v>19.2621</v>
      </c>
      <c r="P782">
        <v>45</v>
      </c>
      <c r="Q782" t="s">
        <v>1801</v>
      </c>
    </row>
    <row r="783" spans="1:17" x14ac:dyDescent="0.3">
      <c r="A783" t="s">
        <v>17</v>
      </c>
      <c r="B783" t="str">
        <f>"600892"</f>
        <v>600892</v>
      </c>
      <c r="C783" t="s">
        <v>1802</v>
      </c>
      <c r="D783" t="s">
        <v>517</v>
      </c>
      <c r="F783">
        <v>1689.8643</v>
      </c>
      <c r="G783">
        <v>199.79050000000001</v>
      </c>
      <c r="H783">
        <v>7892.8881000000001</v>
      </c>
      <c r="I783">
        <v>5611.5437000000002</v>
      </c>
      <c r="J783">
        <v>250.60310000000001</v>
      </c>
      <c r="K783">
        <v>571.197</v>
      </c>
      <c r="L783">
        <v>0</v>
      </c>
      <c r="M783">
        <v>11.028700000000001</v>
      </c>
      <c r="N783">
        <v>3.1436000000000002</v>
      </c>
      <c r="O783">
        <v>20.537800000000001</v>
      </c>
      <c r="P783">
        <v>85</v>
      </c>
      <c r="Q783" t="s">
        <v>1803</v>
      </c>
    </row>
    <row r="784" spans="1:17" x14ac:dyDescent="0.3">
      <c r="A784" t="s">
        <v>17</v>
      </c>
      <c r="B784" t="str">
        <f>"600893"</f>
        <v>600893</v>
      </c>
      <c r="C784" t="s">
        <v>1804</v>
      </c>
      <c r="D784" t="s">
        <v>98</v>
      </c>
      <c r="F784">
        <v>518.63250000000005</v>
      </c>
      <c r="G784">
        <v>578.6422</v>
      </c>
      <c r="H784">
        <v>616.7527</v>
      </c>
      <c r="I784">
        <v>459.55739999999997</v>
      </c>
      <c r="J784">
        <v>475.4787</v>
      </c>
      <c r="K784">
        <v>457.57249999999999</v>
      </c>
      <c r="L784">
        <v>379.45699999999999</v>
      </c>
      <c r="M784">
        <v>203.16149999999999</v>
      </c>
      <c r="N784">
        <v>198.22790000000001</v>
      </c>
      <c r="O784">
        <v>185.96019999999999</v>
      </c>
      <c r="P784">
        <v>1086</v>
      </c>
      <c r="Q784" t="s">
        <v>1805</v>
      </c>
    </row>
    <row r="785" spans="1:17" x14ac:dyDescent="0.3">
      <c r="A785" t="s">
        <v>17</v>
      </c>
      <c r="B785" t="str">
        <f>"600894"</f>
        <v>600894</v>
      </c>
      <c r="C785" t="s">
        <v>1806</v>
      </c>
      <c r="D785" t="s">
        <v>1689</v>
      </c>
      <c r="F785">
        <v>87.372200000000007</v>
      </c>
      <c r="G785">
        <v>89.121399999999994</v>
      </c>
      <c r="H785">
        <v>85.160700000000006</v>
      </c>
      <c r="I785">
        <v>83.578400000000002</v>
      </c>
      <c r="J785">
        <v>72.333699999999993</v>
      </c>
      <c r="K785">
        <v>74.839500000000001</v>
      </c>
      <c r="L785">
        <v>71.822800000000001</v>
      </c>
      <c r="M785">
        <v>95.710400000000007</v>
      </c>
      <c r="N785">
        <v>99.1601</v>
      </c>
      <c r="O785">
        <v>109.14100000000001</v>
      </c>
      <c r="P785">
        <v>394</v>
      </c>
      <c r="Q785" t="s">
        <v>1807</v>
      </c>
    </row>
    <row r="786" spans="1:17" x14ac:dyDescent="0.3">
      <c r="A786" t="s">
        <v>17</v>
      </c>
      <c r="B786" t="str">
        <f>"600895"</f>
        <v>600895</v>
      </c>
      <c r="C786" t="s">
        <v>1808</v>
      </c>
      <c r="D786" t="s">
        <v>194</v>
      </c>
      <c r="F786">
        <v>5954.0028000000002</v>
      </c>
      <c r="G786">
        <v>13896.149600000001</v>
      </c>
      <c r="H786">
        <v>4347.9296000000004</v>
      </c>
      <c r="I786">
        <v>4684.5843000000004</v>
      </c>
      <c r="J786">
        <v>5190.5052999999998</v>
      </c>
      <c r="K786">
        <v>2212.3903</v>
      </c>
      <c r="L786">
        <v>3281.3177000000001</v>
      </c>
      <c r="M786">
        <v>2654.1599000000001</v>
      </c>
      <c r="N786">
        <v>4256.4165999999996</v>
      </c>
      <c r="O786">
        <v>3785.8353000000002</v>
      </c>
      <c r="P786">
        <v>336</v>
      </c>
      <c r="Q786" t="s">
        <v>1809</v>
      </c>
    </row>
    <row r="787" spans="1:17" x14ac:dyDescent="0.3">
      <c r="A787" t="s">
        <v>17</v>
      </c>
      <c r="B787" t="str">
        <f>"600896"</f>
        <v>600896</v>
      </c>
      <c r="C787" t="s">
        <v>1810</v>
      </c>
      <c r="D787" t="s">
        <v>1147</v>
      </c>
      <c r="F787">
        <v>22.997399999999999</v>
      </c>
      <c r="G787">
        <v>17.528500000000001</v>
      </c>
      <c r="H787">
        <v>4.5437000000000003</v>
      </c>
      <c r="I787">
        <v>7240.6100999999999</v>
      </c>
      <c r="J787">
        <v>111023.1531</v>
      </c>
      <c r="K787">
        <v>38.745699999999999</v>
      </c>
      <c r="L787">
        <v>45.2986</v>
      </c>
      <c r="M787">
        <v>41.954099999999997</v>
      </c>
      <c r="N787">
        <v>28.747399999999999</v>
      </c>
      <c r="O787">
        <v>22.290700000000001</v>
      </c>
      <c r="P787">
        <v>93</v>
      </c>
      <c r="Q787" t="s">
        <v>1811</v>
      </c>
    </row>
    <row r="788" spans="1:17" x14ac:dyDescent="0.3">
      <c r="A788" t="s">
        <v>17</v>
      </c>
      <c r="B788" t="str">
        <f>"600897"</f>
        <v>600897</v>
      </c>
      <c r="C788" t="s">
        <v>1812</v>
      </c>
      <c r="D788" t="s">
        <v>22</v>
      </c>
      <c r="F788">
        <v>0.27279999999999999</v>
      </c>
      <c r="G788">
        <v>0.33939999999999998</v>
      </c>
      <c r="H788">
        <v>0.1217</v>
      </c>
      <c r="I788">
        <v>7.7799999999999994E-2</v>
      </c>
      <c r="J788">
        <v>0.1578</v>
      </c>
      <c r="K788">
        <v>0.1399</v>
      </c>
      <c r="L788">
        <v>0.12909999999999999</v>
      </c>
      <c r="M788">
        <v>0.32929999999999998</v>
      </c>
      <c r="N788">
        <v>0.1532</v>
      </c>
      <c r="O788">
        <v>0.2833</v>
      </c>
      <c r="P788">
        <v>479</v>
      </c>
      <c r="Q788" t="s">
        <v>1813</v>
      </c>
    </row>
    <row r="789" spans="1:17" x14ac:dyDescent="0.3">
      <c r="A789" t="s">
        <v>17</v>
      </c>
      <c r="B789" t="str">
        <f>"600898"</f>
        <v>600898</v>
      </c>
      <c r="C789" t="s">
        <v>1814</v>
      </c>
      <c r="D789" t="s">
        <v>313</v>
      </c>
      <c r="F789">
        <v>75.624099999999999</v>
      </c>
      <c r="G789">
        <v>18.7288</v>
      </c>
      <c r="H789">
        <v>85.457300000000004</v>
      </c>
      <c r="I789">
        <v>97.365200000000002</v>
      </c>
      <c r="J789">
        <v>101.7052</v>
      </c>
      <c r="K789">
        <v>83.185100000000006</v>
      </c>
      <c r="L789">
        <v>66.424099999999996</v>
      </c>
      <c r="M789">
        <v>70.178799999999995</v>
      </c>
      <c r="N789">
        <v>66.211200000000005</v>
      </c>
      <c r="O789">
        <v>67.423199999999994</v>
      </c>
      <c r="P789">
        <v>57</v>
      </c>
      <c r="Q789" t="s">
        <v>1815</v>
      </c>
    </row>
    <row r="790" spans="1:17" x14ac:dyDescent="0.3">
      <c r="A790" t="s">
        <v>17</v>
      </c>
      <c r="B790" t="str">
        <f>"600900"</f>
        <v>600900</v>
      </c>
      <c r="C790" t="s">
        <v>1816</v>
      </c>
      <c r="D790" t="s">
        <v>66</v>
      </c>
      <c r="F790">
        <v>7.3944000000000001</v>
      </c>
      <c r="G790">
        <v>7.5019999999999998</v>
      </c>
      <c r="H790">
        <v>6.6643999999999997</v>
      </c>
      <c r="I790">
        <v>6.6452999999999998</v>
      </c>
      <c r="J790">
        <v>11.129</v>
      </c>
      <c r="K790">
        <v>11.8521</v>
      </c>
      <c r="L790">
        <v>22.058</v>
      </c>
      <c r="M790">
        <v>22.884499999999999</v>
      </c>
      <c r="N790">
        <v>22.549499999999998</v>
      </c>
      <c r="O790">
        <v>20.526299999999999</v>
      </c>
      <c r="P790">
        <v>5902</v>
      </c>
      <c r="Q790" t="s">
        <v>1817</v>
      </c>
    </row>
    <row r="791" spans="1:17" x14ac:dyDescent="0.3">
      <c r="A791" t="s">
        <v>17</v>
      </c>
      <c r="B791" t="str">
        <f>"600901"</f>
        <v>600901</v>
      </c>
      <c r="C791" t="s">
        <v>1818</v>
      </c>
      <c r="D791" t="s">
        <v>336</v>
      </c>
      <c r="H791">
        <v>0</v>
      </c>
      <c r="I791">
        <v>0</v>
      </c>
      <c r="P791">
        <v>475</v>
      </c>
      <c r="Q791" t="s">
        <v>1819</v>
      </c>
    </row>
    <row r="792" spans="1:17" x14ac:dyDescent="0.3">
      <c r="A792" t="s">
        <v>17</v>
      </c>
      <c r="B792" t="str">
        <f>"600903"</f>
        <v>600903</v>
      </c>
      <c r="C792" t="s">
        <v>1820</v>
      </c>
      <c r="D792" t="s">
        <v>749</v>
      </c>
      <c r="F792">
        <v>50.718899999999998</v>
      </c>
      <c r="G792">
        <v>79.247699999999995</v>
      </c>
      <c r="H792">
        <v>79.1053</v>
      </c>
      <c r="I792">
        <v>100.551</v>
      </c>
      <c r="J792">
        <v>124.2615</v>
      </c>
      <c r="K792">
        <v>58.750799999999998</v>
      </c>
      <c r="P792">
        <v>186</v>
      </c>
      <c r="Q792" t="s">
        <v>1821</v>
      </c>
    </row>
    <row r="793" spans="1:17" x14ac:dyDescent="0.3">
      <c r="A793" t="s">
        <v>17</v>
      </c>
      <c r="B793" t="str">
        <f>"600905"</f>
        <v>600905</v>
      </c>
      <c r="C793" t="s">
        <v>1822</v>
      </c>
      <c r="D793" t="s">
        <v>383</v>
      </c>
      <c r="F793">
        <v>7.1958000000000002</v>
      </c>
      <c r="G793">
        <v>7.2778</v>
      </c>
      <c r="P793">
        <v>657</v>
      </c>
      <c r="Q793" t="s">
        <v>1823</v>
      </c>
    </row>
    <row r="794" spans="1:17" x14ac:dyDescent="0.3">
      <c r="A794" t="s">
        <v>17</v>
      </c>
      <c r="B794" t="str">
        <f>"600906"</f>
        <v>600906</v>
      </c>
      <c r="C794" t="s">
        <v>1824</v>
      </c>
      <c r="D794" t="s">
        <v>80</v>
      </c>
      <c r="P794">
        <v>131</v>
      </c>
      <c r="Q794" t="s">
        <v>1825</v>
      </c>
    </row>
    <row r="795" spans="1:17" x14ac:dyDescent="0.3">
      <c r="A795" t="s">
        <v>17</v>
      </c>
      <c r="B795" t="str">
        <f>"600908"</f>
        <v>600908</v>
      </c>
      <c r="C795" t="s">
        <v>1826</v>
      </c>
      <c r="D795" t="s">
        <v>1827</v>
      </c>
      <c r="P795">
        <v>897</v>
      </c>
      <c r="Q795" t="s">
        <v>1828</v>
      </c>
    </row>
    <row r="796" spans="1:17" x14ac:dyDescent="0.3">
      <c r="A796" t="s">
        <v>17</v>
      </c>
      <c r="B796" t="str">
        <f>"600909"</f>
        <v>600909</v>
      </c>
      <c r="C796" t="s">
        <v>1829</v>
      </c>
      <c r="D796" t="s">
        <v>80</v>
      </c>
      <c r="P796">
        <v>832</v>
      </c>
      <c r="Q796" t="s">
        <v>1830</v>
      </c>
    </row>
    <row r="797" spans="1:17" x14ac:dyDescent="0.3">
      <c r="A797" t="s">
        <v>17</v>
      </c>
      <c r="B797" t="str">
        <f>"600916"</f>
        <v>600916</v>
      </c>
      <c r="C797" t="s">
        <v>1831</v>
      </c>
      <c r="D797" t="s">
        <v>1238</v>
      </c>
      <c r="F797">
        <v>44.5794</v>
      </c>
      <c r="G797">
        <v>69.341700000000003</v>
      </c>
      <c r="P797">
        <v>97</v>
      </c>
      <c r="Q797" t="s">
        <v>1832</v>
      </c>
    </row>
    <row r="798" spans="1:17" x14ac:dyDescent="0.3">
      <c r="A798" t="s">
        <v>17</v>
      </c>
      <c r="B798" t="str">
        <f>"600917"</f>
        <v>600917</v>
      </c>
      <c r="C798" t="s">
        <v>1833</v>
      </c>
      <c r="D798" t="s">
        <v>749</v>
      </c>
      <c r="F798">
        <v>6.8864999999999998</v>
      </c>
      <c r="G798">
        <v>7.7521000000000004</v>
      </c>
      <c r="H798">
        <v>7.0046999999999997</v>
      </c>
      <c r="I798">
        <v>7.7843999999999998</v>
      </c>
      <c r="J798">
        <v>8.4629999999999992</v>
      </c>
      <c r="K798">
        <v>10.976800000000001</v>
      </c>
      <c r="L798">
        <v>9.7278000000000002</v>
      </c>
      <c r="M798">
        <v>12.6149</v>
      </c>
      <c r="N798">
        <v>6.6584000000000003</v>
      </c>
      <c r="P798">
        <v>176</v>
      </c>
      <c r="Q798" t="s">
        <v>1834</v>
      </c>
    </row>
    <row r="799" spans="1:17" x14ac:dyDescent="0.3">
      <c r="A799" t="s">
        <v>17</v>
      </c>
      <c r="B799" t="str">
        <f>"600918"</f>
        <v>600918</v>
      </c>
      <c r="C799" t="s">
        <v>1835</v>
      </c>
      <c r="D799" t="s">
        <v>80</v>
      </c>
      <c r="P799">
        <v>568</v>
      </c>
      <c r="Q799" t="s">
        <v>1836</v>
      </c>
    </row>
    <row r="800" spans="1:17" x14ac:dyDescent="0.3">
      <c r="A800" t="s">
        <v>17</v>
      </c>
      <c r="B800" t="str">
        <f>"600919"</f>
        <v>600919</v>
      </c>
      <c r="C800" t="s">
        <v>1837</v>
      </c>
      <c r="D800" t="s">
        <v>1838</v>
      </c>
      <c r="P800">
        <v>1465</v>
      </c>
      <c r="Q800" t="s">
        <v>1839</v>
      </c>
    </row>
    <row r="801" spans="1:17" x14ac:dyDescent="0.3">
      <c r="A801" t="s">
        <v>17</v>
      </c>
      <c r="B801" t="str">
        <f>"600926"</f>
        <v>600926</v>
      </c>
      <c r="C801" t="s">
        <v>1840</v>
      </c>
      <c r="D801" t="s">
        <v>1838</v>
      </c>
      <c r="P801">
        <v>1141</v>
      </c>
      <c r="Q801" t="s">
        <v>1841</v>
      </c>
    </row>
    <row r="802" spans="1:17" x14ac:dyDescent="0.3">
      <c r="A802" t="s">
        <v>17</v>
      </c>
      <c r="B802" t="str">
        <f>"600927"</f>
        <v>600927</v>
      </c>
      <c r="C802" t="s">
        <v>1842</v>
      </c>
      <c r="D802" t="s">
        <v>1843</v>
      </c>
      <c r="P802">
        <v>22</v>
      </c>
      <c r="Q802" t="s">
        <v>1844</v>
      </c>
    </row>
    <row r="803" spans="1:17" x14ac:dyDescent="0.3">
      <c r="A803" t="s">
        <v>17</v>
      </c>
      <c r="B803" t="str">
        <f>"600928"</f>
        <v>600928</v>
      </c>
      <c r="C803" t="s">
        <v>1845</v>
      </c>
      <c r="D803" t="s">
        <v>1838</v>
      </c>
      <c r="P803">
        <v>409</v>
      </c>
      <c r="Q803" t="s">
        <v>1846</v>
      </c>
    </row>
    <row r="804" spans="1:17" x14ac:dyDescent="0.3">
      <c r="A804" t="s">
        <v>17</v>
      </c>
      <c r="B804" t="str">
        <f>"600929"</f>
        <v>600929</v>
      </c>
      <c r="C804" t="s">
        <v>1847</v>
      </c>
      <c r="D804" t="s">
        <v>736</v>
      </c>
      <c r="F804">
        <v>75.567400000000006</v>
      </c>
      <c r="G804">
        <v>101.72969999999999</v>
      </c>
      <c r="H804">
        <v>102.6237</v>
      </c>
      <c r="I804">
        <v>97.438599999999994</v>
      </c>
      <c r="P804">
        <v>133</v>
      </c>
      <c r="Q804" t="s">
        <v>1848</v>
      </c>
    </row>
    <row r="805" spans="1:17" x14ac:dyDescent="0.3">
      <c r="A805" t="s">
        <v>17</v>
      </c>
      <c r="B805" t="str">
        <f>"600933"</f>
        <v>600933</v>
      </c>
      <c r="C805" t="s">
        <v>1849</v>
      </c>
      <c r="D805" t="s">
        <v>348</v>
      </c>
      <c r="F805">
        <v>126.93940000000001</v>
      </c>
      <c r="G805">
        <v>134.1962</v>
      </c>
      <c r="H805">
        <v>128.3999</v>
      </c>
      <c r="I805">
        <v>115.29859999999999</v>
      </c>
      <c r="J805">
        <v>122.0573</v>
      </c>
      <c r="K805">
        <v>58.246299999999998</v>
      </c>
      <c r="P805">
        <v>176</v>
      </c>
      <c r="Q805" t="s">
        <v>1850</v>
      </c>
    </row>
    <row r="806" spans="1:17" x14ac:dyDescent="0.3">
      <c r="A806" t="s">
        <v>17</v>
      </c>
      <c r="B806" t="str">
        <f>"600935"</f>
        <v>600935</v>
      </c>
      <c r="C806" t="s">
        <v>1851</v>
      </c>
      <c r="D806" t="s">
        <v>175</v>
      </c>
      <c r="F806">
        <v>24.4481</v>
      </c>
      <c r="P806">
        <v>16</v>
      </c>
      <c r="Q806" t="s">
        <v>1852</v>
      </c>
    </row>
    <row r="807" spans="1:17" x14ac:dyDescent="0.3">
      <c r="A807" t="s">
        <v>17</v>
      </c>
      <c r="B807" t="str">
        <f>"600936"</f>
        <v>600936</v>
      </c>
      <c r="C807" t="s">
        <v>1853</v>
      </c>
      <c r="D807" t="s">
        <v>95</v>
      </c>
      <c r="F807">
        <v>143.9288</v>
      </c>
      <c r="G807">
        <v>136.76689999999999</v>
      </c>
      <c r="H807">
        <v>123.7133</v>
      </c>
      <c r="I807">
        <v>125.12309999999999</v>
      </c>
      <c r="J807">
        <v>138.02869999999999</v>
      </c>
      <c r="K807">
        <v>126.5637</v>
      </c>
      <c r="L807">
        <v>51.065300000000001</v>
      </c>
      <c r="P807">
        <v>80</v>
      </c>
      <c r="Q807" t="s">
        <v>1854</v>
      </c>
    </row>
    <row r="808" spans="1:17" x14ac:dyDescent="0.3">
      <c r="A808" t="s">
        <v>17</v>
      </c>
      <c r="B808" t="str">
        <f>"600939"</f>
        <v>600939</v>
      </c>
      <c r="C808" t="s">
        <v>1855</v>
      </c>
      <c r="D808" t="s">
        <v>398</v>
      </c>
      <c r="F808">
        <v>96.464100000000002</v>
      </c>
      <c r="G808">
        <v>180.68610000000001</v>
      </c>
      <c r="H808">
        <v>261.18</v>
      </c>
      <c r="I808">
        <v>278.7405</v>
      </c>
      <c r="J808">
        <v>279.8972</v>
      </c>
      <c r="K808">
        <v>235.0206</v>
      </c>
      <c r="L808">
        <v>91.697000000000003</v>
      </c>
      <c r="P808">
        <v>125</v>
      </c>
      <c r="Q808" t="s">
        <v>1856</v>
      </c>
    </row>
    <row r="809" spans="1:17" x14ac:dyDescent="0.3">
      <c r="A809" t="s">
        <v>17</v>
      </c>
      <c r="B809" t="str">
        <f>"600941"</f>
        <v>600941</v>
      </c>
      <c r="C809" t="s">
        <v>1857</v>
      </c>
      <c r="D809" t="s">
        <v>107</v>
      </c>
      <c r="F809">
        <v>8.5050000000000008</v>
      </c>
      <c r="P809">
        <v>114</v>
      </c>
      <c r="Q809" t="s">
        <v>1858</v>
      </c>
    </row>
    <row r="810" spans="1:17" x14ac:dyDescent="0.3">
      <c r="A810" t="s">
        <v>17</v>
      </c>
      <c r="B810" t="str">
        <f>"600955"</f>
        <v>600955</v>
      </c>
      <c r="C810" t="s">
        <v>1859</v>
      </c>
      <c r="D810" t="s">
        <v>1233</v>
      </c>
      <c r="F810">
        <v>25.4087</v>
      </c>
      <c r="P810">
        <v>46</v>
      </c>
      <c r="Q810" t="s">
        <v>1860</v>
      </c>
    </row>
    <row r="811" spans="1:17" x14ac:dyDescent="0.3">
      <c r="A811" t="s">
        <v>17</v>
      </c>
      <c r="B811" t="str">
        <f>"600956"</f>
        <v>600956</v>
      </c>
      <c r="C811" t="s">
        <v>1861</v>
      </c>
      <c r="D811" t="s">
        <v>383</v>
      </c>
      <c r="F811">
        <v>3.3119000000000001</v>
      </c>
      <c r="G811">
        <v>3.0817999999999999</v>
      </c>
      <c r="H811">
        <v>1.4303999999999999</v>
      </c>
      <c r="P811">
        <v>204</v>
      </c>
      <c r="Q811" t="s">
        <v>1862</v>
      </c>
    </row>
    <row r="812" spans="1:17" x14ac:dyDescent="0.3">
      <c r="A812" t="s">
        <v>17</v>
      </c>
      <c r="B812" t="str">
        <f>"600958"</f>
        <v>600958</v>
      </c>
      <c r="C812" t="s">
        <v>1863</v>
      </c>
      <c r="D812" t="s">
        <v>80</v>
      </c>
      <c r="P812">
        <v>1248</v>
      </c>
      <c r="Q812" t="s">
        <v>1864</v>
      </c>
    </row>
    <row r="813" spans="1:17" x14ac:dyDescent="0.3">
      <c r="A813" t="s">
        <v>17</v>
      </c>
      <c r="B813" t="str">
        <f>"600959"</f>
        <v>600959</v>
      </c>
      <c r="C813" t="s">
        <v>1865</v>
      </c>
      <c r="D813" t="s">
        <v>95</v>
      </c>
      <c r="F813">
        <v>100.3801</v>
      </c>
      <c r="G813">
        <v>81.932900000000004</v>
      </c>
      <c r="H813">
        <v>89.014300000000006</v>
      </c>
      <c r="I813">
        <v>91.480900000000005</v>
      </c>
      <c r="J813">
        <v>90.212699999999998</v>
      </c>
      <c r="K813">
        <v>51.789400000000001</v>
      </c>
      <c r="L813">
        <v>46.063400000000001</v>
      </c>
      <c r="M813">
        <v>21.819199999999999</v>
      </c>
      <c r="P813">
        <v>150</v>
      </c>
      <c r="Q813" t="s">
        <v>1866</v>
      </c>
    </row>
    <row r="814" spans="1:17" x14ac:dyDescent="0.3">
      <c r="A814" t="s">
        <v>17</v>
      </c>
      <c r="B814" t="str">
        <f>"600960"</f>
        <v>600960</v>
      </c>
      <c r="C814" t="s">
        <v>1867</v>
      </c>
      <c r="D814" t="s">
        <v>348</v>
      </c>
      <c r="F814">
        <v>112.9045</v>
      </c>
      <c r="G814">
        <v>118.2842</v>
      </c>
      <c r="H814">
        <v>110.2043</v>
      </c>
      <c r="I814">
        <v>129.11969999999999</v>
      </c>
      <c r="J814">
        <v>121.03740000000001</v>
      </c>
      <c r="K814">
        <v>193.77520000000001</v>
      </c>
      <c r="L814">
        <v>236.7903</v>
      </c>
      <c r="M814">
        <v>211.44929999999999</v>
      </c>
      <c r="N814">
        <v>180.42089999999999</v>
      </c>
      <c r="O814">
        <v>127.8</v>
      </c>
      <c r="P814">
        <v>91</v>
      </c>
      <c r="Q814" t="s">
        <v>1868</v>
      </c>
    </row>
    <row r="815" spans="1:17" x14ac:dyDescent="0.3">
      <c r="A815" t="s">
        <v>17</v>
      </c>
      <c r="B815" t="str">
        <f>"600961"</f>
        <v>600961</v>
      </c>
      <c r="C815" t="s">
        <v>1869</v>
      </c>
      <c r="D815" t="s">
        <v>744</v>
      </c>
      <c r="F815">
        <v>26.701899999999998</v>
      </c>
      <c r="G815">
        <v>29.483699999999999</v>
      </c>
      <c r="H815">
        <v>71.077299999999994</v>
      </c>
      <c r="I815">
        <v>68.869900000000001</v>
      </c>
      <c r="J815">
        <v>65.685000000000002</v>
      </c>
      <c r="K815">
        <v>60.253999999999998</v>
      </c>
      <c r="L815">
        <v>66.590199999999996</v>
      </c>
      <c r="M815">
        <v>63.5486</v>
      </c>
      <c r="N815">
        <v>62.445900000000002</v>
      </c>
      <c r="O815">
        <v>89.191199999999995</v>
      </c>
      <c r="P815">
        <v>127</v>
      </c>
      <c r="Q815" t="s">
        <v>1870</v>
      </c>
    </row>
    <row r="816" spans="1:17" x14ac:dyDescent="0.3">
      <c r="A816" t="s">
        <v>17</v>
      </c>
      <c r="B816" t="str">
        <f>"600962"</f>
        <v>600962</v>
      </c>
      <c r="C816" t="s">
        <v>1871</v>
      </c>
      <c r="D816" t="s">
        <v>574</v>
      </c>
      <c r="F816">
        <v>333.35140000000001</v>
      </c>
      <c r="G816">
        <v>356.23950000000002</v>
      </c>
      <c r="H816">
        <v>448.05799999999999</v>
      </c>
      <c r="I816">
        <v>354.89830000000001</v>
      </c>
      <c r="J816">
        <v>335.9726</v>
      </c>
      <c r="K816">
        <v>349.53379999999999</v>
      </c>
      <c r="L816">
        <v>516.7251</v>
      </c>
      <c r="M816">
        <v>604.95249999999999</v>
      </c>
      <c r="N816">
        <v>449.31700000000001</v>
      </c>
      <c r="O816">
        <v>362.49</v>
      </c>
      <c r="P816">
        <v>94</v>
      </c>
      <c r="Q816" t="s">
        <v>1872</v>
      </c>
    </row>
    <row r="817" spans="1:17" x14ac:dyDescent="0.3">
      <c r="A817" t="s">
        <v>17</v>
      </c>
      <c r="B817" t="str">
        <f>"600963"</f>
        <v>600963</v>
      </c>
      <c r="C817" t="s">
        <v>1873</v>
      </c>
      <c r="D817" t="s">
        <v>694</v>
      </c>
      <c r="F817">
        <v>410.74380000000002</v>
      </c>
      <c r="G817">
        <v>516.70450000000005</v>
      </c>
      <c r="H817">
        <v>530.85530000000006</v>
      </c>
      <c r="I817">
        <v>535.27909999999997</v>
      </c>
      <c r="J817">
        <v>583.30219999999997</v>
      </c>
      <c r="K817">
        <v>617.94209999999998</v>
      </c>
      <c r="L817">
        <v>488.17399999999998</v>
      </c>
      <c r="M817">
        <v>429.11779999999999</v>
      </c>
      <c r="N817">
        <v>381.80579999999998</v>
      </c>
      <c r="O817">
        <v>379.95080000000002</v>
      </c>
      <c r="P817">
        <v>201</v>
      </c>
      <c r="Q817" t="s">
        <v>1874</v>
      </c>
    </row>
    <row r="818" spans="1:17" x14ac:dyDescent="0.3">
      <c r="A818" t="s">
        <v>17</v>
      </c>
      <c r="B818" t="str">
        <f>"600965"</f>
        <v>600965</v>
      </c>
      <c r="C818" t="s">
        <v>1875</v>
      </c>
      <c r="D818" t="s">
        <v>1876</v>
      </c>
      <c r="F818">
        <v>309.15089999999998</v>
      </c>
      <c r="G818">
        <v>422.28870000000001</v>
      </c>
      <c r="H818">
        <v>351.21609999999998</v>
      </c>
      <c r="I818">
        <v>282.98169999999999</v>
      </c>
      <c r="J818">
        <v>330.21260000000001</v>
      </c>
      <c r="K818">
        <v>334.12</v>
      </c>
      <c r="L818">
        <v>247.7792</v>
      </c>
      <c r="M818">
        <v>188.6987</v>
      </c>
      <c r="N818">
        <v>179.22980000000001</v>
      </c>
      <c r="O818">
        <v>162.5703</v>
      </c>
      <c r="P818">
        <v>113</v>
      </c>
      <c r="Q818" t="s">
        <v>1877</v>
      </c>
    </row>
    <row r="819" spans="1:17" x14ac:dyDescent="0.3">
      <c r="A819" t="s">
        <v>17</v>
      </c>
      <c r="B819" t="str">
        <f>"600966"</f>
        <v>600966</v>
      </c>
      <c r="C819" t="s">
        <v>1878</v>
      </c>
      <c r="D819" t="s">
        <v>694</v>
      </c>
      <c r="F819">
        <v>92.322699999999998</v>
      </c>
      <c r="G819">
        <v>70.464399999999998</v>
      </c>
      <c r="H819">
        <v>99.706000000000003</v>
      </c>
      <c r="I819">
        <v>127.8267</v>
      </c>
      <c r="J819">
        <v>108.75190000000001</v>
      </c>
      <c r="K819">
        <v>117.0765</v>
      </c>
      <c r="L819">
        <v>133.63980000000001</v>
      </c>
      <c r="M819">
        <v>139.3409</v>
      </c>
      <c r="N819">
        <v>123.5329</v>
      </c>
      <c r="O819">
        <v>128.20349999999999</v>
      </c>
      <c r="P819">
        <v>396</v>
      </c>
      <c r="Q819" t="s">
        <v>1879</v>
      </c>
    </row>
    <row r="820" spans="1:17" x14ac:dyDescent="0.3">
      <c r="A820" t="s">
        <v>17</v>
      </c>
      <c r="B820" t="str">
        <f>"600967"</f>
        <v>600967</v>
      </c>
      <c r="C820" t="s">
        <v>1880</v>
      </c>
      <c r="D820" t="s">
        <v>428</v>
      </c>
      <c r="F820">
        <v>212.4153</v>
      </c>
      <c r="G820">
        <v>203.1842</v>
      </c>
      <c r="H820">
        <v>151.96430000000001</v>
      </c>
      <c r="I820">
        <v>139.3184</v>
      </c>
      <c r="J820">
        <v>62.459699999999998</v>
      </c>
      <c r="K820">
        <v>193.41249999999999</v>
      </c>
      <c r="L820">
        <v>225.7988</v>
      </c>
      <c r="M820">
        <v>87.585599999999999</v>
      </c>
      <c r="N820">
        <v>61.992899999999999</v>
      </c>
      <c r="O820">
        <v>66.800200000000004</v>
      </c>
      <c r="P820">
        <v>286</v>
      </c>
      <c r="Q820" t="s">
        <v>1881</v>
      </c>
    </row>
    <row r="821" spans="1:17" x14ac:dyDescent="0.3">
      <c r="A821" t="s">
        <v>17</v>
      </c>
      <c r="B821" t="str">
        <f>"600968"</f>
        <v>600968</v>
      </c>
      <c r="C821" t="s">
        <v>1882</v>
      </c>
      <c r="D821" t="s">
        <v>1758</v>
      </c>
      <c r="F821">
        <v>11.436500000000001</v>
      </c>
      <c r="G821">
        <v>13.5663</v>
      </c>
      <c r="H821">
        <v>12.8421</v>
      </c>
      <c r="P821">
        <v>189</v>
      </c>
      <c r="Q821" t="s">
        <v>1883</v>
      </c>
    </row>
    <row r="822" spans="1:17" x14ac:dyDescent="0.3">
      <c r="A822" t="s">
        <v>17</v>
      </c>
      <c r="B822" t="str">
        <f>"600969"</f>
        <v>600969</v>
      </c>
      <c r="C822" t="s">
        <v>1884</v>
      </c>
      <c r="D822" t="s">
        <v>239</v>
      </c>
      <c r="F822">
        <v>9.8955000000000002</v>
      </c>
      <c r="G822">
        <v>11.6889</v>
      </c>
      <c r="H822">
        <v>5.2332999999999998</v>
      </c>
      <c r="I822">
        <v>5.0080999999999998</v>
      </c>
      <c r="J822">
        <v>9.7794000000000008</v>
      </c>
      <c r="K822">
        <v>8.6879000000000008</v>
      </c>
      <c r="L822">
        <v>12.441000000000001</v>
      </c>
      <c r="M822">
        <v>8.3549000000000007</v>
      </c>
      <c r="N822">
        <v>7.8723000000000001</v>
      </c>
      <c r="O822">
        <v>7.2794999999999996</v>
      </c>
      <c r="P822">
        <v>77</v>
      </c>
      <c r="Q822" t="s">
        <v>1885</v>
      </c>
    </row>
    <row r="823" spans="1:17" x14ac:dyDescent="0.3">
      <c r="A823" t="s">
        <v>17</v>
      </c>
      <c r="B823" t="str">
        <f>"600970"</f>
        <v>600970</v>
      </c>
      <c r="C823" t="s">
        <v>1886</v>
      </c>
      <c r="D823" t="s">
        <v>1887</v>
      </c>
      <c r="F823">
        <v>41.624000000000002</v>
      </c>
      <c r="G823">
        <v>63.9116</v>
      </c>
      <c r="H823">
        <v>77.272499999999994</v>
      </c>
      <c r="I823">
        <v>119.9076</v>
      </c>
      <c r="J823">
        <v>137.86840000000001</v>
      </c>
      <c r="K823">
        <v>170.13759999999999</v>
      </c>
      <c r="L823">
        <v>145.7619</v>
      </c>
      <c r="M823">
        <v>128.7269</v>
      </c>
      <c r="N823">
        <v>147.8999</v>
      </c>
      <c r="O823">
        <v>107.9808</v>
      </c>
      <c r="P823">
        <v>853</v>
      </c>
      <c r="Q823" t="s">
        <v>1888</v>
      </c>
    </row>
    <row r="824" spans="1:17" x14ac:dyDescent="0.3">
      <c r="A824" t="s">
        <v>17</v>
      </c>
      <c r="B824" t="str">
        <f>"600971"</f>
        <v>600971</v>
      </c>
      <c r="C824" t="s">
        <v>1889</v>
      </c>
      <c r="D824" t="s">
        <v>292</v>
      </c>
      <c r="F824">
        <v>37.916899999999998</v>
      </c>
      <c r="G824">
        <v>56.2455</v>
      </c>
      <c r="H824">
        <v>38.486800000000002</v>
      </c>
      <c r="I824">
        <v>37.914499999999997</v>
      </c>
      <c r="J824">
        <v>27.987500000000001</v>
      </c>
      <c r="K824">
        <v>46.157699999999998</v>
      </c>
      <c r="L824">
        <v>33.078800000000001</v>
      </c>
      <c r="M824">
        <v>21.202200000000001</v>
      </c>
      <c r="N824">
        <v>19.616900000000001</v>
      </c>
      <c r="O824">
        <v>21.1539</v>
      </c>
      <c r="P824">
        <v>1522</v>
      </c>
      <c r="Q824" t="s">
        <v>1890</v>
      </c>
    </row>
    <row r="825" spans="1:17" x14ac:dyDescent="0.3">
      <c r="A825" t="s">
        <v>17</v>
      </c>
      <c r="B825" t="str">
        <f>"600973"</f>
        <v>600973</v>
      </c>
      <c r="C825" t="s">
        <v>1891</v>
      </c>
      <c r="D825" t="s">
        <v>1164</v>
      </c>
      <c r="F825">
        <v>35.166699999999999</v>
      </c>
      <c r="G825">
        <v>30.846599999999999</v>
      </c>
      <c r="H825">
        <v>32.158000000000001</v>
      </c>
      <c r="I825">
        <v>33.357399999999998</v>
      </c>
      <c r="J825">
        <v>40.985799999999998</v>
      </c>
      <c r="K825">
        <v>31.5425</v>
      </c>
      <c r="L825">
        <v>47.115499999999997</v>
      </c>
      <c r="M825">
        <v>52.796399999999998</v>
      </c>
      <c r="N825">
        <v>48.0854</v>
      </c>
      <c r="O825">
        <v>37.720199999999998</v>
      </c>
      <c r="P825">
        <v>116</v>
      </c>
      <c r="Q825" t="s">
        <v>1892</v>
      </c>
    </row>
    <row r="826" spans="1:17" x14ac:dyDescent="0.3">
      <c r="A826" t="s">
        <v>17</v>
      </c>
      <c r="B826" t="str">
        <f>"600975"</f>
        <v>600975</v>
      </c>
      <c r="C826" t="s">
        <v>1893</v>
      </c>
      <c r="D826" t="s">
        <v>1894</v>
      </c>
      <c r="F826">
        <v>208.36250000000001</v>
      </c>
      <c r="G826">
        <v>139.44499999999999</v>
      </c>
      <c r="H826">
        <v>126.3716</v>
      </c>
      <c r="I826">
        <v>128.61019999999999</v>
      </c>
      <c r="J826">
        <v>125.913</v>
      </c>
      <c r="K826">
        <v>159.27459999999999</v>
      </c>
      <c r="L826">
        <v>137.3194</v>
      </c>
      <c r="M826">
        <v>152.3784</v>
      </c>
      <c r="N826">
        <v>162.0505</v>
      </c>
      <c r="O826">
        <v>130.7097</v>
      </c>
      <c r="P826">
        <v>305</v>
      </c>
      <c r="Q826" t="s">
        <v>1895</v>
      </c>
    </row>
    <row r="827" spans="1:17" x14ac:dyDescent="0.3">
      <c r="A827" t="s">
        <v>17</v>
      </c>
      <c r="B827" t="str">
        <f>"600976"</f>
        <v>600976</v>
      </c>
      <c r="C827" t="s">
        <v>1896</v>
      </c>
      <c r="D827" t="s">
        <v>188</v>
      </c>
      <c r="F827">
        <v>42.223100000000002</v>
      </c>
      <c r="G827">
        <v>47.844099999999997</v>
      </c>
      <c r="H827">
        <v>43.394799999999996</v>
      </c>
      <c r="I827">
        <v>76.177599999999998</v>
      </c>
      <c r="J827">
        <v>45.305100000000003</v>
      </c>
      <c r="K827">
        <v>48.5124</v>
      </c>
      <c r="L827">
        <v>46.1126</v>
      </c>
      <c r="M827">
        <v>42.742400000000004</v>
      </c>
      <c r="N827">
        <v>37.160200000000003</v>
      </c>
      <c r="O827">
        <v>48.875999999999998</v>
      </c>
      <c r="P827">
        <v>249</v>
      </c>
      <c r="Q827" t="s">
        <v>1897</v>
      </c>
    </row>
    <row r="828" spans="1:17" x14ac:dyDescent="0.3">
      <c r="A828" t="s">
        <v>17</v>
      </c>
      <c r="B828" t="str">
        <f>"600977"</f>
        <v>600977</v>
      </c>
      <c r="C828" t="s">
        <v>1898</v>
      </c>
      <c r="D828" t="s">
        <v>113</v>
      </c>
      <c r="F828">
        <v>227.3004</v>
      </c>
      <c r="G828">
        <v>444.01089999999999</v>
      </c>
      <c r="H828">
        <v>125.2116</v>
      </c>
      <c r="I828">
        <v>101.27630000000001</v>
      </c>
      <c r="J828">
        <v>86.162400000000005</v>
      </c>
      <c r="K828">
        <v>83.5578</v>
      </c>
      <c r="L828">
        <v>38.036999999999999</v>
      </c>
      <c r="P828">
        <v>554</v>
      </c>
      <c r="Q828" t="s">
        <v>1899</v>
      </c>
    </row>
    <row r="829" spans="1:17" x14ac:dyDescent="0.3">
      <c r="A829" t="s">
        <v>17</v>
      </c>
      <c r="B829" t="str">
        <f>"600978"</f>
        <v>600978</v>
      </c>
      <c r="C829" t="s">
        <v>1900</v>
      </c>
      <c r="G829">
        <v>1435.4898000000001</v>
      </c>
      <c r="H829">
        <v>500.67419999999998</v>
      </c>
      <c r="I829">
        <v>266.18560000000002</v>
      </c>
      <c r="J829">
        <v>277.5403</v>
      </c>
      <c r="K829">
        <v>366.95350000000002</v>
      </c>
      <c r="L829">
        <v>365.74740000000003</v>
      </c>
      <c r="M829">
        <v>257.93389999999999</v>
      </c>
      <c r="N829">
        <v>242.24270000000001</v>
      </c>
      <c r="O829">
        <v>263.4083</v>
      </c>
      <c r="P829">
        <v>167</v>
      </c>
      <c r="Q829" t="s">
        <v>1901</v>
      </c>
    </row>
    <row r="830" spans="1:17" x14ac:dyDescent="0.3">
      <c r="A830" t="s">
        <v>17</v>
      </c>
      <c r="B830" t="str">
        <f>"600979"</f>
        <v>600979</v>
      </c>
      <c r="C830" t="s">
        <v>1902</v>
      </c>
      <c r="D830" t="s">
        <v>239</v>
      </c>
      <c r="F830">
        <v>57.927300000000002</v>
      </c>
      <c r="G830">
        <v>68.051400000000001</v>
      </c>
      <c r="H830">
        <v>62.615299999999998</v>
      </c>
      <c r="I830">
        <v>66.034199999999998</v>
      </c>
      <c r="J830">
        <v>56.248800000000003</v>
      </c>
      <c r="K830">
        <v>61.247900000000001</v>
      </c>
      <c r="L830">
        <v>63.703200000000002</v>
      </c>
      <c r="M830">
        <v>50.396900000000002</v>
      </c>
      <c r="N830">
        <v>40.730800000000002</v>
      </c>
      <c r="O830">
        <v>23.938199999999998</v>
      </c>
      <c r="P830">
        <v>117</v>
      </c>
      <c r="Q830" t="s">
        <v>1903</v>
      </c>
    </row>
    <row r="831" spans="1:17" x14ac:dyDescent="0.3">
      <c r="A831" t="s">
        <v>17</v>
      </c>
      <c r="B831" t="str">
        <f>"600980"</f>
        <v>600980</v>
      </c>
      <c r="C831" t="s">
        <v>1904</v>
      </c>
      <c r="D831" t="s">
        <v>808</v>
      </c>
      <c r="F831">
        <v>224.26519999999999</v>
      </c>
      <c r="G831">
        <v>208.6557</v>
      </c>
      <c r="H831">
        <v>201.56780000000001</v>
      </c>
      <c r="I831">
        <v>196.91050000000001</v>
      </c>
      <c r="J831">
        <v>142.55629999999999</v>
      </c>
      <c r="K831">
        <v>239.21600000000001</v>
      </c>
      <c r="L831">
        <v>105.5851</v>
      </c>
      <c r="M831">
        <v>119.08920000000001</v>
      </c>
      <c r="N831">
        <v>173.8237</v>
      </c>
      <c r="O831">
        <v>149.67269999999999</v>
      </c>
      <c r="P831">
        <v>97</v>
      </c>
      <c r="Q831" t="s">
        <v>1905</v>
      </c>
    </row>
    <row r="832" spans="1:17" x14ac:dyDescent="0.3">
      <c r="A832" t="s">
        <v>17</v>
      </c>
      <c r="B832" t="str">
        <f>"600981"</f>
        <v>600981</v>
      </c>
      <c r="C832" t="s">
        <v>1906</v>
      </c>
      <c r="D832" t="s">
        <v>131</v>
      </c>
      <c r="F832">
        <v>33.2224</v>
      </c>
      <c r="G832">
        <v>49.833199999999998</v>
      </c>
      <c r="H832">
        <v>50.749699999999997</v>
      </c>
      <c r="I832">
        <v>51.739800000000002</v>
      </c>
      <c r="J832">
        <v>62.4679</v>
      </c>
      <c r="K832">
        <v>82.865600000000001</v>
      </c>
      <c r="L832">
        <v>46.709699999999998</v>
      </c>
      <c r="M832">
        <v>82.548900000000003</v>
      </c>
      <c r="N832">
        <v>106.03959999999999</v>
      </c>
      <c r="O832">
        <v>92.223500000000001</v>
      </c>
      <c r="P832">
        <v>99</v>
      </c>
      <c r="Q832" t="s">
        <v>1907</v>
      </c>
    </row>
    <row r="833" spans="1:17" x14ac:dyDescent="0.3">
      <c r="A833" t="s">
        <v>17</v>
      </c>
      <c r="B833" t="str">
        <f>"600982"</f>
        <v>600982</v>
      </c>
      <c r="C833" t="s">
        <v>1908</v>
      </c>
      <c r="D833" t="s">
        <v>351</v>
      </c>
      <c r="F833">
        <v>13.992599999999999</v>
      </c>
      <c r="G833">
        <v>17.695599999999999</v>
      </c>
      <c r="H833">
        <v>21.647400000000001</v>
      </c>
      <c r="I833">
        <v>70.042199999999994</v>
      </c>
      <c r="J833">
        <v>71.308300000000003</v>
      </c>
      <c r="K833">
        <v>83.491699999999994</v>
      </c>
      <c r="L833">
        <v>29.4373</v>
      </c>
      <c r="M833">
        <v>43.503599999999999</v>
      </c>
      <c r="N833">
        <v>52.761499999999998</v>
      </c>
      <c r="O833">
        <v>46.6203</v>
      </c>
      <c r="P833">
        <v>135</v>
      </c>
      <c r="Q833" t="s">
        <v>1909</v>
      </c>
    </row>
    <row r="834" spans="1:17" x14ac:dyDescent="0.3">
      <c r="A834" t="s">
        <v>17</v>
      </c>
      <c r="B834" t="str">
        <f>"600983"</f>
        <v>600983</v>
      </c>
      <c r="C834" t="s">
        <v>1910</v>
      </c>
      <c r="D834" t="s">
        <v>754</v>
      </c>
      <c r="F834">
        <v>62.993200000000002</v>
      </c>
      <c r="G834">
        <v>90.086399999999998</v>
      </c>
      <c r="H834">
        <v>77.139700000000005</v>
      </c>
      <c r="I834">
        <v>76.594300000000004</v>
      </c>
      <c r="J834">
        <v>84.626999999999995</v>
      </c>
      <c r="K834">
        <v>117.52800000000001</v>
      </c>
      <c r="L834">
        <v>110.458</v>
      </c>
      <c r="M834">
        <v>121.8282</v>
      </c>
      <c r="N834">
        <v>107.29300000000001</v>
      </c>
      <c r="O834">
        <v>116.5154</v>
      </c>
      <c r="P834">
        <v>128</v>
      </c>
      <c r="Q834" t="s">
        <v>1911</v>
      </c>
    </row>
    <row r="835" spans="1:17" x14ac:dyDescent="0.3">
      <c r="A835" t="s">
        <v>17</v>
      </c>
      <c r="B835" t="str">
        <f>"600984"</f>
        <v>600984</v>
      </c>
      <c r="C835" t="s">
        <v>1912</v>
      </c>
      <c r="D835" t="s">
        <v>83</v>
      </c>
      <c r="F835">
        <v>63.389499999999998</v>
      </c>
      <c r="G835">
        <v>88.483599999999996</v>
      </c>
      <c r="H835">
        <v>99.361500000000007</v>
      </c>
      <c r="I835">
        <v>104.23860000000001</v>
      </c>
      <c r="J835">
        <v>117.2393</v>
      </c>
      <c r="K835">
        <v>158.03970000000001</v>
      </c>
      <c r="L835">
        <v>392.7654</v>
      </c>
      <c r="M835">
        <v>468.27969999999999</v>
      </c>
      <c r="N835">
        <v>307.84640000000002</v>
      </c>
      <c r="O835">
        <v>200.20089999999999</v>
      </c>
      <c r="P835">
        <v>279</v>
      </c>
      <c r="Q835" t="s">
        <v>1913</v>
      </c>
    </row>
    <row r="836" spans="1:17" x14ac:dyDescent="0.3">
      <c r="A836" t="s">
        <v>17</v>
      </c>
      <c r="B836" t="str">
        <f>"600985"</f>
        <v>600985</v>
      </c>
      <c r="C836" t="s">
        <v>1914</v>
      </c>
      <c r="D836" t="s">
        <v>298</v>
      </c>
      <c r="F836">
        <v>17.3127</v>
      </c>
      <c r="G836">
        <v>19.377300000000002</v>
      </c>
      <c r="H836">
        <v>14.6379</v>
      </c>
      <c r="I836">
        <v>7.0975999999999999</v>
      </c>
      <c r="J836">
        <v>56.6357</v>
      </c>
      <c r="K836">
        <v>64.352699999999999</v>
      </c>
      <c r="L836">
        <v>52.372100000000003</v>
      </c>
      <c r="M836">
        <v>68.329099999999997</v>
      </c>
      <c r="N836">
        <v>61.8752</v>
      </c>
      <c r="O836">
        <v>70.793999999999997</v>
      </c>
      <c r="P836">
        <v>1007</v>
      </c>
      <c r="Q836" t="s">
        <v>1915</v>
      </c>
    </row>
    <row r="837" spans="1:17" x14ac:dyDescent="0.3">
      <c r="A837" t="s">
        <v>17</v>
      </c>
      <c r="B837" t="str">
        <f>"600986"</f>
        <v>600986</v>
      </c>
      <c r="C837" t="s">
        <v>1916</v>
      </c>
      <c r="D837" t="s">
        <v>207</v>
      </c>
      <c r="F837">
        <v>10.047000000000001</v>
      </c>
      <c r="G837">
        <v>34.329900000000002</v>
      </c>
      <c r="H837">
        <v>17.887699999999999</v>
      </c>
      <c r="I837">
        <v>36.148699999999998</v>
      </c>
      <c r="J837">
        <v>86.748000000000005</v>
      </c>
      <c r="K837">
        <v>193.8535</v>
      </c>
      <c r="L837">
        <v>979.39769999999999</v>
      </c>
      <c r="M837">
        <v>1325.3822</v>
      </c>
      <c r="N837">
        <v>877.05909999999994</v>
      </c>
      <c r="O837">
        <v>332.34129999999999</v>
      </c>
      <c r="P837">
        <v>239</v>
      </c>
      <c r="Q837" t="s">
        <v>1917</v>
      </c>
    </row>
    <row r="838" spans="1:17" x14ac:dyDescent="0.3">
      <c r="A838" t="s">
        <v>17</v>
      </c>
      <c r="B838" t="str">
        <f>"600987"</f>
        <v>600987</v>
      </c>
      <c r="C838" t="s">
        <v>1918</v>
      </c>
      <c r="D838" t="s">
        <v>817</v>
      </c>
      <c r="F838">
        <v>80.866900000000001</v>
      </c>
      <c r="G838">
        <v>156.61799999999999</v>
      </c>
      <c r="H838">
        <v>111.9324</v>
      </c>
      <c r="I838">
        <v>39.053199999999997</v>
      </c>
      <c r="J838">
        <v>37.616500000000002</v>
      </c>
      <c r="K838">
        <v>34.893599999999999</v>
      </c>
      <c r="L838">
        <v>36.792499999999997</v>
      </c>
      <c r="M838">
        <v>26.534400000000002</v>
      </c>
      <c r="N838">
        <v>28.921500000000002</v>
      </c>
      <c r="O838">
        <v>36.504100000000001</v>
      </c>
      <c r="P838">
        <v>4846</v>
      </c>
      <c r="Q838" t="s">
        <v>1919</v>
      </c>
    </row>
    <row r="839" spans="1:17" x14ac:dyDescent="0.3">
      <c r="A839" t="s">
        <v>17</v>
      </c>
      <c r="B839" t="str">
        <f>"600988"</f>
        <v>600988</v>
      </c>
      <c r="C839" t="s">
        <v>1920</v>
      </c>
      <c r="D839" t="s">
        <v>701</v>
      </c>
      <c r="F839">
        <v>196.23769999999999</v>
      </c>
      <c r="G839">
        <v>216.9049</v>
      </c>
      <c r="H839">
        <v>235.36539999999999</v>
      </c>
      <c r="I839">
        <v>442.0967</v>
      </c>
      <c r="J839">
        <v>277.19040000000001</v>
      </c>
      <c r="K839">
        <v>303.73320000000001</v>
      </c>
      <c r="L839">
        <v>185.14420000000001</v>
      </c>
      <c r="M839">
        <v>370.15629999999999</v>
      </c>
      <c r="N839">
        <v>137.7116</v>
      </c>
      <c r="O839">
        <v>116.7281</v>
      </c>
      <c r="P839">
        <v>487</v>
      </c>
      <c r="Q839" t="s">
        <v>1921</v>
      </c>
    </row>
    <row r="840" spans="1:17" x14ac:dyDescent="0.3">
      <c r="A840" t="s">
        <v>17</v>
      </c>
      <c r="B840" t="str">
        <f>"600989"</f>
        <v>600989</v>
      </c>
      <c r="C840" t="s">
        <v>1922</v>
      </c>
      <c r="D840" t="s">
        <v>914</v>
      </c>
      <c r="F840">
        <v>46.923200000000001</v>
      </c>
      <c r="G840">
        <v>39.475200000000001</v>
      </c>
      <c r="H840">
        <v>41.235999999999997</v>
      </c>
      <c r="I840">
        <v>35.684699999999999</v>
      </c>
      <c r="J840">
        <v>30.372499999999999</v>
      </c>
      <c r="P840">
        <v>769</v>
      </c>
      <c r="Q840" t="s">
        <v>1923</v>
      </c>
    </row>
    <row r="841" spans="1:17" x14ac:dyDescent="0.3">
      <c r="A841" t="s">
        <v>17</v>
      </c>
      <c r="B841" t="str">
        <f>"600990"</f>
        <v>600990</v>
      </c>
      <c r="C841" t="s">
        <v>1924</v>
      </c>
      <c r="D841" t="s">
        <v>1136</v>
      </c>
      <c r="F841">
        <v>595.3673</v>
      </c>
      <c r="G841">
        <v>664.38670000000002</v>
      </c>
      <c r="H841">
        <v>434.56330000000003</v>
      </c>
      <c r="I841">
        <v>251.42529999999999</v>
      </c>
      <c r="J841">
        <v>190.83609999999999</v>
      </c>
      <c r="K841">
        <v>142.79660000000001</v>
      </c>
      <c r="L841">
        <v>161.8015</v>
      </c>
      <c r="M841">
        <v>180.87739999999999</v>
      </c>
      <c r="N841">
        <v>202.0318</v>
      </c>
      <c r="O841">
        <v>259.101</v>
      </c>
      <c r="P841">
        <v>166</v>
      </c>
      <c r="Q841" t="s">
        <v>1925</v>
      </c>
    </row>
    <row r="842" spans="1:17" x14ac:dyDescent="0.3">
      <c r="A842" t="s">
        <v>17</v>
      </c>
      <c r="B842" t="str">
        <f>"600992"</f>
        <v>600992</v>
      </c>
      <c r="C842" t="s">
        <v>1926</v>
      </c>
      <c r="D842" t="s">
        <v>274</v>
      </c>
      <c r="F842">
        <v>86.843800000000002</v>
      </c>
      <c r="G842">
        <v>96.5137</v>
      </c>
      <c r="H842">
        <v>88.6738</v>
      </c>
      <c r="I842">
        <v>109.8137</v>
      </c>
      <c r="J842">
        <v>129.75239999999999</v>
      </c>
      <c r="K842">
        <v>159.54929999999999</v>
      </c>
      <c r="L842">
        <v>153.74100000000001</v>
      </c>
      <c r="M842">
        <v>133.20259999999999</v>
      </c>
      <c r="N842">
        <v>124.1606</v>
      </c>
      <c r="O842">
        <v>148.79730000000001</v>
      </c>
      <c r="P842">
        <v>57</v>
      </c>
      <c r="Q842" t="s">
        <v>1927</v>
      </c>
    </row>
    <row r="843" spans="1:17" x14ac:dyDescent="0.3">
      <c r="A843" t="s">
        <v>17</v>
      </c>
      <c r="B843" t="str">
        <f>"600993"</f>
        <v>600993</v>
      </c>
      <c r="C843" t="s">
        <v>1928</v>
      </c>
      <c r="D843" t="s">
        <v>188</v>
      </c>
      <c r="F843">
        <v>66.691999999999993</v>
      </c>
      <c r="G843">
        <v>116.61360000000001</v>
      </c>
      <c r="H843">
        <v>91.389499999999998</v>
      </c>
      <c r="I843">
        <v>87.781099999999995</v>
      </c>
      <c r="J843">
        <v>138.5591</v>
      </c>
      <c r="K843">
        <v>90.464799999999997</v>
      </c>
      <c r="L843">
        <v>111.1401</v>
      </c>
      <c r="M843">
        <v>111.7325</v>
      </c>
      <c r="N843">
        <v>99.784999999999997</v>
      </c>
      <c r="O843">
        <v>100.2878</v>
      </c>
      <c r="P843">
        <v>942</v>
      </c>
      <c r="Q843" t="s">
        <v>1929</v>
      </c>
    </row>
    <row r="844" spans="1:17" x14ac:dyDescent="0.3">
      <c r="A844" t="s">
        <v>17</v>
      </c>
      <c r="B844" t="str">
        <f>"600995"</f>
        <v>600995</v>
      </c>
      <c r="C844" t="s">
        <v>1930</v>
      </c>
      <c r="D844" t="s">
        <v>239</v>
      </c>
      <c r="F844">
        <v>4.4599000000000002</v>
      </c>
      <c r="G844">
        <v>4.0396999999999998</v>
      </c>
      <c r="H844">
        <v>5.1494999999999997</v>
      </c>
      <c r="I844">
        <v>5.3715999999999999</v>
      </c>
      <c r="J844">
        <v>3.6646999999999998</v>
      </c>
      <c r="K844">
        <v>3.5733999999999999</v>
      </c>
      <c r="L844">
        <v>2.5762999999999998</v>
      </c>
      <c r="M844">
        <v>0.93279999999999996</v>
      </c>
      <c r="N844">
        <v>0.89139999999999997</v>
      </c>
      <c r="O844">
        <v>1.2168000000000001</v>
      </c>
      <c r="P844">
        <v>267</v>
      </c>
      <c r="Q844" t="s">
        <v>1931</v>
      </c>
    </row>
    <row r="845" spans="1:17" x14ac:dyDescent="0.3">
      <c r="A845" t="s">
        <v>17</v>
      </c>
      <c r="B845" t="str">
        <f>"600996"</f>
        <v>600996</v>
      </c>
      <c r="C845" t="s">
        <v>1932</v>
      </c>
      <c r="D845" t="s">
        <v>95</v>
      </c>
      <c r="F845">
        <v>43.1952</v>
      </c>
      <c r="G845">
        <v>29.541</v>
      </c>
      <c r="H845">
        <v>57.072000000000003</v>
      </c>
      <c r="I845">
        <v>46.102899999999998</v>
      </c>
      <c r="J845">
        <v>49.078800000000001</v>
      </c>
      <c r="K845">
        <v>23.5838</v>
      </c>
      <c r="P845">
        <v>244</v>
      </c>
      <c r="Q845" t="s">
        <v>1933</v>
      </c>
    </row>
    <row r="846" spans="1:17" x14ac:dyDescent="0.3">
      <c r="A846" t="s">
        <v>17</v>
      </c>
      <c r="B846" t="str">
        <f>"600997"</f>
        <v>600997</v>
      </c>
      <c r="C846" t="s">
        <v>1934</v>
      </c>
      <c r="D846" t="s">
        <v>885</v>
      </c>
      <c r="F846">
        <v>31.585599999999999</v>
      </c>
      <c r="G846">
        <v>31.529</v>
      </c>
      <c r="H846">
        <v>32.822099999999999</v>
      </c>
      <c r="I846">
        <v>27.752400000000002</v>
      </c>
      <c r="J846">
        <v>45.911799999999999</v>
      </c>
      <c r="K846">
        <v>68.794700000000006</v>
      </c>
      <c r="L846">
        <v>46.970300000000002</v>
      </c>
      <c r="M846">
        <v>47.873699999999999</v>
      </c>
      <c r="N846">
        <v>45.209499999999998</v>
      </c>
      <c r="O846">
        <v>49.673099999999998</v>
      </c>
      <c r="P846">
        <v>729</v>
      </c>
      <c r="Q846" t="s">
        <v>1935</v>
      </c>
    </row>
    <row r="847" spans="1:17" x14ac:dyDescent="0.3">
      <c r="A847" t="s">
        <v>17</v>
      </c>
      <c r="B847" t="str">
        <f>"600998"</f>
        <v>600998</v>
      </c>
      <c r="C847" t="s">
        <v>1936</v>
      </c>
      <c r="D847" t="s">
        <v>125</v>
      </c>
      <c r="F847">
        <v>60.7059</v>
      </c>
      <c r="G847">
        <v>68.368899999999996</v>
      </c>
      <c r="H847">
        <v>72.727599999999995</v>
      </c>
      <c r="I847">
        <v>77.703699999999998</v>
      </c>
      <c r="J847">
        <v>75.085800000000006</v>
      </c>
      <c r="K847">
        <v>68.546400000000006</v>
      </c>
      <c r="L847">
        <v>69.1845</v>
      </c>
      <c r="M847">
        <v>61.781500000000001</v>
      </c>
      <c r="N847">
        <v>61.658999999999999</v>
      </c>
      <c r="O847">
        <v>61.4863</v>
      </c>
      <c r="P847">
        <v>612</v>
      </c>
      <c r="Q847" t="s">
        <v>1937</v>
      </c>
    </row>
    <row r="848" spans="1:17" x14ac:dyDescent="0.3">
      <c r="A848" t="s">
        <v>17</v>
      </c>
      <c r="B848" t="str">
        <f>"600999"</f>
        <v>600999</v>
      </c>
      <c r="C848" t="s">
        <v>1938</v>
      </c>
      <c r="D848" t="s">
        <v>80</v>
      </c>
      <c r="P848">
        <v>2820</v>
      </c>
      <c r="Q848" t="s">
        <v>1939</v>
      </c>
    </row>
    <row r="849" spans="1:17" x14ac:dyDescent="0.3">
      <c r="A849" t="s">
        <v>17</v>
      </c>
      <c r="B849" t="str">
        <f>"601000"</f>
        <v>601000</v>
      </c>
      <c r="C849" t="s">
        <v>1940</v>
      </c>
      <c r="D849" t="s">
        <v>51</v>
      </c>
      <c r="F849">
        <v>21.7607</v>
      </c>
      <c r="G849">
        <v>49.047699999999999</v>
      </c>
      <c r="H849">
        <v>21.021100000000001</v>
      </c>
      <c r="I849">
        <v>21.7011</v>
      </c>
      <c r="J849">
        <v>33.678400000000003</v>
      </c>
      <c r="K849">
        <v>38.815100000000001</v>
      </c>
      <c r="L849">
        <v>62.773000000000003</v>
      </c>
      <c r="M849">
        <v>44.267400000000002</v>
      </c>
      <c r="N849">
        <v>34.290700000000001</v>
      </c>
      <c r="O849">
        <v>15.6433</v>
      </c>
      <c r="P849">
        <v>892</v>
      </c>
      <c r="Q849" t="s">
        <v>1941</v>
      </c>
    </row>
    <row r="850" spans="1:17" x14ac:dyDescent="0.3">
      <c r="A850" t="s">
        <v>17</v>
      </c>
      <c r="B850" t="str">
        <f>"601001"</f>
        <v>601001</v>
      </c>
      <c r="C850" t="s">
        <v>1942</v>
      </c>
      <c r="D850" t="s">
        <v>292</v>
      </c>
      <c r="F850">
        <v>31.7515</v>
      </c>
      <c r="G850">
        <v>47.6449</v>
      </c>
      <c r="H850">
        <v>33.185699999999997</v>
      </c>
      <c r="I850">
        <v>31.629799999999999</v>
      </c>
      <c r="J850">
        <v>36.027200000000001</v>
      </c>
      <c r="K850">
        <v>58.9893</v>
      </c>
      <c r="L850">
        <v>56.748699999999999</v>
      </c>
      <c r="M850">
        <v>48.447800000000001</v>
      </c>
      <c r="N850">
        <v>34.202599999999997</v>
      </c>
      <c r="O850">
        <v>8.4436999999999998</v>
      </c>
      <c r="P850">
        <v>289</v>
      </c>
      <c r="Q850" t="s">
        <v>1943</v>
      </c>
    </row>
    <row r="851" spans="1:17" x14ac:dyDescent="0.3">
      <c r="A851" t="s">
        <v>17</v>
      </c>
      <c r="B851" t="str">
        <f>"601002"</f>
        <v>601002</v>
      </c>
      <c r="C851" t="s">
        <v>1944</v>
      </c>
      <c r="D851" t="s">
        <v>274</v>
      </c>
      <c r="F851">
        <v>329.46350000000001</v>
      </c>
      <c r="G851">
        <v>398.96089999999998</v>
      </c>
      <c r="H851">
        <v>342.92770000000002</v>
      </c>
      <c r="I851">
        <v>320.75029999999998</v>
      </c>
      <c r="J851">
        <v>347.41480000000001</v>
      </c>
      <c r="K851">
        <v>381.93220000000002</v>
      </c>
      <c r="L851">
        <v>370.38749999999999</v>
      </c>
      <c r="M851">
        <v>294.40890000000002</v>
      </c>
      <c r="N851">
        <v>322.7124</v>
      </c>
      <c r="O851">
        <v>303.20170000000002</v>
      </c>
      <c r="P851">
        <v>146</v>
      </c>
      <c r="Q851" t="s">
        <v>1945</v>
      </c>
    </row>
    <row r="852" spans="1:17" x14ac:dyDescent="0.3">
      <c r="A852" t="s">
        <v>17</v>
      </c>
      <c r="B852" t="str">
        <f>"601003"</f>
        <v>601003</v>
      </c>
      <c r="C852" t="s">
        <v>1946</v>
      </c>
      <c r="D852" t="s">
        <v>38</v>
      </c>
      <c r="F852">
        <v>79.197400000000002</v>
      </c>
      <c r="G852">
        <v>71.504400000000004</v>
      </c>
      <c r="H852">
        <v>63.788499999999999</v>
      </c>
      <c r="I852">
        <v>57.069400000000002</v>
      </c>
      <c r="J852">
        <v>65.258099999999999</v>
      </c>
      <c r="K852">
        <v>97.528800000000004</v>
      </c>
      <c r="L852">
        <v>102.8869</v>
      </c>
      <c r="M852">
        <v>92.102000000000004</v>
      </c>
      <c r="N852">
        <v>97.318700000000007</v>
      </c>
      <c r="O852">
        <v>94.598399999999998</v>
      </c>
      <c r="P852">
        <v>1021</v>
      </c>
      <c r="Q852" t="s">
        <v>1947</v>
      </c>
    </row>
    <row r="853" spans="1:17" x14ac:dyDescent="0.3">
      <c r="A853" t="s">
        <v>17</v>
      </c>
      <c r="B853" t="str">
        <f>"601005"</f>
        <v>601005</v>
      </c>
      <c r="C853" t="s">
        <v>1948</v>
      </c>
      <c r="D853" t="s">
        <v>38</v>
      </c>
      <c r="F853">
        <v>61.165399999999998</v>
      </c>
      <c r="G853">
        <v>85.703800000000001</v>
      </c>
      <c r="H853">
        <v>77.7303</v>
      </c>
      <c r="I853">
        <v>47.446100000000001</v>
      </c>
      <c r="J853">
        <v>74.110799999999998</v>
      </c>
      <c r="K853">
        <v>148.29050000000001</v>
      </c>
      <c r="L853">
        <v>341.79829999999998</v>
      </c>
      <c r="M853">
        <v>333.38279999999997</v>
      </c>
      <c r="N853">
        <v>217.02690000000001</v>
      </c>
      <c r="O853">
        <v>194.89080000000001</v>
      </c>
      <c r="P853">
        <v>249</v>
      </c>
      <c r="Q853" t="s">
        <v>1949</v>
      </c>
    </row>
    <row r="854" spans="1:17" x14ac:dyDescent="0.3">
      <c r="A854" t="s">
        <v>17</v>
      </c>
      <c r="B854" t="str">
        <f>"601006"</f>
        <v>601006</v>
      </c>
      <c r="C854" t="s">
        <v>1950</v>
      </c>
      <c r="D854" t="s">
        <v>301</v>
      </c>
      <c r="F854">
        <v>14.8232</v>
      </c>
      <c r="G854">
        <v>14.6584</v>
      </c>
      <c r="H854">
        <v>12.2308</v>
      </c>
      <c r="I854">
        <v>12.8582</v>
      </c>
      <c r="J854">
        <v>21.074100000000001</v>
      </c>
      <c r="K854">
        <v>23.349</v>
      </c>
      <c r="L854">
        <v>23.155100000000001</v>
      </c>
      <c r="M854">
        <v>26.442399999999999</v>
      </c>
      <c r="N854">
        <v>25.162500000000001</v>
      </c>
      <c r="O854">
        <v>27.338200000000001</v>
      </c>
      <c r="P854">
        <v>4202</v>
      </c>
      <c r="Q854" t="s">
        <v>1951</v>
      </c>
    </row>
    <row r="855" spans="1:17" x14ac:dyDescent="0.3">
      <c r="A855" t="s">
        <v>17</v>
      </c>
      <c r="B855" t="str">
        <f>"601007"</f>
        <v>601007</v>
      </c>
      <c r="C855" t="s">
        <v>1952</v>
      </c>
      <c r="D855" t="s">
        <v>590</v>
      </c>
      <c r="F855">
        <v>262.07760000000002</v>
      </c>
      <c r="G855">
        <v>336.80790000000002</v>
      </c>
      <c r="H855">
        <v>285.1318</v>
      </c>
      <c r="I855">
        <v>363.74900000000002</v>
      </c>
      <c r="J855">
        <v>370.49239999999998</v>
      </c>
      <c r="K855">
        <v>379.39980000000003</v>
      </c>
      <c r="L855">
        <v>434.97800000000001</v>
      </c>
      <c r="M855">
        <v>480.74400000000003</v>
      </c>
      <c r="N855">
        <v>580.65340000000003</v>
      </c>
      <c r="O855">
        <v>342.84010000000001</v>
      </c>
      <c r="P855">
        <v>111</v>
      </c>
      <c r="Q855" t="s">
        <v>1953</v>
      </c>
    </row>
    <row r="856" spans="1:17" x14ac:dyDescent="0.3">
      <c r="A856" t="s">
        <v>17</v>
      </c>
      <c r="B856" t="str">
        <f>"601008"</f>
        <v>601008</v>
      </c>
      <c r="C856" t="s">
        <v>1954</v>
      </c>
      <c r="D856" t="s">
        <v>51</v>
      </c>
      <c r="F856">
        <v>4.2356999999999996</v>
      </c>
      <c r="G856">
        <v>9.2249999999999996</v>
      </c>
      <c r="H856">
        <v>10.889900000000001</v>
      </c>
      <c r="I856">
        <v>13.079499999999999</v>
      </c>
      <c r="J856">
        <v>14.423</v>
      </c>
      <c r="K856">
        <v>10.817500000000001</v>
      </c>
      <c r="L856">
        <v>6.2008999999999999</v>
      </c>
      <c r="M856">
        <v>5.4019000000000004</v>
      </c>
      <c r="N856">
        <v>6.2195999999999998</v>
      </c>
      <c r="O856">
        <v>6.4382999999999999</v>
      </c>
      <c r="P856">
        <v>131</v>
      </c>
      <c r="Q856" t="s">
        <v>1955</v>
      </c>
    </row>
    <row r="857" spans="1:17" x14ac:dyDescent="0.3">
      <c r="A857" t="s">
        <v>17</v>
      </c>
      <c r="B857" t="str">
        <f>"601009"</f>
        <v>601009</v>
      </c>
      <c r="C857" t="s">
        <v>1956</v>
      </c>
      <c r="D857" t="s">
        <v>1838</v>
      </c>
      <c r="P857">
        <v>44247</v>
      </c>
      <c r="Q857" t="s">
        <v>1957</v>
      </c>
    </row>
    <row r="858" spans="1:17" x14ac:dyDescent="0.3">
      <c r="A858" t="s">
        <v>17</v>
      </c>
      <c r="B858" t="str">
        <f>"601010"</f>
        <v>601010</v>
      </c>
      <c r="C858" t="s">
        <v>1958</v>
      </c>
      <c r="D858" t="s">
        <v>1404</v>
      </c>
      <c r="F858">
        <v>202.44479999999999</v>
      </c>
      <c r="G858">
        <v>289.48340000000002</v>
      </c>
      <c r="H858">
        <v>75.8172</v>
      </c>
      <c r="I858">
        <v>83.134600000000006</v>
      </c>
      <c r="J858">
        <v>97.434600000000003</v>
      </c>
      <c r="K858">
        <v>146.524</v>
      </c>
      <c r="L858">
        <v>138.2731</v>
      </c>
      <c r="M858">
        <v>191.87139999999999</v>
      </c>
      <c r="N858">
        <v>204.46090000000001</v>
      </c>
      <c r="O858">
        <v>32.385100000000001</v>
      </c>
      <c r="P858">
        <v>94</v>
      </c>
      <c r="Q858" t="s">
        <v>1959</v>
      </c>
    </row>
    <row r="859" spans="1:17" x14ac:dyDescent="0.3">
      <c r="A859" t="s">
        <v>17</v>
      </c>
      <c r="B859" t="str">
        <f>"601011"</f>
        <v>601011</v>
      </c>
      <c r="C859" t="s">
        <v>1960</v>
      </c>
      <c r="D859" t="s">
        <v>885</v>
      </c>
      <c r="F859">
        <v>183.49430000000001</v>
      </c>
      <c r="G859">
        <v>301.79349999999999</v>
      </c>
      <c r="H859">
        <v>287.48469999999998</v>
      </c>
      <c r="I859">
        <v>199.80330000000001</v>
      </c>
      <c r="J859">
        <v>244.17330000000001</v>
      </c>
      <c r="K859">
        <v>264.8116</v>
      </c>
      <c r="L859">
        <v>292.28949999999998</v>
      </c>
      <c r="M859">
        <v>316.57769999999999</v>
      </c>
      <c r="N859">
        <v>198.10679999999999</v>
      </c>
      <c r="O859">
        <v>165.3596</v>
      </c>
      <c r="P859">
        <v>134</v>
      </c>
      <c r="Q859" t="s">
        <v>1961</v>
      </c>
    </row>
    <row r="860" spans="1:17" x14ac:dyDescent="0.3">
      <c r="A860" t="s">
        <v>17</v>
      </c>
      <c r="B860" t="str">
        <f>"601012"</f>
        <v>601012</v>
      </c>
      <c r="C860" t="s">
        <v>1962</v>
      </c>
      <c r="D860" t="s">
        <v>929</v>
      </c>
      <c r="F860">
        <v>127.79389999999999</v>
      </c>
      <c r="G860">
        <v>125.0427</v>
      </c>
      <c r="H860">
        <v>112.6973</v>
      </c>
      <c r="I860">
        <v>113.9658</v>
      </c>
      <c r="J860">
        <v>82.816800000000001</v>
      </c>
      <c r="K860">
        <v>94.863299999999995</v>
      </c>
      <c r="L860">
        <v>273.88069999999999</v>
      </c>
      <c r="M860">
        <v>153.31110000000001</v>
      </c>
      <c r="N860">
        <v>206.98060000000001</v>
      </c>
      <c r="O860">
        <v>212.4573</v>
      </c>
      <c r="P860">
        <v>6941</v>
      </c>
      <c r="Q860" t="s">
        <v>1963</v>
      </c>
    </row>
    <row r="861" spans="1:17" x14ac:dyDescent="0.3">
      <c r="A861" t="s">
        <v>17</v>
      </c>
      <c r="B861" t="str">
        <f>"601015"</f>
        <v>601015</v>
      </c>
      <c r="C861" t="s">
        <v>1964</v>
      </c>
      <c r="D861" t="s">
        <v>885</v>
      </c>
      <c r="F861">
        <v>32.533200000000001</v>
      </c>
      <c r="G861">
        <v>49.735700000000001</v>
      </c>
      <c r="H861">
        <v>44.347700000000003</v>
      </c>
      <c r="I861">
        <v>39.930900000000001</v>
      </c>
      <c r="J861">
        <v>28.8902</v>
      </c>
      <c r="K861">
        <v>47.043300000000002</v>
      </c>
      <c r="L861">
        <v>65.650599999999997</v>
      </c>
      <c r="M861">
        <v>52.033200000000001</v>
      </c>
      <c r="N861">
        <v>18.883600000000001</v>
      </c>
      <c r="P861">
        <v>212</v>
      </c>
      <c r="Q861" t="s">
        <v>1965</v>
      </c>
    </row>
    <row r="862" spans="1:17" x14ac:dyDescent="0.3">
      <c r="A862" t="s">
        <v>17</v>
      </c>
      <c r="B862" t="str">
        <f>"601016"</f>
        <v>601016</v>
      </c>
      <c r="C862" t="s">
        <v>1966</v>
      </c>
      <c r="D862" t="s">
        <v>383</v>
      </c>
      <c r="F862">
        <v>47.0122</v>
      </c>
      <c r="G862">
        <v>53.636699999999998</v>
      </c>
      <c r="H862">
        <v>58.794199999999996</v>
      </c>
      <c r="I862">
        <v>58.875399999999999</v>
      </c>
      <c r="J862">
        <v>66.250100000000003</v>
      </c>
      <c r="K862">
        <v>53.092199999999998</v>
      </c>
      <c r="L862">
        <v>47.290199999999999</v>
      </c>
      <c r="M862">
        <v>47.142699999999998</v>
      </c>
      <c r="N862">
        <v>22.790199999999999</v>
      </c>
      <c r="P862">
        <v>542</v>
      </c>
      <c r="Q862" t="s">
        <v>1967</v>
      </c>
    </row>
    <row r="863" spans="1:17" x14ac:dyDescent="0.3">
      <c r="A863" t="s">
        <v>17</v>
      </c>
      <c r="B863" t="str">
        <f>"601018"</f>
        <v>601018</v>
      </c>
      <c r="C863" t="s">
        <v>1968</v>
      </c>
      <c r="D863" t="s">
        <v>51</v>
      </c>
      <c r="F863">
        <v>27.437899999999999</v>
      </c>
      <c r="G863">
        <v>20.499500000000001</v>
      </c>
      <c r="H863">
        <v>11.9671</v>
      </c>
      <c r="I863">
        <v>11.4589</v>
      </c>
      <c r="J863">
        <v>6.9307999999999996</v>
      </c>
      <c r="K863">
        <v>9.2866</v>
      </c>
      <c r="L863">
        <v>11.616099999999999</v>
      </c>
      <c r="M863">
        <v>12.136699999999999</v>
      </c>
      <c r="N863">
        <v>8.1532999999999998</v>
      </c>
      <c r="O863">
        <v>14.9979</v>
      </c>
      <c r="P863">
        <v>335</v>
      </c>
      <c r="Q863" t="s">
        <v>1969</v>
      </c>
    </row>
    <row r="864" spans="1:17" x14ac:dyDescent="0.3">
      <c r="A864" t="s">
        <v>17</v>
      </c>
      <c r="B864" t="str">
        <f>"601019"</f>
        <v>601019</v>
      </c>
      <c r="C864" t="s">
        <v>1970</v>
      </c>
      <c r="D864" t="s">
        <v>1536</v>
      </c>
      <c r="F864">
        <v>166.3389</v>
      </c>
      <c r="G864">
        <v>189.40190000000001</v>
      </c>
      <c r="H864">
        <v>175.54560000000001</v>
      </c>
      <c r="I864">
        <v>153.94210000000001</v>
      </c>
      <c r="J864">
        <v>121.3694</v>
      </c>
      <c r="P864">
        <v>401</v>
      </c>
      <c r="Q864" t="s">
        <v>1971</v>
      </c>
    </row>
    <row r="865" spans="1:17" x14ac:dyDescent="0.3">
      <c r="A865" t="s">
        <v>17</v>
      </c>
      <c r="B865" t="str">
        <f>"601020"</f>
        <v>601020</v>
      </c>
      <c r="C865" t="s">
        <v>1972</v>
      </c>
      <c r="D865" t="s">
        <v>701</v>
      </c>
      <c r="F865">
        <v>27.045100000000001</v>
      </c>
      <c r="G865">
        <v>12.8566</v>
      </c>
      <c r="H865">
        <v>53.966000000000001</v>
      </c>
      <c r="I865">
        <v>51.811500000000002</v>
      </c>
      <c r="J865">
        <v>93.542000000000002</v>
      </c>
      <c r="K865">
        <v>100.655</v>
      </c>
      <c r="L865">
        <v>61.038899999999998</v>
      </c>
      <c r="P865">
        <v>180</v>
      </c>
      <c r="Q865" t="s">
        <v>1973</v>
      </c>
    </row>
    <row r="866" spans="1:17" x14ac:dyDescent="0.3">
      <c r="A866" t="s">
        <v>17</v>
      </c>
      <c r="B866" t="str">
        <f>"601021"</f>
        <v>601021</v>
      </c>
      <c r="C866" t="s">
        <v>1974</v>
      </c>
      <c r="D866" t="s">
        <v>77</v>
      </c>
      <c r="F866">
        <v>9.2612000000000005</v>
      </c>
      <c r="G866">
        <v>9.4149999999999991</v>
      </c>
      <c r="H866">
        <v>5.1654999999999998</v>
      </c>
      <c r="I866">
        <v>4.3941999999999997</v>
      </c>
      <c r="J866">
        <v>3.8782000000000001</v>
      </c>
      <c r="K866">
        <v>4.2222</v>
      </c>
      <c r="L866">
        <v>3.6267</v>
      </c>
      <c r="M866">
        <v>3.2583000000000002</v>
      </c>
      <c r="N866">
        <v>1.6473</v>
      </c>
      <c r="P866">
        <v>1019</v>
      </c>
      <c r="Q866" t="s">
        <v>1975</v>
      </c>
    </row>
    <row r="867" spans="1:17" x14ac:dyDescent="0.3">
      <c r="A867" t="s">
        <v>17</v>
      </c>
      <c r="B867" t="str">
        <f>"601028"</f>
        <v>601028</v>
      </c>
      <c r="C867" t="s">
        <v>1976</v>
      </c>
      <c r="D867" t="s">
        <v>131</v>
      </c>
      <c r="F867">
        <v>19.3276</v>
      </c>
      <c r="G867">
        <v>7.5309999999999997</v>
      </c>
      <c r="H867">
        <v>81.686499999999995</v>
      </c>
      <c r="I867">
        <v>65.9358</v>
      </c>
      <c r="J867">
        <v>56.287700000000001</v>
      </c>
      <c r="K867">
        <v>124.34</v>
      </c>
      <c r="L867">
        <v>149.5103</v>
      </c>
      <c r="M867">
        <v>191.96420000000001</v>
      </c>
      <c r="N867">
        <v>146.81469999999999</v>
      </c>
      <c r="O867">
        <v>144.2338</v>
      </c>
      <c r="P867">
        <v>87</v>
      </c>
      <c r="Q867" t="s">
        <v>1977</v>
      </c>
    </row>
    <row r="868" spans="1:17" x14ac:dyDescent="0.3">
      <c r="A868" t="s">
        <v>17</v>
      </c>
      <c r="B868" t="str">
        <f>"601038"</f>
        <v>601038</v>
      </c>
      <c r="C868" t="s">
        <v>1978</v>
      </c>
      <c r="D868" t="s">
        <v>1979</v>
      </c>
      <c r="F868">
        <v>62.406300000000002</v>
      </c>
      <c r="G868">
        <v>67.427800000000005</v>
      </c>
      <c r="H868">
        <v>99.779200000000003</v>
      </c>
      <c r="I868">
        <v>112.2621</v>
      </c>
      <c r="J868">
        <v>78.846800000000002</v>
      </c>
      <c r="K868">
        <v>73.382199999999997</v>
      </c>
      <c r="L868">
        <v>72.314099999999996</v>
      </c>
      <c r="M868">
        <v>86.028800000000004</v>
      </c>
      <c r="N868">
        <v>59.636899999999997</v>
      </c>
      <c r="O868">
        <v>47.489699999999999</v>
      </c>
      <c r="P868">
        <v>179</v>
      </c>
      <c r="Q868" t="s">
        <v>1980</v>
      </c>
    </row>
    <row r="869" spans="1:17" x14ac:dyDescent="0.3">
      <c r="A869" t="s">
        <v>17</v>
      </c>
      <c r="B869" t="str">
        <f>"601058"</f>
        <v>601058</v>
      </c>
      <c r="C869" t="s">
        <v>1981</v>
      </c>
      <c r="D869" t="s">
        <v>422</v>
      </c>
      <c r="F869">
        <v>105.42910000000001</v>
      </c>
      <c r="G869">
        <v>96.467200000000005</v>
      </c>
      <c r="H869">
        <v>89.403599999999997</v>
      </c>
      <c r="I869">
        <v>88.703699999999998</v>
      </c>
      <c r="J869">
        <v>76.549499999999995</v>
      </c>
      <c r="K869">
        <v>82.562799999999996</v>
      </c>
      <c r="L869">
        <v>97.298699999999997</v>
      </c>
      <c r="M869">
        <v>74.529899999999998</v>
      </c>
      <c r="N869">
        <v>65.165599999999998</v>
      </c>
      <c r="O869">
        <v>79.447500000000005</v>
      </c>
      <c r="P869">
        <v>589</v>
      </c>
      <c r="Q869" t="s">
        <v>1982</v>
      </c>
    </row>
    <row r="870" spans="1:17" x14ac:dyDescent="0.3">
      <c r="A870" t="s">
        <v>17</v>
      </c>
      <c r="B870" t="str">
        <f>"601066"</f>
        <v>601066</v>
      </c>
      <c r="C870" t="s">
        <v>1983</v>
      </c>
      <c r="D870" t="s">
        <v>80</v>
      </c>
      <c r="P870">
        <v>1825</v>
      </c>
      <c r="Q870" t="s">
        <v>1984</v>
      </c>
    </row>
    <row r="871" spans="1:17" x14ac:dyDescent="0.3">
      <c r="A871" t="s">
        <v>17</v>
      </c>
      <c r="B871" t="str">
        <f>"601068"</f>
        <v>601068</v>
      </c>
      <c r="C871" t="s">
        <v>1985</v>
      </c>
      <c r="D871" t="s">
        <v>1986</v>
      </c>
      <c r="F871">
        <v>78.693100000000001</v>
      </c>
      <c r="G871">
        <v>79.348799999999997</v>
      </c>
      <c r="H871">
        <v>69.563199999999995</v>
      </c>
      <c r="I871">
        <v>138.85130000000001</v>
      </c>
      <c r="J871">
        <v>66.149100000000004</v>
      </c>
      <c r="P871">
        <v>109</v>
      </c>
      <c r="Q871" t="s">
        <v>1987</v>
      </c>
    </row>
    <row r="872" spans="1:17" x14ac:dyDescent="0.3">
      <c r="A872" t="s">
        <v>17</v>
      </c>
      <c r="B872" t="str">
        <f>"601069"</f>
        <v>601069</v>
      </c>
      <c r="C872" t="s">
        <v>1988</v>
      </c>
      <c r="D872" t="s">
        <v>701</v>
      </c>
      <c r="F872">
        <v>48.032200000000003</v>
      </c>
      <c r="G872">
        <v>46.101700000000001</v>
      </c>
      <c r="H872">
        <v>92.953999999999994</v>
      </c>
      <c r="I872">
        <v>353.10910000000001</v>
      </c>
      <c r="J872">
        <v>236.66069999999999</v>
      </c>
      <c r="K872">
        <v>240.46610000000001</v>
      </c>
      <c r="L872">
        <v>210.41370000000001</v>
      </c>
      <c r="M872">
        <v>315.7885</v>
      </c>
      <c r="N872">
        <v>95.820499999999996</v>
      </c>
      <c r="P872">
        <v>142</v>
      </c>
      <c r="Q872" t="s">
        <v>1989</v>
      </c>
    </row>
    <row r="873" spans="1:17" x14ac:dyDescent="0.3">
      <c r="A873" t="s">
        <v>17</v>
      </c>
      <c r="B873" t="str">
        <f>"601077"</f>
        <v>601077</v>
      </c>
      <c r="C873" t="s">
        <v>1990</v>
      </c>
      <c r="D873" t="s">
        <v>1827</v>
      </c>
      <c r="P873">
        <v>509</v>
      </c>
      <c r="Q873" t="s">
        <v>1991</v>
      </c>
    </row>
    <row r="874" spans="1:17" x14ac:dyDescent="0.3">
      <c r="A874" t="s">
        <v>17</v>
      </c>
      <c r="B874" t="str">
        <f>"601086"</f>
        <v>601086</v>
      </c>
      <c r="C874" t="s">
        <v>1992</v>
      </c>
      <c r="D874" t="s">
        <v>633</v>
      </c>
      <c r="F874">
        <v>96.885800000000003</v>
      </c>
      <c r="G874">
        <v>129.5976</v>
      </c>
      <c r="H874">
        <v>18.862300000000001</v>
      </c>
      <c r="I874">
        <v>16.9405</v>
      </c>
      <c r="J874">
        <v>17.4297</v>
      </c>
      <c r="P874">
        <v>79</v>
      </c>
      <c r="Q874" t="s">
        <v>1993</v>
      </c>
    </row>
    <row r="875" spans="1:17" x14ac:dyDescent="0.3">
      <c r="A875" t="s">
        <v>17</v>
      </c>
      <c r="B875" t="str">
        <f>"601088"</f>
        <v>601088</v>
      </c>
      <c r="C875" t="s">
        <v>1994</v>
      </c>
      <c r="D875" t="s">
        <v>292</v>
      </c>
      <c r="F875">
        <v>31.533899999999999</v>
      </c>
      <c r="G875">
        <v>49.318800000000003</v>
      </c>
      <c r="H875">
        <v>40.621600000000001</v>
      </c>
      <c r="I875">
        <v>38.525799999999997</v>
      </c>
      <c r="J875">
        <v>44.881599999999999</v>
      </c>
      <c r="K875">
        <v>67.521100000000004</v>
      </c>
      <c r="L875">
        <v>70.530600000000007</v>
      </c>
      <c r="M875">
        <v>53.834699999999998</v>
      </c>
      <c r="N875">
        <v>49.877800000000001</v>
      </c>
      <c r="O875">
        <v>48.747799999999998</v>
      </c>
      <c r="P875">
        <v>3939</v>
      </c>
      <c r="Q875" t="s">
        <v>1995</v>
      </c>
    </row>
    <row r="876" spans="1:17" x14ac:dyDescent="0.3">
      <c r="A876" t="s">
        <v>17</v>
      </c>
      <c r="B876" t="str">
        <f>"601098"</f>
        <v>601098</v>
      </c>
      <c r="C876" t="s">
        <v>1996</v>
      </c>
      <c r="D876" t="s">
        <v>1536</v>
      </c>
      <c r="F876">
        <v>144.6823</v>
      </c>
      <c r="G876">
        <v>173.11099999999999</v>
      </c>
      <c r="H876">
        <v>167.64279999999999</v>
      </c>
      <c r="I876">
        <v>164.0393</v>
      </c>
      <c r="J876">
        <v>141.376</v>
      </c>
      <c r="K876">
        <v>133.67920000000001</v>
      </c>
      <c r="L876">
        <v>124.54470000000001</v>
      </c>
      <c r="M876">
        <v>150.55539999999999</v>
      </c>
      <c r="N876">
        <v>152.5455</v>
      </c>
      <c r="O876">
        <v>159.86179999999999</v>
      </c>
      <c r="P876">
        <v>882</v>
      </c>
      <c r="Q876" t="s">
        <v>1997</v>
      </c>
    </row>
    <row r="877" spans="1:17" x14ac:dyDescent="0.3">
      <c r="A877" t="s">
        <v>17</v>
      </c>
      <c r="B877" t="str">
        <f>"601099"</f>
        <v>601099</v>
      </c>
      <c r="C877" t="s">
        <v>1998</v>
      </c>
      <c r="D877" t="s">
        <v>80</v>
      </c>
      <c r="P877">
        <v>738</v>
      </c>
      <c r="Q877" t="s">
        <v>1999</v>
      </c>
    </row>
    <row r="878" spans="1:17" x14ac:dyDescent="0.3">
      <c r="A878" t="s">
        <v>17</v>
      </c>
      <c r="B878" t="str">
        <f>"601100"</f>
        <v>601100</v>
      </c>
      <c r="C878" t="s">
        <v>2000</v>
      </c>
      <c r="D878" t="s">
        <v>2001</v>
      </c>
      <c r="F878">
        <v>115.54949999999999</v>
      </c>
      <c r="G878">
        <v>127.79389999999999</v>
      </c>
      <c r="H878">
        <v>151.07810000000001</v>
      </c>
      <c r="I878">
        <v>161.89930000000001</v>
      </c>
      <c r="J878">
        <v>168.6063</v>
      </c>
      <c r="K878">
        <v>229.16079999999999</v>
      </c>
      <c r="L878">
        <v>266.05259999999998</v>
      </c>
      <c r="M878">
        <v>255.83519999999999</v>
      </c>
      <c r="N878">
        <v>224.0419</v>
      </c>
      <c r="O878">
        <v>183.95189999999999</v>
      </c>
      <c r="P878">
        <v>1782</v>
      </c>
      <c r="Q878" t="s">
        <v>2002</v>
      </c>
    </row>
    <row r="879" spans="1:17" x14ac:dyDescent="0.3">
      <c r="A879" t="s">
        <v>17</v>
      </c>
      <c r="B879" t="str">
        <f>"601101"</f>
        <v>601101</v>
      </c>
      <c r="C879" t="s">
        <v>2003</v>
      </c>
      <c r="D879" t="s">
        <v>292</v>
      </c>
      <c r="F879">
        <v>28.105699999999999</v>
      </c>
      <c r="G879">
        <v>61.590299999999999</v>
      </c>
      <c r="H879">
        <v>50.993000000000002</v>
      </c>
      <c r="I879">
        <v>78.839600000000004</v>
      </c>
      <c r="J879">
        <v>52.373899999999999</v>
      </c>
      <c r="K879">
        <v>72.003699999999995</v>
      </c>
      <c r="L879">
        <v>59.077599999999997</v>
      </c>
      <c r="M879">
        <v>49.307899999999997</v>
      </c>
      <c r="N879">
        <v>33.009500000000003</v>
      </c>
      <c r="O879">
        <v>47.855800000000002</v>
      </c>
      <c r="P879">
        <v>281</v>
      </c>
      <c r="Q879" t="s">
        <v>2004</v>
      </c>
    </row>
    <row r="880" spans="1:17" x14ac:dyDescent="0.3">
      <c r="A880" t="s">
        <v>17</v>
      </c>
      <c r="B880" t="str">
        <f>"601106"</f>
        <v>601106</v>
      </c>
      <c r="C880" t="s">
        <v>2005</v>
      </c>
      <c r="D880" t="s">
        <v>395</v>
      </c>
      <c r="F880">
        <v>99.193299999999994</v>
      </c>
      <c r="G880">
        <v>135.13200000000001</v>
      </c>
      <c r="H880">
        <v>173.52690000000001</v>
      </c>
      <c r="I880">
        <v>276.84059999999999</v>
      </c>
      <c r="J880">
        <v>247.26089999999999</v>
      </c>
      <c r="K880">
        <v>870.59540000000004</v>
      </c>
      <c r="L880">
        <v>809.48090000000002</v>
      </c>
      <c r="M880">
        <v>405.95089999999999</v>
      </c>
      <c r="N880">
        <v>577.71630000000005</v>
      </c>
      <c r="O880">
        <v>570.31060000000002</v>
      </c>
      <c r="P880">
        <v>175</v>
      </c>
      <c r="Q880" t="s">
        <v>2006</v>
      </c>
    </row>
    <row r="881" spans="1:17" x14ac:dyDescent="0.3">
      <c r="A881" t="s">
        <v>17</v>
      </c>
      <c r="B881" t="str">
        <f>"601107"</f>
        <v>601107</v>
      </c>
      <c r="C881" t="s">
        <v>2007</v>
      </c>
      <c r="D881" t="s">
        <v>44</v>
      </c>
      <c r="F881">
        <v>206.54570000000001</v>
      </c>
      <c r="G881">
        <v>398.51310000000001</v>
      </c>
      <c r="H881">
        <v>277.77260000000001</v>
      </c>
      <c r="I881">
        <v>277.24549999999999</v>
      </c>
      <c r="J881">
        <v>224.1268</v>
      </c>
      <c r="K881">
        <v>231.6507</v>
      </c>
      <c r="L881">
        <v>173.45249999999999</v>
      </c>
      <c r="M881">
        <v>113.6634</v>
      </c>
      <c r="N881">
        <v>69.998199999999997</v>
      </c>
      <c r="O881">
        <v>27.817299999999999</v>
      </c>
      <c r="P881">
        <v>231</v>
      </c>
      <c r="Q881" t="s">
        <v>2008</v>
      </c>
    </row>
    <row r="882" spans="1:17" x14ac:dyDescent="0.3">
      <c r="A882" t="s">
        <v>17</v>
      </c>
      <c r="B882" t="str">
        <f>"601108"</f>
        <v>601108</v>
      </c>
      <c r="C882" t="s">
        <v>2009</v>
      </c>
      <c r="D882" t="s">
        <v>80</v>
      </c>
      <c r="P882">
        <v>980</v>
      </c>
      <c r="Q882" t="s">
        <v>2010</v>
      </c>
    </row>
    <row r="883" spans="1:17" x14ac:dyDescent="0.3">
      <c r="A883" t="s">
        <v>17</v>
      </c>
      <c r="B883" t="str">
        <f>"601111"</f>
        <v>601111</v>
      </c>
      <c r="C883" t="s">
        <v>2011</v>
      </c>
      <c r="D883" t="s">
        <v>77</v>
      </c>
      <c r="F883">
        <v>12.1432</v>
      </c>
      <c r="G883">
        <v>16.2392</v>
      </c>
      <c r="H883">
        <v>9.4895999999999994</v>
      </c>
      <c r="I883">
        <v>8.6911000000000005</v>
      </c>
      <c r="J883">
        <v>9.4298000000000002</v>
      </c>
      <c r="K883">
        <v>10.203900000000001</v>
      </c>
      <c r="L883">
        <v>8.4724000000000004</v>
      </c>
      <c r="M883">
        <v>5.8959000000000001</v>
      </c>
      <c r="N883">
        <v>6.5640999999999998</v>
      </c>
      <c r="O883">
        <v>6.7583000000000002</v>
      </c>
      <c r="P883">
        <v>1106</v>
      </c>
      <c r="Q883" t="s">
        <v>2012</v>
      </c>
    </row>
    <row r="884" spans="1:17" x14ac:dyDescent="0.3">
      <c r="A884" t="s">
        <v>17</v>
      </c>
      <c r="B884" t="str">
        <f>"601113"</f>
        <v>601113</v>
      </c>
      <c r="C884" t="s">
        <v>2013</v>
      </c>
      <c r="D884" t="s">
        <v>2014</v>
      </c>
      <c r="F884">
        <v>85.007599999999996</v>
      </c>
      <c r="G884">
        <v>95.35</v>
      </c>
      <c r="H884">
        <v>96.916899999999998</v>
      </c>
      <c r="I884">
        <v>81.568700000000007</v>
      </c>
      <c r="J884">
        <v>48.331099999999999</v>
      </c>
      <c r="K884">
        <v>60.556800000000003</v>
      </c>
      <c r="L884">
        <v>100.1571</v>
      </c>
      <c r="M884">
        <v>98.674700000000001</v>
      </c>
      <c r="N884">
        <v>75.443799999999996</v>
      </c>
      <c r="O884">
        <v>82.825800000000001</v>
      </c>
      <c r="P884">
        <v>68</v>
      </c>
      <c r="Q884" t="s">
        <v>2015</v>
      </c>
    </row>
    <row r="885" spans="1:17" x14ac:dyDescent="0.3">
      <c r="A885" t="s">
        <v>17</v>
      </c>
      <c r="B885" t="str">
        <f>"601116"</f>
        <v>601116</v>
      </c>
      <c r="C885" t="s">
        <v>2016</v>
      </c>
      <c r="D885" t="s">
        <v>798</v>
      </c>
      <c r="F885">
        <v>54.057499999999997</v>
      </c>
      <c r="G885">
        <v>55.633000000000003</v>
      </c>
      <c r="H885">
        <v>46.615699999999997</v>
      </c>
      <c r="I885">
        <v>43.996200000000002</v>
      </c>
      <c r="J885">
        <v>55.244100000000003</v>
      </c>
      <c r="K885">
        <v>54.366700000000002</v>
      </c>
      <c r="L885">
        <v>56.299399999999999</v>
      </c>
      <c r="M885">
        <v>65.385900000000007</v>
      </c>
      <c r="N885">
        <v>67.141900000000007</v>
      </c>
      <c r="O885">
        <v>68.9833</v>
      </c>
      <c r="P885">
        <v>124</v>
      </c>
      <c r="Q885" t="s">
        <v>2017</v>
      </c>
    </row>
    <row r="886" spans="1:17" x14ac:dyDescent="0.3">
      <c r="A886" t="s">
        <v>17</v>
      </c>
      <c r="B886" t="str">
        <f>"601117"</f>
        <v>601117</v>
      </c>
      <c r="C886" t="s">
        <v>2018</v>
      </c>
      <c r="D886" t="s">
        <v>2019</v>
      </c>
      <c r="F886">
        <v>25.278400000000001</v>
      </c>
      <c r="G886">
        <v>57.875999999999998</v>
      </c>
      <c r="H886">
        <v>96.024000000000001</v>
      </c>
      <c r="I886">
        <v>125.1506</v>
      </c>
      <c r="J886">
        <v>199.78440000000001</v>
      </c>
      <c r="K886">
        <v>105.066</v>
      </c>
      <c r="L886">
        <v>169.70699999999999</v>
      </c>
      <c r="M886">
        <v>126.7651</v>
      </c>
      <c r="N886">
        <v>101.884</v>
      </c>
      <c r="O886">
        <v>72.574299999999994</v>
      </c>
      <c r="P886">
        <v>717</v>
      </c>
      <c r="Q886" t="s">
        <v>2020</v>
      </c>
    </row>
    <row r="887" spans="1:17" x14ac:dyDescent="0.3">
      <c r="A887" t="s">
        <v>17</v>
      </c>
      <c r="B887" t="str">
        <f>"601118"</f>
        <v>601118</v>
      </c>
      <c r="C887" t="s">
        <v>2021</v>
      </c>
      <c r="D887" t="s">
        <v>258</v>
      </c>
      <c r="F887">
        <v>71.5749</v>
      </c>
      <c r="G887">
        <v>63.461500000000001</v>
      </c>
      <c r="H887">
        <v>66.497100000000003</v>
      </c>
      <c r="I887">
        <v>172.64660000000001</v>
      </c>
      <c r="J887">
        <v>72.231999999999999</v>
      </c>
      <c r="K887">
        <v>110.4332</v>
      </c>
      <c r="L887">
        <v>101.11369999999999</v>
      </c>
      <c r="M887">
        <v>94.754999999999995</v>
      </c>
      <c r="N887">
        <v>92.437700000000007</v>
      </c>
      <c r="O887">
        <v>100.8642</v>
      </c>
      <c r="P887">
        <v>199</v>
      </c>
      <c r="Q887" t="s">
        <v>2022</v>
      </c>
    </row>
    <row r="888" spans="1:17" x14ac:dyDescent="0.3">
      <c r="A888" t="s">
        <v>17</v>
      </c>
      <c r="B888" t="str">
        <f>"601126"</f>
        <v>601126</v>
      </c>
      <c r="C888" t="s">
        <v>2023</v>
      </c>
      <c r="D888" t="s">
        <v>610</v>
      </c>
      <c r="F888">
        <v>209.9863</v>
      </c>
      <c r="G888">
        <v>189.21680000000001</v>
      </c>
      <c r="H888">
        <v>254.23990000000001</v>
      </c>
      <c r="I888">
        <v>227.48500000000001</v>
      </c>
      <c r="J888">
        <v>238.0247</v>
      </c>
      <c r="K888">
        <v>228.71199999999999</v>
      </c>
      <c r="L888">
        <v>247.12100000000001</v>
      </c>
      <c r="M888">
        <v>239.6514</v>
      </c>
      <c r="N888">
        <v>244.1259</v>
      </c>
      <c r="O888">
        <v>307.29739999999998</v>
      </c>
      <c r="P888">
        <v>279</v>
      </c>
      <c r="Q888" t="s">
        <v>2024</v>
      </c>
    </row>
    <row r="889" spans="1:17" x14ac:dyDescent="0.3">
      <c r="A889" t="s">
        <v>17</v>
      </c>
      <c r="B889" t="str">
        <f>"601127"</f>
        <v>601127</v>
      </c>
      <c r="C889" t="s">
        <v>2025</v>
      </c>
      <c r="D889" t="s">
        <v>247</v>
      </c>
      <c r="F889">
        <v>73.659199999999998</v>
      </c>
      <c r="G889">
        <v>100.04130000000001</v>
      </c>
      <c r="H889">
        <v>63.735799999999998</v>
      </c>
      <c r="I889">
        <v>51.659100000000002</v>
      </c>
      <c r="J889">
        <v>46.747</v>
      </c>
      <c r="K889">
        <v>34.441400000000002</v>
      </c>
      <c r="L889">
        <v>25.730699999999999</v>
      </c>
      <c r="P889">
        <v>476</v>
      </c>
      <c r="Q889" t="s">
        <v>2026</v>
      </c>
    </row>
    <row r="890" spans="1:17" x14ac:dyDescent="0.3">
      <c r="A890" t="s">
        <v>17</v>
      </c>
      <c r="B890" t="str">
        <f>"601128"</f>
        <v>601128</v>
      </c>
      <c r="C890" t="s">
        <v>2027</v>
      </c>
      <c r="D890" t="s">
        <v>1827</v>
      </c>
      <c r="P890">
        <v>940</v>
      </c>
      <c r="Q890" t="s">
        <v>2028</v>
      </c>
    </row>
    <row r="891" spans="1:17" x14ac:dyDescent="0.3">
      <c r="A891" t="s">
        <v>17</v>
      </c>
      <c r="B891" t="str">
        <f>"601137"</f>
        <v>601137</v>
      </c>
      <c r="C891" t="s">
        <v>2029</v>
      </c>
      <c r="D891" t="s">
        <v>581</v>
      </c>
      <c r="F891">
        <v>144.57830000000001</v>
      </c>
      <c r="G891">
        <v>140.05619999999999</v>
      </c>
      <c r="H891">
        <v>117.0314</v>
      </c>
      <c r="I891">
        <v>117.05329999999999</v>
      </c>
      <c r="J891">
        <v>116.7097</v>
      </c>
      <c r="K891">
        <v>105.1558</v>
      </c>
      <c r="L891">
        <v>110.3545</v>
      </c>
      <c r="M891">
        <v>122.1454</v>
      </c>
      <c r="N891">
        <v>80.213200000000001</v>
      </c>
      <c r="O891">
        <v>91.493799999999993</v>
      </c>
      <c r="P891">
        <v>283</v>
      </c>
      <c r="Q891" t="s">
        <v>2030</v>
      </c>
    </row>
    <row r="892" spans="1:17" x14ac:dyDescent="0.3">
      <c r="A892" t="s">
        <v>17</v>
      </c>
      <c r="B892" t="str">
        <f>"601138"</f>
        <v>601138</v>
      </c>
      <c r="C892" t="s">
        <v>2031</v>
      </c>
      <c r="D892" t="s">
        <v>313</v>
      </c>
      <c r="F892">
        <v>70.434200000000004</v>
      </c>
      <c r="G892">
        <v>68.894599999999997</v>
      </c>
      <c r="H892">
        <v>58.865600000000001</v>
      </c>
      <c r="I892">
        <v>56.127000000000002</v>
      </c>
      <c r="P892">
        <v>1318</v>
      </c>
      <c r="Q892" t="s">
        <v>2032</v>
      </c>
    </row>
    <row r="893" spans="1:17" x14ac:dyDescent="0.3">
      <c r="A893" t="s">
        <v>17</v>
      </c>
      <c r="B893" t="str">
        <f>"601139"</f>
        <v>601139</v>
      </c>
      <c r="C893" t="s">
        <v>2033</v>
      </c>
      <c r="D893" t="s">
        <v>749</v>
      </c>
      <c r="F893">
        <v>25.352499999999999</v>
      </c>
      <c r="G893">
        <v>21.528500000000001</v>
      </c>
      <c r="H893">
        <v>23.640899999999998</v>
      </c>
      <c r="I893">
        <v>23.149100000000001</v>
      </c>
      <c r="J893">
        <v>20.766300000000001</v>
      </c>
      <c r="K893">
        <v>20.827400000000001</v>
      </c>
      <c r="L893">
        <v>30.701799999999999</v>
      </c>
      <c r="M893">
        <v>19.0274</v>
      </c>
      <c r="N893">
        <v>30.9542</v>
      </c>
      <c r="O893">
        <v>25.363800000000001</v>
      </c>
      <c r="P893">
        <v>476</v>
      </c>
      <c r="Q893" t="s">
        <v>2034</v>
      </c>
    </row>
    <row r="894" spans="1:17" x14ac:dyDescent="0.3">
      <c r="A894" t="s">
        <v>17</v>
      </c>
      <c r="B894" t="str">
        <f>"601155"</f>
        <v>601155</v>
      </c>
      <c r="C894" t="s">
        <v>2035</v>
      </c>
      <c r="D894" t="s">
        <v>30</v>
      </c>
      <c r="F894">
        <v>1154.8478</v>
      </c>
      <c r="G894">
        <v>1735.5936999999999</v>
      </c>
      <c r="H894">
        <v>3669.4843000000001</v>
      </c>
      <c r="I894">
        <v>2567.0610000000001</v>
      </c>
      <c r="J894">
        <v>1781.9692</v>
      </c>
      <c r="K894">
        <v>1532.2177999999999</v>
      </c>
      <c r="L894">
        <v>1423.415</v>
      </c>
      <c r="P894">
        <v>7593</v>
      </c>
      <c r="Q894" t="s">
        <v>2036</v>
      </c>
    </row>
    <row r="895" spans="1:17" x14ac:dyDescent="0.3">
      <c r="A895" t="s">
        <v>17</v>
      </c>
      <c r="B895" t="str">
        <f>"601156"</f>
        <v>601156</v>
      </c>
      <c r="C895" t="s">
        <v>2037</v>
      </c>
      <c r="D895" t="s">
        <v>287</v>
      </c>
      <c r="F895">
        <v>0.97850000000000004</v>
      </c>
      <c r="P895">
        <v>105</v>
      </c>
      <c r="Q895" t="s">
        <v>2038</v>
      </c>
    </row>
    <row r="896" spans="1:17" x14ac:dyDescent="0.3">
      <c r="A896" t="s">
        <v>17</v>
      </c>
      <c r="B896" t="str">
        <f>"601158"</f>
        <v>601158</v>
      </c>
      <c r="C896" t="s">
        <v>2039</v>
      </c>
      <c r="D896" t="s">
        <v>33</v>
      </c>
      <c r="F896">
        <v>74.289500000000004</v>
      </c>
      <c r="G896">
        <v>77.607699999999994</v>
      </c>
      <c r="H896">
        <v>74.517399999999995</v>
      </c>
      <c r="I896">
        <v>72.681299999999993</v>
      </c>
      <c r="J896">
        <v>82.212800000000001</v>
      </c>
      <c r="K896">
        <v>78.932599999999994</v>
      </c>
      <c r="L896">
        <v>71.552000000000007</v>
      </c>
      <c r="M896">
        <v>44.576500000000003</v>
      </c>
      <c r="N896">
        <v>29.700299999999999</v>
      </c>
      <c r="O896">
        <v>28.133700000000001</v>
      </c>
      <c r="P896">
        <v>587</v>
      </c>
      <c r="Q896" t="s">
        <v>2040</v>
      </c>
    </row>
    <row r="897" spans="1:17" x14ac:dyDescent="0.3">
      <c r="A897" t="s">
        <v>17</v>
      </c>
      <c r="B897" t="str">
        <f>"601162"</f>
        <v>601162</v>
      </c>
      <c r="C897" t="s">
        <v>2041</v>
      </c>
      <c r="D897" t="s">
        <v>80</v>
      </c>
      <c r="P897">
        <v>897</v>
      </c>
      <c r="Q897" t="s">
        <v>2042</v>
      </c>
    </row>
    <row r="898" spans="1:17" x14ac:dyDescent="0.3">
      <c r="A898" t="s">
        <v>17</v>
      </c>
      <c r="B898" t="str">
        <f>"601163"</f>
        <v>601163</v>
      </c>
      <c r="C898" t="s">
        <v>2043</v>
      </c>
      <c r="D898" t="s">
        <v>422</v>
      </c>
      <c r="F898">
        <v>74.056299999999993</v>
      </c>
      <c r="G898">
        <v>76.812299999999993</v>
      </c>
      <c r="H898">
        <v>97.555599999999998</v>
      </c>
      <c r="I898">
        <v>119.7702</v>
      </c>
      <c r="J898">
        <v>90.808599999999998</v>
      </c>
      <c r="K898">
        <v>97.597899999999996</v>
      </c>
      <c r="L898">
        <v>55.315899999999999</v>
      </c>
      <c r="P898">
        <v>224</v>
      </c>
      <c r="Q898" t="s">
        <v>2044</v>
      </c>
    </row>
    <row r="899" spans="1:17" x14ac:dyDescent="0.3">
      <c r="A899" t="s">
        <v>17</v>
      </c>
      <c r="B899" t="str">
        <f>"601166"</f>
        <v>601166</v>
      </c>
      <c r="C899" t="s">
        <v>2045</v>
      </c>
      <c r="D899" t="s">
        <v>19</v>
      </c>
      <c r="P899">
        <v>24372</v>
      </c>
      <c r="Q899" t="s">
        <v>2046</v>
      </c>
    </row>
    <row r="900" spans="1:17" x14ac:dyDescent="0.3">
      <c r="A900" t="s">
        <v>17</v>
      </c>
      <c r="B900" t="str">
        <f>"601168"</f>
        <v>601168</v>
      </c>
      <c r="C900" t="s">
        <v>2047</v>
      </c>
      <c r="D900" t="s">
        <v>263</v>
      </c>
      <c r="F900">
        <v>50.814599999999999</v>
      </c>
      <c r="G900">
        <v>68.119299999999996</v>
      </c>
      <c r="H900">
        <v>69.418800000000005</v>
      </c>
      <c r="I900">
        <v>53.2896</v>
      </c>
      <c r="J900">
        <v>26.042300000000001</v>
      </c>
      <c r="K900">
        <v>14.3064</v>
      </c>
      <c r="L900">
        <v>28.182600000000001</v>
      </c>
      <c r="M900">
        <v>42.631100000000004</v>
      </c>
      <c r="N900">
        <v>36.285600000000002</v>
      </c>
      <c r="O900">
        <v>49.8551</v>
      </c>
      <c r="P900">
        <v>392</v>
      </c>
      <c r="Q900" t="s">
        <v>2048</v>
      </c>
    </row>
    <row r="901" spans="1:17" x14ac:dyDescent="0.3">
      <c r="A901" t="s">
        <v>17</v>
      </c>
      <c r="B901" t="str">
        <f>"601169"</f>
        <v>601169</v>
      </c>
      <c r="C901" t="s">
        <v>2049</v>
      </c>
      <c r="D901" t="s">
        <v>1838</v>
      </c>
      <c r="P901">
        <v>16385</v>
      </c>
      <c r="Q901" t="s">
        <v>2050</v>
      </c>
    </row>
    <row r="902" spans="1:17" x14ac:dyDescent="0.3">
      <c r="A902" t="s">
        <v>17</v>
      </c>
      <c r="B902" t="str">
        <f>"601177"</f>
        <v>601177</v>
      </c>
      <c r="C902" t="s">
        <v>2051</v>
      </c>
      <c r="D902" t="s">
        <v>274</v>
      </c>
      <c r="F902">
        <v>246.69990000000001</v>
      </c>
      <c r="G902">
        <v>264.20670000000001</v>
      </c>
      <c r="H902">
        <v>335.80149999999998</v>
      </c>
      <c r="I902">
        <v>338.6026</v>
      </c>
      <c r="J902">
        <v>366.14580000000001</v>
      </c>
      <c r="K902">
        <v>392.25990000000002</v>
      </c>
      <c r="L902">
        <v>362.39210000000003</v>
      </c>
      <c r="M902">
        <v>304.43970000000002</v>
      </c>
      <c r="N902">
        <v>290.21339999999998</v>
      </c>
      <c r="O902">
        <v>334.22269999999997</v>
      </c>
      <c r="P902">
        <v>74</v>
      </c>
      <c r="Q902" t="s">
        <v>2052</v>
      </c>
    </row>
    <row r="903" spans="1:17" x14ac:dyDescent="0.3">
      <c r="A903" t="s">
        <v>17</v>
      </c>
      <c r="B903" t="str">
        <f>"601179"</f>
        <v>601179</v>
      </c>
      <c r="C903" t="s">
        <v>2053</v>
      </c>
      <c r="D903" t="s">
        <v>210</v>
      </c>
      <c r="F903">
        <v>159.44669999999999</v>
      </c>
      <c r="G903">
        <v>216.70480000000001</v>
      </c>
      <c r="H903">
        <v>202.33670000000001</v>
      </c>
      <c r="I903">
        <v>266.88049999999998</v>
      </c>
      <c r="J903">
        <v>239.5429</v>
      </c>
      <c r="K903">
        <v>241.42850000000001</v>
      </c>
      <c r="L903">
        <v>271.03820000000002</v>
      </c>
      <c r="M903">
        <v>240.19390000000001</v>
      </c>
      <c r="N903">
        <v>270.39999999999998</v>
      </c>
      <c r="O903">
        <v>302.65140000000002</v>
      </c>
      <c r="P903">
        <v>329</v>
      </c>
      <c r="Q903" t="s">
        <v>2054</v>
      </c>
    </row>
    <row r="904" spans="1:17" x14ac:dyDescent="0.3">
      <c r="A904" t="s">
        <v>17</v>
      </c>
      <c r="B904" t="str">
        <f>"601186"</f>
        <v>601186</v>
      </c>
      <c r="C904" t="s">
        <v>2055</v>
      </c>
      <c r="D904" t="s">
        <v>101</v>
      </c>
      <c r="F904">
        <v>137.7259</v>
      </c>
      <c r="G904">
        <v>138.28059999999999</v>
      </c>
      <c r="H904">
        <v>127.8836</v>
      </c>
      <c r="I904">
        <v>176.92590000000001</v>
      </c>
      <c r="J904">
        <v>243.58699999999999</v>
      </c>
      <c r="K904">
        <v>246.5378</v>
      </c>
      <c r="L904">
        <v>235.149</v>
      </c>
      <c r="M904">
        <v>208.7431</v>
      </c>
      <c r="N904">
        <v>188.6687</v>
      </c>
      <c r="O904">
        <v>106.50660000000001</v>
      </c>
      <c r="P904">
        <v>1361</v>
      </c>
      <c r="Q904" t="s">
        <v>2056</v>
      </c>
    </row>
    <row r="905" spans="1:17" x14ac:dyDescent="0.3">
      <c r="A905" t="s">
        <v>17</v>
      </c>
      <c r="B905" t="str">
        <f>"601187"</f>
        <v>601187</v>
      </c>
      <c r="C905" t="s">
        <v>2057</v>
      </c>
      <c r="D905" t="s">
        <v>1838</v>
      </c>
      <c r="P905">
        <v>177</v>
      </c>
      <c r="Q905" t="s">
        <v>2058</v>
      </c>
    </row>
    <row r="906" spans="1:17" x14ac:dyDescent="0.3">
      <c r="A906" t="s">
        <v>17</v>
      </c>
      <c r="B906" t="str">
        <f>"601188"</f>
        <v>601188</v>
      </c>
      <c r="C906" t="s">
        <v>2059</v>
      </c>
      <c r="D906" t="s">
        <v>44</v>
      </c>
      <c r="F906">
        <v>807.5521</v>
      </c>
      <c r="G906">
        <v>984.53909999999996</v>
      </c>
      <c r="H906">
        <v>1394.3561999999999</v>
      </c>
      <c r="I906">
        <v>1214.1850999999999</v>
      </c>
      <c r="J906">
        <v>4325.2763000000004</v>
      </c>
      <c r="K906">
        <v>3668.6118999999999</v>
      </c>
      <c r="L906">
        <v>2624.7215999999999</v>
      </c>
      <c r="M906">
        <v>2525.1676000000002</v>
      </c>
      <c r="N906">
        <v>2379.2766999999999</v>
      </c>
      <c r="O906">
        <v>1743.1125</v>
      </c>
      <c r="P906">
        <v>124</v>
      </c>
      <c r="Q906" t="s">
        <v>2060</v>
      </c>
    </row>
    <row r="907" spans="1:17" x14ac:dyDescent="0.3">
      <c r="A907" t="s">
        <v>17</v>
      </c>
      <c r="B907" t="str">
        <f>"601198"</f>
        <v>601198</v>
      </c>
      <c r="C907" t="s">
        <v>2061</v>
      </c>
      <c r="D907" t="s">
        <v>80</v>
      </c>
      <c r="P907">
        <v>814</v>
      </c>
      <c r="Q907" t="s">
        <v>2062</v>
      </c>
    </row>
    <row r="908" spans="1:17" x14ac:dyDescent="0.3">
      <c r="A908" t="s">
        <v>17</v>
      </c>
      <c r="B908" t="str">
        <f>"601199"</f>
        <v>601199</v>
      </c>
      <c r="C908" t="s">
        <v>2063</v>
      </c>
      <c r="D908" t="s">
        <v>33</v>
      </c>
      <c r="F908">
        <v>18.823599999999999</v>
      </c>
      <c r="G908">
        <v>31.4727</v>
      </c>
      <c r="H908">
        <v>37.243400000000001</v>
      </c>
      <c r="I908">
        <v>60.564500000000002</v>
      </c>
      <c r="J908">
        <v>80.018100000000004</v>
      </c>
      <c r="K908">
        <v>171.33670000000001</v>
      </c>
      <c r="L908">
        <v>347.87950000000001</v>
      </c>
      <c r="M908">
        <v>344.733</v>
      </c>
      <c r="N908">
        <v>194.5498</v>
      </c>
      <c r="O908">
        <v>182.17019999999999</v>
      </c>
      <c r="P908">
        <v>186</v>
      </c>
      <c r="Q908" t="s">
        <v>2064</v>
      </c>
    </row>
    <row r="909" spans="1:17" x14ac:dyDescent="0.3">
      <c r="A909" t="s">
        <v>17</v>
      </c>
      <c r="B909" t="str">
        <f>"601200"</f>
        <v>601200</v>
      </c>
      <c r="C909" t="s">
        <v>2065</v>
      </c>
      <c r="D909" t="s">
        <v>499</v>
      </c>
      <c r="F909">
        <v>63.471200000000003</v>
      </c>
      <c r="G909">
        <v>99.340599999999995</v>
      </c>
      <c r="H909">
        <v>71.931399999999996</v>
      </c>
      <c r="I909">
        <v>56.781399999999998</v>
      </c>
      <c r="J909">
        <v>39.006</v>
      </c>
      <c r="K909">
        <v>0</v>
      </c>
      <c r="P909">
        <v>326</v>
      </c>
      <c r="Q909" t="s">
        <v>2066</v>
      </c>
    </row>
    <row r="910" spans="1:17" x14ac:dyDescent="0.3">
      <c r="A910" t="s">
        <v>17</v>
      </c>
      <c r="B910" t="str">
        <f>"601208"</f>
        <v>601208</v>
      </c>
      <c r="C910" t="s">
        <v>2067</v>
      </c>
      <c r="D910" t="s">
        <v>324</v>
      </c>
      <c r="F910">
        <v>51.093600000000002</v>
      </c>
      <c r="G910">
        <v>57.533299999999997</v>
      </c>
      <c r="H910">
        <v>80.429900000000004</v>
      </c>
      <c r="I910">
        <v>78.225800000000007</v>
      </c>
      <c r="J910">
        <v>84.007599999999996</v>
      </c>
      <c r="K910">
        <v>101.8541</v>
      </c>
      <c r="L910">
        <v>114.9581</v>
      </c>
      <c r="M910">
        <v>112.00700000000001</v>
      </c>
      <c r="N910">
        <v>134.63030000000001</v>
      </c>
      <c r="O910">
        <v>105.6356</v>
      </c>
      <c r="P910">
        <v>3074</v>
      </c>
      <c r="Q910" t="s">
        <v>2068</v>
      </c>
    </row>
    <row r="911" spans="1:17" x14ac:dyDescent="0.3">
      <c r="A911" t="s">
        <v>17</v>
      </c>
      <c r="B911" t="str">
        <f>"601211"</f>
        <v>601211</v>
      </c>
      <c r="C911" t="s">
        <v>2069</v>
      </c>
      <c r="D911" t="s">
        <v>80</v>
      </c>
      <c r="P911">
        <v>3571</v>
      </c>
      <c r="Q911" t="s">
        <v>2070</v>
      </c>
    </row>
    <row r="912" spans="1:17" x14ac:dyDescent="0.3">
      <c r="A912" t="s">
        <v>17</v>
      </c>
      <c r="B912" t="str">
        <f>"601212"</f>
        <v>601212</v>
      </c>
      <c r="C912" t="s">
        <v>2071</v>
      </c>
      <c r="D912" t="s">
        <v>2072</v>
      </c>
      <c r="F912">
        <v>87.173000000000002</v>
      </c>
      <c r="G912">
        <v>80.989999999999995</v>
      </c>
      <c r="H912">
        <v>96.272999999999996</v>
      </c>
      <c r="I912">
        <v>108.29810000000001</v>
      </c>
      <c r="J912">
        <v>68.003900000000002</v>
      </c>
      <c r="K912">
        <v>59.7532</v>
      </c>
      <c r="L912">
        <v>36.662799999999997</v>
      </c>
      <c r="P912">
        <v>185</v>
      </c>
      <c r="Q912" t="s">
        <v>2073</v>
      </c>
    </row>
    <row r="913" spans="1:17" x14ac:dyDescent="0.3">
      <c r="A913" t="s">
        <v>17</v>
      </c>
      <c r="B913" t="str">
        <f>"601216"</f>
        <v>601216</v>
      </c>
      <c r="C913" t="s">
        <v>2074</v>
      </c>
      <c r="D913" t="s">
        <v>175</v>
      </c>
      <c r="F913">
        <v>27.3779</v>
      </c>
      <c r="G913">
        <v>28.062100000000001</v>
      </c>
      <c r="H913">
        <v>58.0396</v>
      </c>
      <c r="I913">
        <v>43.553100000000001</v>
      </c>
      <c r="J913">
        <v>45.23</v>
      </c>
      <c r="K913">
        <v>39.721699999999998</v>
      </c>
      <c r="L913">
        <v>36.894199999999998</v>
      </c>
      <c r="M913">
        <v>47.419699999999999</v>
      </c>
      <c r="N913">
        <v>45.533999999999999</v>
      </c>
      <c r="O913">
        <v>49.553199999999997</v>
      </c>
      <c r="P913">
        <v>958</v>
      </c>
      <c r="Q913" t="s">
        <v>2075</v>
      </c>
    </row>
    <row r="914" spans="1:17" x14ac:dyDescent="0.3">
      <c r="A914" t="s">
        <v>17</v>
      </c>
      <c r="B914" t="str">
        <f>"601218"</f>
        <v>601218</v>
      </c>
      <c r="C914" t="s">
        <v>2076</v>
      </c>
      <c r="D914" t="s">
        <v>950</v>
      </c>
      <c r="F914">
        <v>129.83260000000001</v>
      </c>
      <c r="G914">
        <v>149.9402</v>
      </c>
      <c r="H914">
        <v>211.61320000000001</v>
      </c>
      <c r="I914">
        <v>157.53739999999999</v>
      </c>
      <c r="J914">
        <v>191.8014</v>
      </c>
      <c r="K914">
        <v>165.25319999999999</v>
      </c>
      <c r="L914">
        <v>139.0505</v>
      </c>
      <c r="M914">
        <v>144.1737</v>
      </c>
      <c r="N914">
        <v>169.82560000000001</v>
      </c>
      <c r="O914">
        <v>181.00960000000001</v>
      </c>
      <c r="P914">
        <v>146</v>
      </c>
      <c r="Q914" t="s">
        <v>2077</v>
      </c>
    </row>
    <row r="915" spans="1:17" x14ac:dyDescent="0.3">
      <c r="A915" t="s">
        <v>17</v>
      </c>
      <c r="B915" t="str">
        <f>"601222"</f>
        <v>601222</v>
      </c>
      <c r="C915" t="s">
        <v>2078</v>
      </c>
      <c r="D915" t="s">
        <v>86</v>
      </c>
      <c r="F915">
        <v>89.673000000000002</v>
      </c>
      <c r="G915">
        <v>93.107500000000002</v>
      </c>
      <c r="H915">
        <v>177.07599999999999</v>
      </c>
      <c r="I915">
        <v>116.8635</v>
      </c>
      <c r="J915">
        <v>92.772099999999995</v>
      </c>
      <c r="K915">
        <v>101.9306</v>
      </c>
      <c r="L915">
        <v>126.4481</v>
      </c>
      <c r="M915">
        <v>161.9521</v>
      </c>
      <c r="N915">
        <v>214.45509999999999</v>
      </c>
      <c r="O915">
        <v>217.45570000000001</v>
      </c>
      <c r="P915">
        <v>556</v>
      </c>
      <c r="Q915" t="s">
        <v>2079</v>
      </c>
    </row>
    <row r="916" spans="1:17" x14ac:dyDescent="0.3">
      <c r="A916" t="s">
        <v>17</v>
      </c>
      <c r="B916" t="str">
        <f>"601225"</f>
        <v>601225</v>
      </c>
      <c r="C916" t="s">
        <v>2080</v>
      </c>
      <c r="D916" t="s">
        <v>292</v>
      </c>
      <c r="F916">
        <v>20.384399999999999</v>
      </c>
      <c r="G916">
        <v>17.994199999999999</v>
      </c>
      <c r="H916">
        <v>13.905900000000001</v>
      </c>
      <c r="I916">
        <v>16.930599999999998</v>
      </c>
      <c r="J916">
        <v>19.174700000000001</v>
      </c>
      <c r="K916">
        <v>36.4407</v>
      </c>
      <c r="L916">
        <v>30.474299999999999</v>
      </c>
      <c r="M916">
        <v>30.853100000000001</v>
      </c>
      <c r="N916">
        <v>18.057099999999998</v>
      </c>
      <c r="P916">
        <v>2634</v>
      </c>
      <c r="Q916" t="s">
        <v>2081</v>
      </c>
    </row>
    <row r="917" spans="1:17" x14ac:dyDescent="0.3">
      <c r="A917" t="s">
        <v>17</v>
      </c>
      <c r="B917" t="str">
        <f>"601226"</f>
        <v>601226</v>
      </c>
      <c r="C917" t="s">
        <v>2082</v>
      </c>
      <c r="D917" t="s">
        <v>1986</v>
      </c>
      <c r="F917">
        <v>74.757599999999996</v>
      </c>
      <c r="G917">
        <v>102.9084</v>
      </c>
      <c r="H917">
        <v>164.7663</v>
      </c>
      <c r="I917">
        <v>192.35820000000001</v>
      </c>
      <c r="J917">
        <v>278.32709999999997</v>
      </c>
      <c r="K917">
        <v>360.23599999999999</v>
      </c>
      <c r="L917">
        <v>369.02600000000001</v>
      </c>
      <c r="M917">
        <v>234.47829999999999</v>
      </c>
      <c r="N917">
        <v>81.970299999999995</v>
      </c>
      <c r="P917">
        <v>114</v>
      </c>
      <c r="Q917" t="s">
        <v>2083</v>
      </c>
    </row>
    <row r="918" spans="1:17" x14ac:dyDescent="0.3">
      <c r="A918" t="s">
        <v>17</v>
      </c>
      <c r="B918" t="str">
        <f>"601228"</f>
        <v>601228</v>
      </c>
      <c r="C918" t="s">
        <v>2084</v>
      </c>
      <c r="D918" t="s">
        <v>51</v>
      </c>
      <c r="F918">
        <v>27.965499999999999</v>
      </c>
      <c r="G918">
        <v>37.415199999999999</v>
      </c>
      <c r="H918">
        <v>36.3934</v>
      </c>
      <c r="I918">
        <v>20.956700000000001</v>
      </c>
      <c r="J918">
        <v>10.9528</v>
      </c>
      <c r="K918">
        <v>2.8549000000000002</v>
      </c>
      <c r="P918">
        <v>189</v>
      </c>
      <c r="Q918" t="s">
        <v>2085</v>
      </c>
    </row>
    <row r="919" spans="1:17" x14ac:dyDescent="0.3">
      <c r="A919" t="s">
        <v>17</v>
      </c>
      <c r="B919" t="str">
        <f>"601229"</f>
        <v>601229</v>
      </c>
      <c r="C919" t="s">
        <v>2086</v>
      </c>
      <c r="D919" t="s">
        <v>1838</v>
      </c>
      <c r="P919">
        <v>1546</v>
      </c>
      <c r="Q919" t="s">
        <v>2087</v>
      </c>
    </row>
    <row r="920" spans="1:17" x14ac:dyDescent="0.3">
      <c r="A920" t="s">
        <v>17</v>
      </c>
      <c r="B920" t="str">
        <f>"601231"</f>
        <v>601231</v>
      </c>
      <c r="C920" t="s">
        <v>2088</v>
      </c>
      <c r="D920" t="s">
        <v>313</v>
      </c>
      <c r="F920">
        <v>94.435699999999997</v>
      </c>
      <c r="G920">
        <v>78.479299999999995</v>
      </c>
      <c r="H920">
        <v>75.748699999999999</v>
      </c>
      <c r="I920">
        <v>74.600200000000001</v>
      </c>
      <c r="J920">
        <v>66.892300000000006</v>
      </c>
      <c r="K920">
        <v>69.740300000000005</v>
      </c>
      <c r="L920">
        <v>60.421100000000003</v>
      </c>
      <c r="M920">
        <v>64.083100000000002</v>
      </c>
      <c r="N920">
        <v>70.968999999999994</v>
      </c>
      <c r="O920">
        <v>72.119299999999996</v>
      </c>
      <c r="P920">
        <v>735</v>
      </c>
      <c r="Q920" t="s">
        <v>2089</v>
      </c>
    </row>
    <row r="921" spans="1:17" x14ac:dyDescent="0.3">
      <c r="A921" t="s">
        <v>17</v>
      </c>
      <c r="B921" t="str">
        <f>"601233"</f>
        <v>601233</v>
      </c>
      <c r="C921" t="s">
        <v>2090</v>
      </c>
      <c r="D921" t="s">
        <v>1615</v>
      </c>
      <c r="F921">
        <v>30.008900000000001</v>
      </c>
      <c r="G921">
        <v>37.916499999999999</v>
      </c>
      <c r="H921">
        <v>37.371899999999997</v>
      </c>
      <c r="I921">
        <v>52.244599999999998</v>
      </c>
      <c r="J921">
        <v>39.5777</v>
      </c>
      <c r="K921">
        <v>47.141300000000001</v>
      </c>
      <c r="L921">
        <v>49.185000000000002</v>
      </c>
      <c r="M921">
        <v>45.898800000000001</v>
      </c>
      <c r="N921">
        <v>46.938499999999998</v>
      </c>
      <c r="O921">
        <v>41.453499999999998</v>
      </c>
      <c r="P921">
        <v>807</v>
      </c>
      <c r="Q921" t="s">
        <v>2091</v>
      </c>
    </row>
    <row r="922" spans="1:17" x14ac:dyDescent="0.3">
      <c r="A922" t="s">
        <v>17</v>
      </c>
      <c r="B922" t="str">
        <f>"601236"</f>
        <v>601236</v>
      </c>
      <c r="C922" t="s">
        <v>2092</v>
      </c>
      <c r="D922" t="s">
        <v>80</v>
      </c>
      <c r="P922">
        <v>879</v>
      </c>
      <c r="Q922" t="s">
        <v>2093</v>
      </c>
    </row>
    <row r="923" spans="1:17" x14ac:dyDescent="0.3">
      <c r="A923" t="s">
        <v>17</v>
      </c>
      <c r="B923" t="str">
        <f>"601238"</f>
        <v>601238</v>
      </c>
      <c r="C923" t="s">
        <v>2094</v>
      </c>
      <c r="D923" t="s">
        <v>247</v>
      </c>
      <c r="F923">
        <v>45.3461</v>
      </c>
      <c r="G923">
        <v>59.419800000000002</v>
      </c>
      <c r="H923">
        <v>57.398200000000003</v>
      </c>
      <c r="I923">
        <v>47.577500000000001</v>
      </c>
      <c r="J923">
        <v>24.490500000000001</v>
      </c>
      <c r="K923">
        <v>30.7775</v>
      </c>
      <c r="L923">
        <v>53.353000000000002</v>
      </c>
      <c r="M923">
        <v>58.900599999999997</v>
      </c>
      <c r="N923">
        <v>53.332900000000002</v>
      </c>
      <c r="O923">
        <v>71.4298</v>
      </c>
      <c r="P923">
        <v>1300</v>
      </c>
      <c r="Q923" t="s">
        <v>2095</v>
      </c>
    </row>
    <row r="924" spans="1:17" x14ac:dyDescent="0.3">
      <c r="A924" t="s">
        <v>17</v>
      </c>
      <c r="B924" t="str">
        <f>"601258"</f>
        <v>601258</v>
      </c>
      <c r="C924" t="s">
        <v>2096</v>
      </c>
      <c r="D924" t="s">
        <v>672</v>
      </c>
      <c r="F924">
        <v>54.4983</v>
      </c>
      <c r="G924">
        <v>61.949199999999998</v>
      </c>
      <c r="H924">
        <v>78.763000000000005</v>
      </c>
      <c r="I924">
        <v>74.075999999999993</v>
      </c>
      <c r="J924">
        <v>80.349299999999999</v>
      </c>
      <c r="K924">
        <v>89.983599999999996</v>
      </c>
      <c r="L924">
        <v>88.232100000000003</v>
      </c>
      <c r="M924">
        <v>94.880899999999997</v>
      </c>
      <c r="N924">
        <v>97.355800000000002</v>
      </c>
      <c r="O924">
        <v>98.234700000000004</v>
      </c>
      <c r="P924">
        <v>133</v>
      </c>
      <c r="Q924" t="s">
        <v>2097</v>
      </c>
    </row>
    <row r="925" spans="1:17" x14ac:dyDescent="0.3">
      <c r="A925" t="s">
        <v>17</v>
      </c>
      <c r="B925" t="str">
        <f>"601268"</f>
        <v>601268</v>
      </c>
      <c r="C925" t="s">
        <v>2098</v>
      </c>
      <c r="K925">
        <v>290.55279999999999</v>
      </c>
      <c r="L925">
        <v>453.99869999999999</v>
      </c>
      <c r="M925">
        <v>504.46210000000002</v>
      </c>
      <c r="N925">
        <v>417.86900000000003</v>
      </c>
      <c r="O925">
        <v>663.78620000000001</v>
      </c>
      <c r="P925">
        <v>2</v>
      </c>
      <c r="Q925" t="s">
        <v>2099</v>
      </c>
    </row>
    <row r="926" spans="1:17" x14ac:dyDescent="0.3">
      <c r="A926" t="s">
        <v>17</v>
      </c>
      <c r="B926" t="str">
        <f>"601279"</f>
        <v>601279</v>
      </c>
      <c r="C926" t="s">
        <v>2100</v>
      </c>
      <c r="D926" t="s">
        <v>985</v>
      </c>
      <c r="F926">
        <v>139.93790000000001</v>
      </c>
      <c r="P926">
        <v>43</v>
      </c>
      <c r="Q926" t="s">
        <v>2101</v>
      </c>
    </row>
    <row r="927" spans="1:17" x14ac:dyDescent="0.3">
      <c r="A927" t="s">
        <v>17</v>
      </c>
      <c r="B927" t="str">
        <f>"601288"</f>
        <v>601288</v>
      </c>
      <c r="C927" t="s">
        <v>2102</v>
      </c>
      <c r="D927" t="s">
        <v>2103</v>
      </c>
      <c r="P927">
        <v>9498</v>
      </c>
      <c r="Q927" t="s">
        <v>2104</v>
      </c>
    </row>
    <row r="928" spans="1:17" x14ac:dyDescent="0.3">
      <c r="A928" t="s">
        <v>17</v>
      </c>
      <c r="B928" t="str">
        <f>"601298"</f>
        <v>601298</v>
      </c>
      <c r="C928" t="s">
        <v>2105</v>
      </c>
      <c r="D928" t="s">
        <v>51</v>
      </c>
      <c r="F928">
        <v>7.2182000000000004</v>
      </c>
      <c r="G928">
        <v>14.0299</v>
      </c>
      <c r="H928">
        <v>11.204800000000001</v>
      </c>
      <c r="P928">
        <v>431</v>
      </c>
      <c r="Q928" t="s">
        <v>2106</v>
      </c>
    </row>
    <row r="929" spans="1:17" x14ac:dyDescent="0.3">
      <c r="A929" t="s">
        <v>17</v>
      </c>
      <c r="B929" t="str">
        <f>"601299"</f>
        <v>601299</v>
      </c>
      <c r="C929" t="s">
        <v>2107</v>
      </c>
      <c r="M929">
        <v>185.60149999999999</v>
      </c>
      <c r="N929">
        <v>187.55969999999999</v>
      </c>
      <c r="O929">
        <v>197.2149</v>
      </c>
      <c r="P929">
        <v>12</v>
      </c>
      <c r="Q929" t="s">
        <v>2108</v>
      </c>
    </row>
    <row r="930" spans="1:17" x14ac:dyDescent="0.3">
      <c r="A930" t="s">
        <v>17</v>
      </c>
      <c r="B930" t="str">
        <f>"601311"</f>
        <v>601311</v>
      </c>
      <c r="C930" t="s">
        <v>2109</v>
      </c>
      <c r="D930" t="s">
        <v>555</v>
      </c>
      <c r="F930">
        <v>86.806200000000004</v>
      </c>
      <c r="G930">
        <v>109.78189999999999</v>
      </c>
      <c r="H930">
        <v>110.8676</v>
      </c>
      <c r="I930">
        <v>114.74079999999999</v>
      </c>
      <c r="J930">
        <v>108.0868</v>
      </c>
      <c r="K930">
        <v>86.474199999999996</v>
      </c>
      <c r="L930">
        <v>91.011799999999994</v>
      </c>
      <c r="M930">
        <v>90.581800000000001</v>
      </c>
      <c r="N930">
        <v>95.114999999999995</v>
      </c>
      <c r="O930">
        <v>100.8338</v>
      </c>
      <c r="P930">
        <v>339</v>
      </c>
      <c r="Q930" t="s">
        <v>2110</v>
      </c>
    </row>
    <row r="931" spans="1:17" x14ac:dyDescent="0.3">
      <c r="A931" t="s">
        <v>17</v>
      </c>
      <c r="B931" t="str">
        <f>"601313"</f>
        <v>601313</v>
      </c>
      <c r="C931" t="s">
        <v>2111</v>
      </c>
      <c r="I931">
        <v>15.008599999999999</v>
      </c>
      <c r="J931">
        <v>82.403899999999993</v>
      </c>
      <c r="K931">
        <v>85.223399999999998</v>
      </c>
      <c r="L931">
        <v>80.439400000000006</v>
      </c>
      <c r="M931">
        <v>89.767600000000002</v>
      </c>
      <c r="N931">
        <v>90.819699999999997</v>
      </c>
      <c r="O931">
        <v>85.848299999999995</v>
      </c>
      <c r="P931">
        <v>53</v>
      </c>
      <c r="Q931" t="s">
        <v>2112</v>
      </c>
    </row>
    <row r="932" spans="1:17" x14ac:dyDescent="0.3">
      <c r="A932" t="s">
        <v>17</v>
      </c>
      <c r="B932" t="str">
        <f>"601318"</f>
        <v>601318</v>
      </c>
      <c r="C932" t="s">
        <v>2113</v>
      </c>
      <c r="D932" t="s">
        <v>660</v>
      </c>
      <c r="P932">
        <v>27845</v>
      </c>
      <c r="Q932" t="s">
        <v>2114</v>
      </c>
    </row>
    <row r="933" spans="1:17" x14ac:dyDescent="0.3">
      <c r="A933" t="s">
        <v>17</v>
      </c>
      <c r="B933" t="str">
        <f>"601319"</f>
        <v>601319</v>
      </c>
      <c r="C933" t="s">
        <v>2115</v>
      </c>
      <c r="D933" t="s">
        <v>660</v>
      </c>
      <c r="P933">
        <v>901</v>
      </c>
      <c r="Q933" t="s">
        <v>2116</v>
      </c>
    </row>
    <row r="934" spans="1:17" x14ac:dyDescent="0.3">
      <c r="A934" t="s">
        <v>17</v>
      </c>
      <c r="B934" t="str">
        <f>"601326"</f>
        <v>601326</v>
      </c>
      <c r="C934" t="s">
        <v>2117</v>
      </c>
      <c r="D934" t="s">
        <v>51</v>
      </c>
      <c r="F934">
        <v>21.263999999999999</v>
      </c>
      <c r="G934">
        <v>25.1249</v>
      </c>
      <c r="H934">
        <v>25.4068</v>
      </c>
      <c r="I934">
        <v>24.879799999999999</v>
      </c>
      <c r="J934">
        <v>24.0289</v>
      </c>
      <c r="P934">
        <v>127</v>
      </c>
      <c r="Q934" t="s">
        <v>2118</v>
      </c>
    </row>
    <row r="935" spans="1:17" x14ac:dyDescent="0.3">
      <c r="A935" t="s">
        <v>17</v>
      </c>
      <c r="B935" t="str">
        <f>"601328"</f>
        <v>601328</v>
      </c>
      <c r="C935" t="s">
        <v>2119</v>
      </c>
      <c r="D935" t="s">
        <v>2103</v>
      </c>
      <c r="P935">
        <v>4577</v>
      </c>
      <c r="Q935" t="s">
        <v>2120</v>
      </c>
    </row>
    <row r="936" spans="1:17" x14ac:dyDescent="0.3">
      <c r="A936" t="s">
        <v>17</v>
      </c>
      <c r="B936" t="str">
        <f>"601330"</f>
        <v>601330</v>
      </c>
      <c r="C936" t="s">
        <v>2121</v>
      </c>
      <c r="D936" t="s">
        <v>499</v>
      </c>
      <c r="F936">
        <v>17.844000000000001</v>
      </c>
      <c r="G936">
        <v>16.831099999999999</v>
      </c>
      <c r="H936">
        <v>14.743600000000001</v>
      </c>
      <c r="I936">
        <v>16.797799999999999</v>
      </c>
      <c r="P936">
        <v>234</v>
      </c>
      <c r="Q936" t="s">
        <v>2122</v>
      </c>
    </row>
    <row r="937" spans="1:17" x14ac:dyDescent="0.3">
      <c r="A937" t="s">
        <v>17</v>
      </c>
      <c r="B937" t="str">
        <f>"601333"</f>
        <v>601333</v>
      </c>
      <c r="C937" t="s">
        <v>2123</v>
      </c>
      <c r="D937" t="s">
        <v>301</v>
      </c>
      <c r="F937">
        <v>7.1078999999999999</v>
      </c>
      <c r="G937">
        <v>7.2172000000000001</v>
      </c>
      <c r="H937">
        <v>7.4370000000000003</v>
      </c>
      <c r="I937">
        <v>9.1288</v>
      </c>
      <c r="J937">
        <v>10.6808</v>
      </c>
      <c r="K937">
        <v>9.8538999999999994</v>
      </c>
      <c r="L937">
        <v>14.003399999999999</v>
      </c>
      <c r="M937">
        <v>15.946300000000001</v>
      </c>
      <c r="N937">
        <v>16.5959</v>
      </c>
      <c r="O937">
        <v>14.193300000000001</v>
      </c>
      <c r="P937">
        <v>318</v>
      </c>
      <c r="Q937" t="s">
        <v>2124</v>
      </c>
    </row>
    <row r="938" spans="1:17" x14ac:dyDescent="0.3">
      <c r="A938" t="s">
        <v>17</v>
      </c>
      <c r="B938" t="str">
        <f>"601336"</f>
        <v>601336</v>
      </c>
      <c r="C938" t="s">
        <v>2125</v>
      </c>
      <c r="D938" t="s">
        <v>660</v>
      </c>
      <c r="P938">
        <v>1856</v>
      </c>
      <c r="Q938" t="s">
        <v>2126</v>
      </c>
    </row>
    <row r="939" spans="1:17" x14ac:dyDescent="0.3">
      <c r="A939" t="s">
        <v>17</v>
      </c>
      <c r="B939" t="str">
        <f>"601339"</f>
        <v>601339</v>
      </c>
      <c r="C939" t="s">
        <v>2127</v>
      </c>
      <c r="D939" t="s">
        <v>1009</v>
      </c>
      <c r="F939">
        <v>299.11009999999999</v>
      </c>
      <c r="G939">
        <v>383.3032</v>
      </c>
      <c r="H939">
        <v>438.6866</v>
      </c>
      <c r="I939">
        <v>325.83629999999999</v>
      </c>
      <c r="J939">
        <v>261.03640000000001</v>
      </c>
      <c r="K939">
        <v>333.12540000000001</v>
      </c>
      <c r="L939">
        <v>340.3107</v>
      </c>
      <c r="M939">
        <v>290.8152</v>
      </c>
      <c r="N939">
        <v>247.18129999999999</v>
      </c>
      <c r="O939">
        <v>286.21879999999999</v>
      </c>
      <c r="P939">
        <v>207</v>
      </c>
      <c r="Q939" t="s">
        <v>2128</v>
      </c>
    </row>
    <row r="940" spans="1:17" x14ac:dyDescent="0.3">
      <c r="A940" t="s">
        <v>17</v>
      </c>
      <c r="B940" t="str">
        <f>"601360"</f>
        <v>601360</v>
      </c>
      <c r="C940" t="s">
        <v>2129</v>
      </c>
      <c r="D940" t="s">
        <v>1189</v>
      </c>
      <c r="F940">
        <v>40.993400000000001</v>
      </c>
      <c r="G940">
        <v>43.996099999999998</v>
      </c>
      <c r="H940">
        <v>14.4198</v>
      </c>
      <c r="I940">
        <v>20.866599999999998</v>
      </c>
      <c r="J940">
        <v>82.403899999999993</v>
      </c>
      <c r="K940">
        <v>85.223399999999998</v>
      </c>
      <c r="L940">
        <v>80.439400000000006</v>
      </c>
      <c r="M940">
        <v>89.767600000000002</v>
      </c>
      <c r="N940">
        <v>90.819699999999997</v>
      </c>
      <c r="O940">
        <v>85.848299999999995</v>
      </c>
      <c r="P940">
        <v>1010</v>
      </c>
      <c r="Q940" t="s">
        <v>2130</v>
      </c>
    </row>
    <row r="941" spans="1:17" x14ac:dyDescent="0.3">
      <c r="A941" t="s">
        <v>17</v>
      </c>
      <c r="B941" t="str">
        <f>"601366"</f>
        <v>601366</v>
      </c>
      <c r="C941" t="s">
        <v>2131</v>
      </c>
      <c r="D941" t="s">
        <v>1404</v>
      </c>
      <c r="F941">
        <v>126.3582</v>
      </c>
      <c r="G941">
        <v>145.3152</v>
      </c>
      <c r="H941">
        <v>97.765799999999999</v>
      </c>
      <c r="I941">
        <v>83.316699999999997</v>
      </c>
      <c r="J941">
        <v>77.221000000000004</v>
      </c>
      <c r="P941">
        <v>132</v>
      </c>
      <c r="Q941" t="s">
        <v>2132</v>
      </c>
    </row>
    <row r="942" spans="1:17" x14ac:dyDescent="0.3">
      <c r="A942" t="s">
        <v>17</v>
      </c>
      <c r="B942" t="str">
        <f>"601368"</f>
        <v>601368</v>
      </c>
      <c r="C942" t="s">
        <v>2133</v>
      </c>
      <c r="D942" t="s">
        <v>33</v>
      </c>
      <c r="F942">
        <v>29.178599999999999</v>
      </c>
      <c r="G942">
        <v>43.102200000000003</v>
      </c>
      <c r="H942">
        <v>34.831899999999997</v>
      </c>
      <c r="I942">
        <v>28.7196</v>
      </c>
      <c r="J942">
        <v>26.7197</v>
      </c>
      <c r="K942">
        <v>23.950199999999999</v>
      </c>
      <c r="L942">
        <v>33.4</v>
      </c>
      <c r="M942">
        <v>22.507999999999999</v>
      </c>
      <c r="P942">
        <v>109</v>
      </c>
      <c r="Q942" t="s">
        <v>2134</v>
      </c>
    </row>
    <row r="943" spans="1:17" x14ac:dyDescent="0.3">
      <c r="A943" t="s">
        <v>17</v>
      </c>
      <c r="B943" t="str">
        <f>"601369"</f>
        <v>601369</v>
      </c>
      <c r="C943" t="s">
        <v>2135</v>
      </c>
      <c r="D943" t="s">
        <v>560</v>
      </c>
      <c r="F943">
        <v>145.2141</v>
      </c>
      <c r="G943">
        <v>197.643</v>
      </c>
      <c r="H943">
        <v>207.97810000000001</v>
      </c>
      <c r="I943">
        <v>265.916</v>
      </c>
      <c r="J943">
        <v>252.7217</v>
      </c>
      <c r="K943">
        <v>296.0052</v>
      </c>
      <c r="L943">
        <v>246.87049999999999</v>
      </c>
      <c r="M943">
        <v>178.38220000000001</v>
      </c>
      <c r="N943">
        <v>157.29239999999999</v>
      </c>
      <c r="O943">
        <v>189.94810000000001</v>
      </c>
      <c r="P943">
        <v>217</v>
      </c>
      <c r="Q943" t="s">
        <v>2136</v>
      </c>
    </row>
    <row r="944" spans="1:17" x14ac:dyDescent="0.3">
      <c r="A944" t="s">
        <v>17</v>
      </c>
      <c r="B944" t="str">
        <f>"601375"</f>
        <v>601375</v>
      </c>
      <c r="C944" t="s">
        <v>2137</v>
      </c>
      <c r="D944" t="s">
        <v>80</v>
      </c>
      <c r="P944">
        <v>690</v>
      </c>
      <c r="Q944" t="s">
        <v>2138</v>
      </c>
    </row>
    <row r="945" spans="1:17" x14ac:dyDescent="0.3">
      <c r="A945" t="s">
        <v>17</v>
      </c>
      <c r="B945" t="str">
        <f>"601377"</f>
        <v>601377</v>
      </c>
      <c r="C945" t="s">
        <v>2139</v>
      </c>
      <c r="D945" t="s">
        <v>80</v>
      </c>
      <c r="P945">
        <v>1731</v>
      </c>
      <c r="Q945" t="s">
        <v>2140</v>
      </c>
    </row>
    <row r="946" spans="1:17" x14ac:dyDescent="0.3">
      <c r="A946" t="s">
        <v>17</v>
      </c>
      <c r="B946" t="str">
        <f>"601388"</f>
        <v>601388</v>
      </c>
      <c r="C946" t="s">
        <v>2141</v>
      </c>
      <c r="D946" t="s">
        <v>504</v>
      </c>
      <c r="F946">
        <v>121.6759</v>
      </c>
      <c r="G946">
        <v>129.57769999999999</v>
      </c>
      <c r="H946">
        <v>151.1694</v>
      </c>
      <c r="I946">
        <v>129.1028</v>
      </c>
      <c r="J946">
        <v>109.7662</v>
      </c>
      <c r="K946">
        <v>129.39330000000001</v>
      </c>
      <c r="L946">
        <v>124.8318</v>
      </c>
      <c r="M946">
        <v>124.3839</v>
      </c>
      <c r="N946">
        <v>124.9366</v>
      </c>
      <c r="O946">
        <v>106.97199999999999</v>
      </c>
      <c r="P946">
        <v>206</v>
      </c>
      <c r="Q946" t="s">
        <v>2142</v>
      </c>
    </row>
    <row r="947" spans="1:17" x14ac:dyDescent="0.3">
      <c r="A947" t="s">
        <v>17</v>
      </c>
      <c r="B947" t="str">
        <f>"601390"</f>
        <v>601390</v>
      </c>
      <c r="C947" t="s">
        <v>2143</v>
      </c>
      <c r="D947" t="s">
        <v>101</v>
      </c>
      <c r="F947">
        <v>107.6067</v>
      </c>
      <c r="G947">
        <v>119.66670000000001</v>
      </c>
      <c r="H947">
        <v>132.9736</v>
      </c>
      <c r="I947">
        <v>163.97900000000001</v>
      </c>
      <c r="J947">
        <v>198.8441</v>
      </c>
      <c r="K947">
        <v>220.0343</v>
      </c>
      <c r="L947">
        <v>231.91399999999999</v>
      </c>
      <c r="M947">
        <v>224.94399999999999</v>
      </c>
      <c r="N947">
        <v>222.3759</v>
      </c>
      <c r="O947">
        <v>210.41050000000001</v>
      </c>
      <c r="P947">
        <v>1323</v>
      </c>
      <c r="Q947" t="s">
        <v>2144</v>
      </c>
    </row>
    <row r="948" spans="1:17" x14ac:dyDescent="0.3">
      <c r="A948" t="s">
        <v>17</v>
      </c>
      <c r="B948" t="str">
        <f>"601398"</f>
        <v>601398</v>
      </c>
      <c r="C948" t="s">
        <v>2145</v>
      </c>
      <c r="D948" t="s">
        <v>2103</v>
      </c>
      <c r="P948">
        <v>20387</v>
      </c>
      <c r="Q948" t="s">
        <v>2146</v>
      </c>
    </row>
    <row r="949" spans="1:17" x14ac:dyDescent="0.3">
      <c r="A949" t="s">
        <v>17</v>
      </c>
      <c r="B949" t="str">
        <f>"601399"</f>
        <v>601399</v>
      </c>
      <c r="C949" t="s">
        <v>2147</v>
      </c>
      <c r="D949" t="s">
        <v>395</v>
      </c>
      <c r="F949">
        <v>220.64760000000001</v>
      </c>
      <c r="G949">
        <v>276.45119999999997</v>
      </c>
      <c r="H949">
        <v>95.122100000000003</v>
      </c>
      <c r="N949">
        <v>417.86900000000003</v>
      </c>
      <c r="O949">
        <v>663.78620000000001</v>
      </c>
      <c r="P949">
        <v>53</v>
      </c>
      <c r="Q949" t="s">
        <v>2148</v>
      </c>
    </row>
    <row r="950" spans="1:17" x14ac:dyDescent="0.3">
      <c r="A950" t="s">
        <v>17</v>
      </c>
      <c r="B950" t="str">
        <f>"601456"</f>
        <v>601456</v>
      </c>
      <c r="C950" t="s">
        <v>2149</v>
      </c>
      <c r="D950" t="s">
        <v>80</v>
      </c>
      <c r="P950">
        <v>310</v>
      </c>
      <c r="Q950" t="s">
        <v>2150</v>
      </c>
    </row>
    <row r="951" spans="1:17" x14ac:dyDescent="0.3">
      <c r="A951" t="s">
        <v>17</v>
      </c>
      <c r="B951" t="str">
        <f>"601500"</f>
        <v>601500</v>
      </c>
      <c r="C951" t="s">
        <v>2151</v>
      </c>
      <c r="D951" t="s">
        <v>422</v>
      </c>
      <c r="F951">
        <v>185.2063</v>
      </c>
      <c r="G951">
        <v>204.702</v>
      </c>
      <c r="H951">
        <v>160.9573</v>
      </c>
      <c r="I951">
        <v>128.1362</v>
      </c>
      <c r="J951">
        <v>133.52680000000001</v>
      </c>
      <c r="K951">
        <v>157.85830000000001</v>
      </c>
      <c r="L951">
        <v>80.585899999999995</v>
      </c>
      <c r="P951">
        <v>85</v>
      </c>
      <c r="Q951" t="s">
        <v>2152</v>
      </c>
    </row>
    <row r="952" spans="1:17" x14ac:dyDescent="0.3">
      <c r="A952" t="s">
        <v>17</v>
      </c>
      <c r="B952" t="str">
        <f>"601512"</f>
        <v>601512</v>
      </c>
      <c r="C952" t="s">
        <v>2153</v>
      </c>
      <c r="D952" t="s">
        <v>194</v>
      </c>
      <c r="F952">
        <v>3357.4074000000001</v>
      </c>
      <c r="G952">
        <v>3062.5738999999999</v>
      </c>
      <c r="H952">
        <v>984.1277</v>
      </c>
      <c r="P952">
        <v>103</v>
      </c>
      <c r="Q952" t="s">
        <v>2154</v>
      </c>
    </row>
    <row r="953" spans="1:17" x14ac:dyDescent="0.3">
      <c r="A953" t="s">
        <v>17</v>
      </c>
      <c r="B953" t="str">
        <f>"601515"</f>
        <v>601515</v>
      </c>
      <c r="C953" t="s">
        <v>2155</v>
      </c>
      <c r="D953" t="s">
        <v>2156</v>
      </c>
      <c r="F953">
        <v>157.81809999999999</v>
      </c>
      <c r="G953">
        <v>195.63810000000001</v>
      </c>
      <c r="H953">
        <v>170.97190000000001</v>
      </c>
      <c r="I953">
        <v>220.3004</v>
      </c>
      <c r="J953">
        <v>251.2542</v>
      </c>
      <c r="K953">
        <v>284.7756</v>
      </c>
      <c r="L953">
        <v>305.55829999999997</v>
      </c>
      <c r="M953">
        <v>293.14499999999998</v>
      </c>
      <c r="N953">
        <v>226.93600000000001</v>
      </c>
      <c r="O953">
        <v>234.50380000000001</v>
      </c>
      <c r="P953">
        <v>28151</v>
      </c>
      <c r="Q953" t="s">
        <v>2157</v>
      </c>
    </row>
    <row r="954" spans="1:17" x14ac:dyDescent="0.3">
      <c r="A954" t="s">
        <v>17</v>
      </c>
      <c r="B954" t="str">
        <f>"601518"</f>
        <v>601518</v>
      </c>
      <c r="C954" t="s">
        <v>2158</v>
      </c>
      <c r="D954" t="s">
        <v>44</v>
      </c>
      <c r="F954">
        <v>268.81169999999997</v>
      </c>
      <c r="G954">
        <v>38.455399999999997</v>
      </c>
      <c r="H954">
        <v>1.7158</v>
      </c>
      <c r="I954">
        <v>2.3279999999999998</v>
      </c>
      <c r="J954">
        <v>1.1092</v>
      </c>
      <c r="K954">
        <v>1.7857000000000001</v>
      </c>
      <c r="L954">
        <v>2.2044000000000001</v>
      </c>
      <c r="M954">
        <v>1.8234999999999999</v>
      </c>
      <c r="N954">
        <v>0.37540000000000001</v>
      </c>
      <c r="O954">
        <v>2.1299999999999999E-2</v>
      </c>
      <c r="P954">
        <v>111</v>
      </c>
      <c r="Q954" t="s">
        <v>2159</v>
      </c>
    </row>
    <row r="955" spans="1:17" x14ac:dyDescent="0.3">
      <c r="A955" t="s">
        <v>17</v>
      </c>
      <c r="B955" t="str">
        <f>"601519"</f>
        <v>601519</v>
      </c>
      <c r="C955" t="s">
        <v>2160</v>
      </c>
      <c r="D955" t="s">
        <v>945</v>
      </c>
      <c r="F955">
        <v>0.33510000000000001</v>
      </c>
      <c r="G955">
        <v>0.34939999999999999</v>
      </c>
      <c r="H955">
        <v>0.63929999999999998</v>
      </c>
      <c r="I955">
        <v>0.64419999999999999</v>
      </c>
      <c r="J955">
        <v>0.49890000000000001</v>
      </c>
      <c r="K955">
        <v>0.70199999999999996</v>
      </c>
      <c r="L955">
        <v>0.52470000000000006</v>
      </c>
      <c r="M955">
        <v>0.97970000000000002</v>
      </c>
      <c r="N955">
        <v>1.1492</v>
      </c>
      <c r="O955">
        <v>0</v>
      </c>
      <c r="P955">
        <v>209</v>
      </c>
      <c r="Q955" t="s">
        <v>2161</v>
      </c>
    </row>
    <row r="956" spans="1:17" x14ac:dyDescent="0.3">
      <c r="A956" t="s">
        <v>17</v>
      </c>
      <c r="B956" t="str">
        <f>"601528"</f>
        <v>601528</v>
      </c>
      <c r="C956" t="s">
        <v>2162</v>
      </c>
      <c r="D956" t="s">
        <v>1827</v>
      </c>
      <c r="P956">
        <v>49</v>
      </c>
      <c r="Q956" t="s">
        <v>2163</v>
      </c>
    </row>
    <row r="957" spans="1:17" x14ac:dyDescent="0.3">
      <c r="A957" t="s">
        <v>17</v>
      </c>
      <c r="B957" t="str">
        <f>"601555"</f>
        <v>601555</v>
      </c>
      <c r="C957" t="s">
        <v>2164</v>
      </c>
      <c r="D957" t="s">
        <v>80</v>
      </c>
      <c r="P957">
        <v>937</v>
      </c>
      <c r="Q957" t="s">
        <v>2165</v>
      </c>
    </row>
    <row r="958" spans="1:17" x14ac:dyDescent="0.3">
      <c r="A958" t="s">
        <v>17</v>
      </c>
      <c r="B958" t="str">
        <f>"601558"</f>
        <v>601558</v>
      </c>
      <c r="C958" t="s">
        <v>2166</v>
      </c>
      <c r="H958">
        <v>3179.3899000000001</v>
      </c>
      <c r="I958">
        <v>1650.2707</v>
      </c>
      <c r="J958">
        <v>19461.0036</v>
      </c>
      <c r="K958">
        <v>3564.2928000000002</v>
      </c>
      <c r="L958">
        <v>3562.9481999999998</v>
      </c>
      <c r="M958">
        <v>952.8066</v>
      </c>
      <c r="N958">
        <v>1769.0641000000001</v>
      </c>
      <c r="O958">
        <v>943.35180000000003</v>
      </c>
      <c r="P958">
        <v>47</v>
      </c>
      <c r="Q958" t="s">
        <v>2167</v>
      </c>
    </row>
    <row r="959" spans="1:17" x14ac:dyDescent="0.3">
      <c r="A959" t="s">
        <v>17</v>
      </c>
      <c r="B959" t="str">
        <f>"601566"</f>
        <v>601566</v>
      </c>
      <c r="C959" t="s">
        <v>2168</v>
      </c>
      <c r="D959" t="s">
        <v>255</v>
      </c>
      <c r="F959">
        <v>356.7</v>
      </c>
      <c r="G959">
        <v>424.74560000000002</v>
      </c>
      <c r="H959">
        <v>355.3673</v>
      </c>
      <c r="I959">
        <v>341.60640000000001</v>
      </c>
      <c r="J959">
        <v>356.86090000000002</v>
      </c>
      <c r="K959">
        <v>360.41609999999997</v>
      </c>
      <c r="L959">
        <v>318.03809999999999</v>
      </c>
      <c r="M959">
        <v>348.84609999999998</v>
      </c>
      <c r="N959">
        <v>330.59820000000002</v>
      </c>
      <c r="O959">
        <v>357.60629999999998</v>
      </c>
      <c r="P959">
        <v>426</v>
      </c>
      <c r="Q959" t="s">
        <v>2169</v>
      </c>
    </row>
    <row r="960" spans="1:17" x14ac:dyDescent="0.3">
      <c r="A960" t="s">
        <v>17</v>
      </c>
      <c r="B960" t="str">
        <f>"601567"</f>
        <v>601567</v>
      </c>
      <c r="C960" t="s">
        <v>2170</v>
      </c>
      <c r="D960" t="s">
        <v>2171</v>
      </c>
      <c r="F960">
        <v>82.2864</v>
      </c>
      <c r="G960">
        <v>64.291600000000003</v>
      </c>
      <c r="H960">
        <v>64.013300000000001</v>
      </c>
      <c r="I960">
        <v>91.084800000000001</v>
      </c>
      <c r="J960">
        <v>107.0442</v>
      </c>
      <c r="K960">
        <v>112.93980000000001</v>
      </c>
      <c r="L960">
        <v>120.9354</v>
      </c>
      <c r="M960">
        <v>131.691</v>
      </c>
      <c r="N960">
        <v>124.7924</v>
      </c>
      <c r="O960">
        <v>154.67590000000001</v>
      </c>
      <c r="P960">
        <v>325</v>
      </c>
      <c r="Q960" t="s">
        <v>2172</v>
      </c>
    </row>
    <row r="961" spans="1:17" x14ac:dyDescent="0.3">
      <c r="A961" t="s">
        <v>17</v>
      </c>
      <c r="B961" t="str">
        <f>"601568"</f>
        <v>601568</v>
      </c>
      <c r="C961" t="s">
        <v>2173</v>
      </c>
      <c r="D961" t="s">
        <v>175</v>
      </c>
      <c r="F961">
        <v>24.591000000000001</v>
      </c>
      <c r="G961">
        <v>31.838200000000001</v>
      </c>
      <c r="P961">
        <v>121</v>
      </c>
      <c r="Q961" t="s">
        <v>2174</v>
      </c>
    </row>
    <row r="962" spans="1:17" x14ac:dyDescent="0.3">
      <c r="A962" t="s">
        <v>17</v>
      </c>
      <c r="B962" t="str">
        <f>"601577"</f>
        <v>601577</v>
      </c>
      <c r="C962" t="s">
        <v>2175</v>
      </c>
      <c r="D962" t="s">
        <v>1838</v>
      </c>
      <c r="P962">
        <v>927</v>
      </c>
      <c r="Q962" t="s">
        <v>2176</v>
      </c>
    </row>
    <row r="963" spans="1:17" x14ac:dyDescent="0.3">
      <c r="A963" t="s">
        <v>17</v>
      </c>
      <c r="B963" t="str">
        <f>"601579"</f>
        <v>601579</v>
      </c>
      <c r="C963" t="s">
        <v>2177</v>
      </c>
      <c r="D963" t="s">
        <v>134</v>
      </c>
      <c r="F963">
        <v>956.2296</v>
      </c>
      <c r="G963">
        <v>1067.3634999999999</v>
      </c>
      <c r="H963">
        <v>911.28729999999996</v>
      </c>
      <c r="I963">
        <v>851.76769999999999</v>
      </c>
      <c r="J963">
        <v>843.67089999999996</v>
      </c>
      <c r="K963">
        <v>937.9751</v>
      </c>
      <c r="L963">
        <v>883.48019999999997</v>
      </c>
      <c r="M963">
        <v>832.00329999999997</v>
      </c>
      <c r="N963">
        <v>352.13560000000001</v>
      </c>
      <c r="P963">
        <v>186</v>
      </c>
      <c r="Q963" t="s">
        <v>2178</v>
      </c>
    </row>
    <row r="964" spans="1:17" x14ac:dyDescent="0.3">
      <c r="A964" t="s">
        <v>17</v>
      </c>
      <c r="B964" t="str">
        <f>"601588"</f>
        <v>601588</v>
      </c>
      <c r="C964" t="s">
        <v>2179</v>
      </c>
      <c r="D964" t="s">
        <v>104</v>
      </c>
      <c r="F964">
        <v>1373.5723</v>
      </c>
      <c r="G964">
        <v>7689.4305000000004</v>
      </c>
      <c r="H964">
        <v>3976.6435999999999</v>
      </c>
      <c r="I964">
        <v>2978.0120000000002</v>
      </c>
      <c r="J964">
        <v>2348.2235000000001</v>
      </c>
      <c r="K964">
        <v>2550.1359000000002</v>
      </c>
      <c r="L964">
        <v>3448.9391999999998</v>
      </c>
      <c r="M964">
        <v>4251.1419999999998</v>
      </c>
      <c r="N964">
        <v>2961.3627999999999</v>
      </c>
      <c r="O964">
        <v>2954.8539999999998</v>
      </c>
      <c r="P964">
        <v>536</v>
      </c>
      <c r="Q964" t="s">
        <v>2180</v>
      </c>
    </row>
    <row r="965" spans="1:17" x14ac:dyDescent="0.3">
      <c r="A965" t="s">
        <v>17</v>
      </c>
      <c r="B965" t="str">
        <f>"601595"</f>
        <v>601595</v>
      </c>
      <c r="C965" t="s">
        <v>2181</v>
      </c>
      <c r="D965" t="s">
        <v>113</v>
      </c>
      <c r="F965">
        <v>4.4580000000000002</v>
      </c>
      <c r="G965">
        <v>5.6756000000000002</v>
      </c>
      <c r="H965">
        <v>3.7170000000000001</v>
      </c>
      <c r="I965">
        <v>5.8970000000000002</v>
      </c>
      <c r="J965">
        <v>6.9634999999999998</v>
      </c>
      <c r="K965">
        <v>4.5172999999999996</v>
      </c>
      <c r="L965">
        <v>0.64759999999999995</v>
      </c>
      <c r="P965">
        <v>158</v>
      </c>
      <c r="Q965" t="s">
        <v>2182</v>
      </c>
    </row>
    <row r="966" spans="1:17" x14ac:dyDescent="0.3">
      <c r="A966" t="s">
        <v>17</v>
      </c>
      <c r="B966" t="str">
        <f>"601598"</f>
        <v>601598</v>
      </c>
      <c r="C966" t="s">
        <v>2183</v>
      </c>
      <c r="D966" t="s">
        <v>287</v>
      </c>
      <c r="F966">
        <v>0.27460000000000001</v>
      </c>
      <c r="G966">
        <v>0.63859999999999995</v>
      </c>
      <c r="H966">
        <v>1.3593</v>
      </c>
      <c r="I966">
        <v>2.2696999999999998</v>
      </c>
      <c r="J966">
        <v>0.63600000000000001</v>
      </c>
      <c r="P966">
        <v>316</v>
      </c>
      <c r="Q966" t="s">
        <v>2184</v>
      </c>
    </row>
    <row r="967" spans="1:17" x14ac:dyDescent="0.3">
      <c r="A967" t="s">
        <v>17</v>
      </c>
      <c r="B967" t="str">
        <f>"601599"</f>
        <v>601599</v>
      </c>
      <c r="C967" t="s">
        <v>2185</v>
      </c>
      <c r="D967" t="s">
        <v>366</v>
      </c>
      <c r="F967">
        <v>228.31710000000001</v>
      </c>
      <c r="G967">
        <v>380.55070000000001</v>
      </c>
      <c r="H967">
        <v>246.15100000000001</v>
      </c>
      <c r="I967">
        <v>238.084</v>
      </c>
      <c r="J967">
        <v>207.76490000000001</v>
      </c>
      <c r="K967">
        <v>156.28149999999999</v>
      </c>
      <c r="L967">
        <v>165.4768</v>
      </c>
      <c r="M967">
        <v>127.47029999999999</v>
      </c>
      <c r="N967">
        <v>139.78229999999999</v>
      </c>
      <c r="O967">
        <v>141.16130000000001</v>
      </c>
      <c r="P967">
        <v>60</v>
      </c>
      <c r="Q967" t="s">
        <v>2186</v>
      </c>
    </row>
    <row r="968" spans="1:17" x14ac:dyDescent="0.3">
      <c r="A968" t="s">
        <v>17</v>
      </c>
      <c r="B968" t="str">
        <f>"601600"</f>
        <v>601600</v>
      </c>
      <c r="C968" t="s">
        <v>2187</v>
      </c>
      <c r="D968" t="s">
        <v>504</v>
      </c>
      <c r="F968">
        <v>40.010100000000001</v>
      </c>
      <c r="G968">
        <v>57.436999999999998</v>
      </c>
      <c r="H968">
        <v>55.521000000000001</v>
      </c>
      <c r="I968">
        <v>67.398600000000002</v>
      </c>
      <c r="J968">
        <v>53.5563</v>
      </c>
      <c r="K968">
        <v>80.224000000000004</v>
      </c>
      <c r="L968">
        <v>91.629599999999996</v>
      </c>
      <c r="M968">
        <v>79.721900000000005</v>
      </c>
      <c r="N968">
        <v>72.302300000000002</v>
      </c>
      <c r="O968">
        <v>84.686000000000007</v>
      </c>
      <c r="P968">
        <v>744</v>
      </c>
      <c r="Q968" t="s">
        <v>2188</v>
      </c>
    </row>
    <row r="969" spans="1:17" x14ac:dyDescent="0.3">
      <c r="A969" t="s">
        <v>17</v>
      </c>
      <c r="B969" t="str">
        <f>"601601"</f>
        <v>601601</v>
      </c>
      <c r="C969" t="s">
        <v>2189</v>
      </c>
      <c r="D969" t="s">
        <v>660</v>
      </c>
      <c r="P969">
        <v>2648</v>
      </c>
      <c r="Q969" t="s">
        <v>2190</v>
      </c>
    </row>
    <row r="970" spans="1:17" x14ac:dyDescent="0.3">
      <c r="A970" t="s">
        <v>17</v>
      </c>
      <c r="B970" t="str">
        <f>"601606"</f>
        <v>601606</v>
      </c>
      <c r="C970" t="s">
        <v>2191</v>
      </c>
      <c r="D970" t="s">
        <v>428</v>
      </c>
      <c r="F970">
        <v>422.43090000000001</v>
      </c>
      <c r="G970">
        <v>389.92450000000002</v>
      </c>
      <c r="H970">
        <v>398.40019999999998</v>
      </c>
      <c r="I970">
        <v>258.17750000000001</v>
      </c>
      <c r="P970">
        <v>180</v>
      </c>
      <c r="Q970" t="s">
        <v>2192</v>
      </c>
    </row>
    <row r="971" spans="1:17" x14ac:dyDescent="0.3">
      <c r="A971" t="s">
        <v>17</v>
      </c>
      <c r="B971" t="str">
        <f>"601607"</f>
        <v>601607</v>
      </c>
      <c r="C971" t="s">
        <v>1714</v>
      </c>
      <c r="D971" t="s">
        <v>125</v>
      </c>
      <c r="F971">
        <v>62.339399999999998</v>
      </c>
      <c r="G971">
        <v>72.672300000000007</v>
      </c>
      <c r="H971">
        <v>73.310699999999997</v>
      </c>
      <c r="I971">
        <v>72.178100000000001</v>
      </c>
      <c r="J971">
        <v>68.113900000000001</v>
      </c>
      <c r="K971">
        <v>67.885099999999994</v>
      </c>
      <c r="L971">
        <v>69.767099999999999</v>
      </c>
      <c r="M971">
        <v>69.230199999999996</v>
      </c>
      <c r="N971">
        <v>69.781800000000004</v>
      </c>
      <c r="O971">
        <v>69.460899999999995</v>
      </c>
      <c r="P971">
        <v>1369</v>
      </c>
      <c r="Q971" t="s">
        <v>2193</v>
      </c>
    </row>
    <row r="972" spans="1:17" x14ac:dyDescent="0.3">
      <c r="A972" t="s">
        <v>17</v>
      </c>
      <c r="B972" t="str">
        <f>"601608"</f>
        <v>601608</v>
      </c>
      <c r="C972" t="s">
        <v>2194</v>
      </c>
      <c r="D972" t="s">
        <v>395</v>
      </c>
      <c r="F972">
        <v>435.81650000000002</v>
      </c>
      <c r="G972">
        <v>503.20479999999998</v>
      </c>
      <c r="H972">
        <v>530.84439999999995</v>
      </c>
      <c r="I972">
        <v>554.89409999999998</v>
      </c>
      <c r="J972">
        <v>547.44190000000003</v>
      </c>
      <c r="K972">
        <v>730.87570000000005</v>
      </c>
      <c r="L972">
        <v>766.27700000000004</v>
      </c>
      <c r="M972">
        <v>423.62040000000002</v>
      </c>
      <c r="N972">
        <v>390.33280000000002</v>
      </c>
      <c r="O972">
        <v>251.17019999999999</v>
      </c>
      <c r="P972">
        <v>178</v>
      </c>
      <c r="Q972" t="s">
        <v>2195</v>
      </c>
    </row>
    <row r="973" spans="1:17" x14ac:dyDescent="0.3">
      <c r="A973" t="s">
        <v>17</v>
      </c>
      <c r="B973" t="str">
        <f>"601609"</f>
        <v>601609</v>
      </c>
      <c r="C973" t="s">
        <v>2196</v>
      </c>
      <c r="D973" t="s">
        <v>263</v>
      </c>
      <c r="F973">
        <v>23.356100000000001</v>
      </c>
      <c r="G973">
        <v>35.0351</v>
      </c>
      <c r="H973">
        <v>16.0838</v>
      </c>
      <c r="P973">
        <v>106</v>
      </c>
      <c r="Q973" t="s">
        <v>2197</v>
      </c>
    </row>
    <row r="974" spans="1:17" x14ac:dyDescent="0.3">
      <c r="A974" t="s">
        <v>17</v>
      </c>
      <c r="B974" t="str">
        <f>"601611"</f>
        <v>601611</v>
      </c>
      <c r="C974" t="s">
        <v>2198</v>
      </c>
      <c r="D974" t="s">
        <v>101</v>
      </c>
      <c r="F974">
        <v>48.55</v>
      </c>
      <c r="G974">
        <v>150.69479999999999</v>
      </c>
      <c r="H974">
        <v>279.54079999999999</v>
      </c>
      <c r="I974">
        <v>323.17</v>
      </c>
      <c r="J974">
        <v>354.16199999999998</v>
      </c>
      <c r="K974">
        <v>301.40069999999997</v>
      </c>
      <c r="L974">
        <v>110.9618</v>
      </c>
      <c r="P974">
        <v>345</v>
      </c>
      <c r="Q974" t="s">
        <v>2199</v>
      </c>
    </row>
    <row r="975" spans="1:17" x14ac:dyDescent="0.3">
      <c r="A975" t="s">
        <v>17</v>
      </c>
      <c r="B975" t="str">
        <f>"601615"</f>
        <v>601615</v>
      </c>
      <c r="C975" t="s">
        <v>2200</v>
      </c>
      <c r="D975" t="s">
        <v>895</v>
      </c>
      <c r="F975">
        <v>223.9066</v>
      </c>
      <c r="G975">
        <v>145.77090000000001</v>
      </c>
      <c r="H975">
        <v>125.3438</v>
      </c>
      <c r="I975">
        <v>169.01779999999999</v>
      </c>
      <c r="J975">
        <v>146.19900000000001</v>
      </c>
      <c r="P975">
        <v>1068</v>
      </c>
      <c r="Q975" t="s">
        <v>2201</v>
      </c>
    </row>
    <row r="976" spans="1:17" x14ac:dyDescent="0.3">
      <c r="A976" t="s">
        <v>17</v>
      </c>
      <c r="B976" t="str">
        <f>"601616"</f>
        <v>601616</v>
      </c>
      <c r="C976" t="s">
        <v>2202</v>
      </c>
      <c r="D976" t="s">
        <v>657</v>
      </c>
      <c r="F976">
        <v>124.1703</v>
      </c>
      <c r="G976">
        <v>116.80329999999999</v>
      </c>
      <c r="H976">
        <v>128.72489999999999</v>
      </c>
      <c r="I976">
        <v>160.3476</v>
      </c>
      <c r="J976">
        <v>195.90029999999999</v>
      </c>
      <c r="K976">
        <v>180.73560000000001</v>
      </c>
      <c r="L976">
        <v>141.76050000000001</v>
      </c>
      <c r="M976">
        <v>119.8167</v>
      </c>
      <c r="N976">
        <v>111.64960000000001</v>
      </c>
      <c r="O976">
        <v>159.0472</v>
      </c>
      <c r="P976">
        <v>72</v>
      </c>
      <c r="Q976" t="s">
        <v>2203</v>
      </c>
    </row>
    <row r="977" spans="1:17" x14ac:dyDescent="0.3">
      <c r="A977" t="s">
        <v>17</v>
      </c>
      <c r="B977" t="str">
        <f>"601618"</f>
        <v>601618</v>
      </c>
      <c r="C977" t="s">
        <v>2204</v>
      </c>
      <c r="D977" t="s">
        <v>1986</v>
      </c>
      <c r="F977">
        <v>71.782300000000006</v>
      </c>
      <c r="G977">
        <v>90.928899999999999</v>
      </c>
      <c r="H977">
        <v>102.9928</v>
      </c>
      <c r="I977">
        <v>204.39160000000001</v>
      </c>
      <c r="J977">
        <v>348.77910000000003</v>
      </c>
      <c r="K977">
        <v>353.74369999999999</v>
      </c>
      <c r="L977">
        <v>329.47329999999999</v>
      </c>
      <c r="M977">
        <v>312.80239999999998</v>
      </c>
      <c r="N977">
        <v>336.71249999999998</v>
      </c>
      <c r="O977">
        <v>296.58100000000002</v>
      </c>
      <c r="P977">
        <v>584</v>
      </c>
      <c r="Q977" t="s">
        <v>2205</v>
      </c>
    </row>
    <row r="978" spans="1:17" x14ac:dyDescent="0.3">
      <c r="A978" t="s">
        <v>17</v>
      </c>
      <c r="B978" t="str">
        <f>"601619"</f>
        <v>601619</v>
      </c>
      <c r="C978" t="s">
        <v>2206</v>
      </c>
      <c r="D978" t="s">
        <v>383</v>
      </c>
      <c r="F978">
        <v>0.2145</v>
      </c>
      <c r="G978">
        <v>0.2223</v>
      </c>
      <c r="H978">
        <v>0.21</v>
      </c>
      <c r="I978">
        <v>0.17119999999999999</v>
      </c>
      <c r="J978">
        <v>0.183</v>
      </c>
      <c r="P978">
        <v>184</v>
      </c>
      <c r="Q978" t="s">
        <v>2207</v>
      </c>
    </row>
    <row r="979" spans="1:17" x14ac:dyDescent="0.3">
      <c r="A979" t="s">
        <v>17</v>
      </c>
      <c r="B979" t="str">
        <f>"601628"</f>
        <v>601628</v>
      </c>
      <c r="C979" t="s">
        <v>2208</v>
      </c>
      <c r="D979" t="s">
        <v>660</v>
      </c>
      <c r="P979">
        <v>1729</v>
      </c>
      <c r="Q979" t="s">
        <v>2209</v>
      </c>
    </row>
    <row r="980" spans="1:17" x14ac:dyDescent="0.3">
      <c r="A980" t="s">
        <v>17</v>
      </c>
      <c r="B980" t="str">
        <f>"601633"</f>
        <v>601633</v>
      </c>
      <c r="C980" t="s">
        <v>2210</v>
      </c>
      <c r="D980" t="s">
        <v>247</v>
      </c>
      <c r="F980">
        <v>48.456400000000002</v>
      </c>
      <c r="G980">
        <v>42.133299999999998</v>
      </c>
      <c r="H980">
        <v>38.286700000000003</v>
      </c>
      <c r="I980">
        <v>39.747999999999998</v>
      </c>
      <c r="J980">
        <v>45.174799999999998</v>
      </c>
      <c r="K980">
        <v>37.019300000000001</v>
      </c>
      <c r="L980">
        <v>37.240900000000003</v>
      </c>
      <c r="M980">
        <v>31.8429</v>
      </c>
      <c r="N980">
        <v>31.891999999999999</v>
      </c>
      <c r="O980">
        <v>46.725200000000001</v>
      </c>
      <c r="P980">
        <v>2066</v>
      </c>
      <c r="Q980" t="s">
        <v>2211</v>
      </c>
    </row>
    <row r="981" spans="1:17" x14ac:dyDescent="0.3">
      <c r="A981" t="s">
        <v>17</v>
      </c>
      <c r="B981" t="str">
        <f>"601636"</f>
        <v>601636</v>
      </c>
      <c r="C981" t="s">
        <v>2212</v>
      </c>
      <c r="D981" t="s">
        <v>666</v>
      </c>
      <c r="F981">
        <v>96.138000000000005</v>
      </c>
      <c r="G981">
        <v>73.396100000000004</v>
      </c>
      <c r="H981">
        <v>67.900300000000001</v>
      </c>
      <c r="I981">
        <v>60.671199999999999</v>
      </c>
      <c r="J981">
        <v>81.846400000000003</v>
      </c>
      <c r="K981">
        <v>131.9237</v>
      </c>
      <c r="L981">
        <v>176.04400000000001</v>
      </c>
      <c r="M981">
        <v>190.7338</v>
      </c>
      <c r="N981">
        <v>258.7115</v>
      </c>
      <c r="O981">
        <v>266.56330000000003</v>
      </c>
      <c r="P981">
        <v>1517</v>
      </c>
      <c r="Q981" t="s">
        <v>2213</v>
      </c>
    </row>
    <row r="982" spans="1:17" x14ac:dyDescent="0.3">
      <c r="A982" t="s">
        <v>17</v>
      </c>
      <c r="B982" t="str">
        <f>"601658"</f>
        <v>601658</v>
      </c>
      <c r="C982" t="s">
        <v>2214</v>
      </c>
      <c r="D982" t="s">
        <v>2103</v>
      </c>
      <c r="P982">
        <v>1193</v>
      </c>
      <c r="Q982" t="s">
        <v>2215</v>
      </c>
    </row>
    <row r="983" spans="1:17" x14ac:dyDescent="0.3">
      <c r="A983" t="s">
        <v>17</v>
      </c>
      <c r="B983" t="str">
        <f>"601665"</f>
        <v>601665</v>
      </c>
      <c r="C983" t="s">
        <v>2216</v>
      </c>
      <c r="D983" t="s">
        <v>1838</v>
      </c>
      <c r="P983">
        <v>52</v>
      </c>
      <c r="Q983" t="s">
        <v>2217</v>
      </c>
    </row>
    <row r="984" spans="1:17" x14ac:dyDescent="0.3">
      <c r="A984" t="s">
        <v>17</v>
      </c>
      <c r="B984" t="str">
        <f>"601666"</f>
        <v>601666</v>
      </c>
      <c r="C984" t="s">
        <v>2218</v>
      </c>
      <c r="D984" t="s">
        <v>298</v>
      </c>
      <c r="F984">
        <v>31.080100000000002</v>
      </c>
      <c r="G984">
        <v>41.020299999999999</v>
      </c>
      <c r="H984">
        <v>34.752699999999997</v>
      </c>
      <c r="I984">
        <v>55.9495</v>
      </c>
      <c r="J984">
        <v>35.414099999999998</v>
      </c>
      <c r="K984">
        <v>48.780700000000003</v>
      </c>
      <c r="L984">
        <v>58.0169</v>
      </c>
      <c r="M984">
        <v>47.200099999999999</v>
      </c>
      <c r="N984">
        <v>32.139600000000002</v>
      </c>
      <c r="O984">
        <v>21.243500000000001</v>
      </c>
      <c r="P984">
        <v>401</v>
      </c>
      <c r="Q984" t="s">
        <v>2219</v>
      </c>
    </row>
    <row r="985" spans="1:17" x14ac:dyDescent="0.3">
      <c r="A985" t="s">
        <v>17</v>
      </c>
      <c r="B985" t="str">
        <f>"601668"</f>
        <v>601668</v>
      </c>
      <c r="C985" t="s">
        <v>2220</v>
      </c>
      <c r="D985" t="s">
        <v>398</v>
      </c>
      <c r="F985">
        <v>213.22970000000001</v>
      </c>
      <c r="G985">
        <v>229.11779999999999</v>
      </c>
      <c r="H985">
        <v>247.46459999999999</v>
      </c>
      <c r="I985">
        <v>290.0779</v>
      </c>
      <c r="J985">
        <v>279.74959999999999</v>
      </c>
      <c r="K985">
        <v>270.66449999999998</v>
      </c>
      <c r="L985">
        <v>251.95160000000001</v>
      </c>
      <c r="M985">
        <v>255.19149999999999</v>
      </c>
      <c r="N985">
        <v>248.44139999999999</v>
      </c>
      <c r="O985">
        <v>211.31659999999999</v>
      </c>
      <c r="P985">
        <v>10290</v>
      </c>
      <c r="Q985" t="s">
        <v>2221</v>
      </c>
    </row>
    <row r="986" spans="1:17" x14ac:dyDescent="0.3">
      <c r="A986" t="s">
        <v>17</v>
      </c>
      <c r="B986" t="str">
        <f>"601669"</f>
        <v>601669</v>
      </c>
      <c r="C986" t="s">
        <v>2222</v>
      </c>
      <c r="D986" t="s">
        <v>101</v>
      </c>
      <c r="F986">
        <v>168.858</v>
      </c>
      <c r="G986">
        <v>228.79499999999999</v>
      </c>
      <c r="H986">
        <v>272.86669999999998</v>
      </c>
      <c r="I986">
        <v>275.91059999999999</v>
      </c>
      <c r="J986">
        <v>270.40649999999999</v>
      </c>
      <c r="K986">
        <v>268.18720000000002</v>
      </c>
      <c r="L986">
        <v>252.68199999999999</v>
      </c>
      <c r="M986">
        <v>251.9374</v>
      </c>
      <c r="N986">
        <v>194.79179999999999</v>
      </c>
      <c r="O986">
        <v>168.43680000000001</v>
      </c>
      <c r="P986">
        <v>752</v>
      </c>
      <c r="Q986" t="s">
        <v>2223</v>
      </c>
    </row>
    <row r="987" spans="1:17" x14ac:dyDescent="0.3">
      <c r="A987" t="s">
        <v>17</v>
      </c>
      <c r="B987" t="str">
        <f>"601677"</f>
        <v>601677</v>
      </c>
      <c r="C987" t="s">
        <v>2224</v>
      </c>
      <c r="D987" t="s">
        <v>504</v>
      </c>
      <c r="F987">
        <v>75.325000000000003</v>
      </c>
      <c r="G987">
        <v>74.262299999999996</v>
      </c>
      <c r="H987">
        <v>64.793499999999995</v>
      </c>
      <c r="I987">
        <v>56.088200000000001</v>
      </c>
      <c r="J987">
        <v>60.950699999999998</v>
      </c>
      <c r="K987">
        <v>72.019000000000005</v>
      </c>
      <c r="L987">
        <v>78.938199999999995</v>
      </c>
      <c r="M987">
        <v>62.808199999999999</v>
      </c>
      <c r="N987">
        <v>71.222200000000001</v>
      </c>
      <c r="O987">
        <v>70.1297</v>
      </c>
      <c r="P987">
        <v>370</v>
      </c>
      <c r="Q987" t="s">
        <v>2225</v>
      </c>
    </row>
    <row r="988" spans="1:17" x14ac:dyDescent="0.3">
      <c r="A988" t="s">
        <v>17</v>
      </c>
      <c r="B988" t="str">
        <f>"601678"</f>
        <v>601678</v>
      </c>
      <c r="C988" t="s">
        <v>2226</v>
      </c>
      <c r="D988" t="s">
        <v>175</v>
      </c>
      <c r="F988">
        <v>41.036000000000001</v>
      </c>
      <c r="G988">
        <v>30.303699999999999</v>
      </c>
      <c r="H988">
        <v>27.969200000000001</v>
      </c>
      <c r="I988">
        <v>25.2196</v>
      </c>
      <c r="J988">
        <v>24.218800000000002</v>
      </c>
      <c r="K988">
        <v>26.530799999999999</v>
      </c>
      <c r="L988">
        <v>23.797999999999998</v>
      </c>
      <c r="M988">
        <v>24.9742</v>
      </c>
      <c r="N988">
        <v>27.827999999999999</v>
      </c>
      <c r="O988">
        <v>23.7653</v>
      </c>
      <c r="P988">
        <v>353</v>
      </c>
      <c r="Q988" t="s">
        <v>2227</v>
      </c>
    </row>
    <row r="989" spans="1:17" x14ac:dyDescent="0.3">
      <c r="A989" t="s">
        <v>17</v>
      </c>
      <c r="B989" t="str">
        <f>"601686"</f>
        <v>601686</v>
      </c>
      <c r="C989" t="s">
        <v>2228</v>
      </c>
      <c r="D989" t="s">
        <v>2229</v>
      </c>
      <c r="F989">
        <v>28.483699999999999</v>
      </c>
      <c r="P989">
        <v>57</v>
      </c>
      <c r="Q989" t="s">
        <v>2230</v>
      </c>
    </row>
    <row r="990" spans="1:17" x14ac:dyDescent="0.3">
      <c r="A990" t="s">
        <v>17</v>
      </c>
      <c r="B990" t="str">
        <f>"601688"</f>
        <v>601688</v>
      </c>
      <c r="C990" t="s">
        <v>2231</v>
      </c>
      <c r="D990" t="s">
        <v>80</v>
      </c>
      <c r="P990">
        <v>6874</v>
      </c>
      <c r="Q990" t="s">
        <v>2232</v>
      </c>
    </row>
    <row r="991" spans="1:17" x14ac:dyDescent="0.3">
      <c r="A991" t="s">
        <v>17</v>
      </c>
      <c r="B991" t="str">
        <f>"601689"</f>
        <v>601689</v>
      </c>
      <c r="C991" t="s">
        <v>2233</v>
      </c>
      <c r="D991" t="s">
        <v>348</v>
      </c>
      <c r="F991">
        <v>98.423000000000002</v>
      </c>
      <c r="G991">
        <v>138.34829999999999</v>
      </c>
      <c r="H991">
        <v>152.4958</v>
      </c>
      <c r="I991">
        <v>142.863</v>
      </c>
      <c r="J991">
        <v>131.65379999999999</v>
      </c>
      <c r="K991">
        <v>140.2011</v>
      </c>
      <c r="L991">
        <v>135.9983</v>
      </c>
      <c r="M991">
        <v>59.008499999999998</v>
      </c>
      <c r="P991">
        <v>664</v>
      </c>
      <c r="Q991" t="s">
        <v>2234</v>
      </c>
    </row>
    <row r="992" spans="1:17" x14ac:dyDescent="0.3">
      <c r="A992" t="s">
        <v>17</v>
      </c>
      <c r="B992" t="str">
        <f>"601696"</f>
        <v>601696</v>
      </c>
      <c r="C992" t="s">
        <v>2235</v>
      </c>
      <c r="D992" t="s">
        <v>80</v>
      </c>
      <c r="P992">
        <v>516</v>
      </c>
      <c r="Q992" t="s">
        <v>2236</v>
      </c>
    </row>
    <row r="993" spans="1:17" x14ac:dyDescent="0.3">
      <c r="A993" t="s">
        <v>17</v>
      </c>
      <c r="B993" t="str">
        <f>"601698"</f>
        <v>601698</v>
      </c>
      <c r="C993" t="s">
        <v>2237</v>
      </c>
      <c r="D993" t="s">
        <v>284</v>
      </c>
      <c r="F993">
        <v>3.3576999999999999</v>
      </c>
      <c r="G993">
        <v>4.2877000000000001</v>
      </c>
      <c r="H993">
        <v>4.0898000000000003</v>
      </c>
      <c r="P993">
        <v>316</v>
      </c>
      <c r="Q993" t="s">
        <v>2238</v>
      </c>
    </row>
    <row r="994" spans="1:17" x14ac:dyDescent="0.3">
      <c r="A994" t="s">
        <v>17</v>
      </c>
      <c r="B994" t="str">
        <f>"601699"</f>
        <v>601699</v>
      </c>
      <c r="C994" t="s">
        <v>2239</v>
      </c>
      <c r="D994" t="s">
        <v>298</v>
      </c>
      <c r="F994">
        <v>16.848800000000001</v>
      </c>
      <c r="G994">
        <v>25.738900000000001</v>
      </c>
      <c r="H994">
        <v>33.881300000000003</v>
      </c>
      <c r="I994">
        <v>41.9238</v>
      </c>
      <c r="J994">
        <v>48.913600000000002</v>
      </c>
      <c r="K994">
        <v>75.296099999999996</v>
      </c>
      <c r="L994">
        <v>71.814099999999996</v>
      </c>
      <c r="M994">
        <v>55.195399999999999</v>
      </c>
      <c r="N994">
        <v>36.695099999999996</v>
      </c>
      <c r="O994">
        <v>33.978299999999997</v>
      </c>
      <c r="P994">
        <v>791</v>
      </c>
      <c r="Q994" t="s">
        <v>2240</v>
      </c>
    </row>
    <row r="995" spans="1:17" x14ac:dyDescent="0.3">
      <c r="A995" t="s">
        <v>17</v>
      </c>
      <c r="B995" t="str">
        <f>"601700"</f>
        <v>601700</v>
      </c>
      <c r="C995" t="s">
        <v>2241</v>
      </c>
      <c r="D995" t="s">
        <v>1164</v>
      </c>
      <c r="F995">
        <v>132.80619999999999</v>
      </c>
      <c r="G995">
        <v>222.39359999999999</v>
      </c>
      <c r="H995">
        <v>233.40479999999999</v>
      </c>
      <c r="I995">
        <v>178.09889999999999</v>
      </c>
      <c r="J995">
        <v>242.80690000000001</v>
      </c>
      <c r="K995">
        <v>186.5326</v>
      </c>
      <c r="L995">
        <v>257.24560000000002</v>
      </c>
      <c r="M995">
        <v>201.54849999999999</v>
      </c>
      <c r="N995">
        <v>245.7679</v>
      </c>
      <c r="O995">
        <v>232.5196</v>
      </c>
      <c r="P995">
        <v>126</v>
      </c>
      <c r="Q995" t="s">
        <v>2242</v>
      </c>
    </row>
    <row r="996" spans="1:17" x14ac:dyDescent="0.3">
      <c r="A996" t="s">
        <v>17</v>
      </c>
      <c r="B996" t="str">
        <f>"601702"</f>
        <v>601702</v>
      </c>
      <c r="C996" t="s">
        <v>2243</v>
      </c>
      <c r="D996" t="s">
        <v>504</v>
      </c>
      <c r="F996">
        <v>149.16679999999999</v>
      </c>
      <c r="G996">
        <v>184.774</v>
      </c>
      <c r="P996">
        <v>116</v>
      </c>
      <c r="Q996" t="s">
        <v>2244</v>
      </c>
    </row>
    <row r="997" spans="1:17" x14ac:dyDescent="0.3">
      <c r="A997" t="s">
        <v>17</v>
      </c>
      <c r="B997" t="str">
        <f>"601717"</f>
        <v>601717</v>
      </c>
      <c r="C997" t="s">
        <v>2245</v>
      </c>
      <c r="D997" t="s">
        <v>395</v>
      </c>
      <c r="F997">
        <v>109.14360000000001</v>
      </c>
      <c r="G997">
        <v>99.093699999999998</v>
      </c>
      <c r="H997">
        <v>91.819299999999998</v>
      </c>
      <c r="I997">
        <v>67.043800000000005</v>
      </c>
      <c r="J997">
        <v>103.3212</v>
      </c>
      <c r="K997">
        <v>172.226</v>
      </c>
      <c r="L997">
        <v>166.08449999999999</v>
      </c>
      <c r="M997">
        <v>159.3426</v>
      </c>
      <c r="N997">
        <v>134.4392</v>
      </c>
      <c r="O997">
        <v>118.2585</v>
      </c>
      <c r="P997">
        <v>318</v>
      </c>
      <c r="Q997" t="s">
        <v>2246</v>
      </c>
    </row>
    <row r="998" spans="1:17" x14ac:dyDescent="0.3">
      <c r="A998" t="s">
        <v>17</v>
      </c>
      <c r="B998" t="str">
        <f>"601718"</f>
        <v>601718</v>
      </c>
      <c r="C998" t="s">
        <v>2247</v>
      </c>
      <c r="D998" t="s">
        <v>255</v>
      </c>
      <c r="F998">
        <v>132.21770000000001</v>
      </c>
      <c r="G998">
        <v>162.25450000000001</v>
      </c>
      <c r="H998">
        <v>147.7593</v>
      </c>
      <c r="I998">
        <v>126.6575</v>
      </c>
      <c r="J998">
        <v>74.354100000000003</v>
      </c>
      <c r="K998">
        <v>86.357100000000003</v>
      </c>
      <c r="L998">
        <v>102.94159999999999</v>
      </c>
      <c r="M998">
        <v>76.287899999999993</v>
      </c>
      <c r="N998">
        <v>55.4099</v>
      </c>
      <c r="O998">
        <v>62.313600000000001</v>
      </c>
      <c r="P998">
        <v>180</v>
      </c>
      <c r="Q998" t="s">
        <v>2248</v>
      </c>
    </row>
    <row r="999" spans="1:17" x14ac:dyDescent="0.3">
      <c r="A999" t="s">
        <v>17</v>
      </c>
      <c r="B999" t="str">
        <f>"601727"</f>
        <v>601727</v>
      </c>
      <c r="C999" t="s">
        <v>2249</v>
      </c>
      <c r="D999" t="s">
        <v>973</v>
      </c>
      <c r="F999">
        <v>153.86969999999999</v>
      </c>
      <c r="G999">
        <v>169.75479999999999</v>
      </c>
      <c r="H999">
        <v>177.90469999999999</v>
      </c>
      <c r="I999">
        <v>211.2577</v>
      </c>
      <c r="J999">
        <v>239.28970000000001</v>
      </c>
      <c r="K999">
        <v>215.316</v>
      </c>
      <c r="L999">
        <v>232.5016</v>
      </c>
      <c r="M999">
        <v>205.8133</v>
      </c>
      <c r="N999">
        <v>191.02969999999999</v>
      </c>
      <c r="O999">
        <v>185.60759999999999</v>
      </c>
      <c r="P999">
        <v>551</v>
      </c>
      <c r="Q999" t="s">
        <v>2250</v>
      </c>
    </row>
    <row r="1000" spans="1:17" x14ac:dyDescent="0.3">
      <c r="A1000" t="s">
        <v>17</v>
      </c>
      <c r="B1000" t="str">
        <f>"601728"</f>
        <v>601728</v>
      </c>
      <c r="C1000" t="s">
        <v>2251</v>
      </c>
      <c r="D1000" t="s">
        <v>107</v>
      </c>
      <c r="F1000">
        <v>6.8036000000000003</v>
      </c>
      <c r="P1000">
        <v>144</v>
      </c>
      <c r="Q1000" t="s">
        <v>2252</v>
      </c>
    </row>
    <row r="1001" spans="1:17" x14ac:dyDescent="0.3">
      <c r="A1001" t="s">
        <v>17</v>
      </c>
      <c r="B1001" t="str">
        <f>"601766"</f>
        <v>601766</v>
      </c>
      <c r="C1001" t="s">
        <v>2253</v>
      </c>
      <c r="D1001" t="s">
        <v>1012</v>
      </c>
      <c r="F1001">
        <v>223.4153</v>
      </c>
      <c r="G1001">
        <v>225.3646</v>
      </c>
      <c r="H1001">
        <v>195.29409999999999</v>
      </c>
      <c r="I1001">
        <v>234.52629999999999</v>
      </c>
      <c r="J1001">
        <v>211.2869</v>
      </c>
      <c r="K1001">
        <v>203.85470000000001</v>
      </c>
      <c r="L1001">
        <v>167.2073</v>
      </c>
      <c r="M1001">
        <v>128.75919999999999</v>
      </c>
      <c r="N1001">
        <v>176.44499999999999</v>
      </c>
      <c r="O1001">
        <v>133.3304</v>
      </c>
      <c r="P1001">
        <v>1205</v>
      </c>
      <c r="Q1001" t="s">
        <v>2254</v>
      </c>
    </row>
    <row r="1002" spans="1:17" x14ac:dyDescent="0.3">
      <c r="A1002" t="s">
        <v>17</v>
      </c>
      <c r="B1002" t="str">
        <f>"601777"</f>
        <v>601777</v>
      </c>
      <c r="C1002" t="s">
        <v>2255</v>
      </c>
      <c r="D1002" t="s">
        <v>1654</v>
      </c>
      <c r="F1002">
        <v>454.74079999999998</v>
      </c>
      <c r="G1002">
        <v>143.8708</v>
      </c>
      <c r="H1002">
        <v>86.528700000000001</v>
      </c>
      <c r="I1002">
        <v>148.3082</v>
      </c>
      <c r="J1002">
        <v>126.85469999999999</v>
      </c>
      <c r="K1002">
        <v>118.6999</v>
      </c>
      <c r="L1002">
        <v>114.0686</v>
      </c>
      <c r="M1002">
        <v>154.5692</v>
      </c>
      <c r="N1002">
        <v>140.31139999999999</v>
      </c>
      <c r="O1002">
        <v>100.43089999999999</v>
      </c>
      <c r="P1002">
        <v>154</v>
      </c>
      <c r="Q1002" t="s">
        <v>2256</v>
      </c>
    </row>
    <row r="1003" spans="1:17" x14ac:dyDescent="0.3">
      <c r="A1003" t="s">
        <v>17</v>
      </c>
      <c r="B1003" t="str">
        <f>"601778"</f>
        <v>601778</v>
      </c>
      <c r="C1003" t="s">
        <v>2257</v>
      </c>
      <c r="D1003" t="s">
        <v>86</v>
      </c>
      <c r="F1003">
        <v>34.818399999999997</v>
      </c>
      <c r="G1003">
        <v>19.046299999999999</v>
      </c>
      <c r="H1003">
        <v>96.763499999999993</v>
      </c>
      <c r="P1003">
        <v>221</v>
      </c>
      <c r="Q1003" t="s">
        <v>2258</v>
      </c>
    </row>
    <row r="1004" spans="1:17" x14ac:dyDescent="0.3">
      <c r="A1004" t="s">
        <v>17</v>
      </c>
      <c r="B1004" t="str">
        <f>"601788"</f>
        <v>601788</v>
      </c>
      <c r="C1004" t="s">
        <v>2259</v>
      </c>
      <c r="D1004" t="s">
        <v>80</v>
      </c>
      <c r="P1004">
        <v>1149</v>
      </c>
      <c r="Q1004" t="s">
        <v>2260</v>
      </c>
    </row>
    <row r="1005" spans="1:17" x14ac:dyDescent="0.3">
      <c r="A1005" t="s">
        <v>17</v>
      </c>
      <c r="B1005" t="str">
        <f>"601789"</f>
        <v>601789</v>
      </c>
      <c r="C1005" t="s">
        <v>2261</v>
      </c>
      <c r="D1005" t="s">
        <v>398</v>
      </c>
      <c r="F1005">
        <v>16.2012</v>
      </c>
      <c r="G1005">
        <v>80.750100000000003</v>
      </c>
      <c r="H1005">
        <v>139.61019999999999</v>
      </c>
      <c r="I1005">
        <v>163.9256</v>
      </c>
      <c r="J1005">
        <v>159.1387</v>
      </c>
      <c r="K1005">
        <v>187.55260000000001</v>
      </c>
      <c r="L1005">
        <v>169.43780000000001</v>
      </c>
      <c r="M1005">
        <v>124.3665</v>
      </c>
      <c r="N1005">
        <v>99.182500000000005</v>
      </c>
      <c r="O1005">
        <v>82.884</v>
      </c>
      <c r="P1005">
        <v>147</v>
      </c>
      <c r="Q1005" t="s">
        <v>2262</v>
      </c>
    </row>
    <row r="1006" spans="1:17" x14ac:dyDescent="0.3">
      <c r="A1006" t="s">
        <v>17</v>
      </c>
      <c r="B1006" t="str">
        <f>"601798"</f>
        <v>601798</v>
      </c>
      <c r="C1006" t="s">
        <v>2263</v>
      </c>
      <c r="D1006" t="s">
        <v>395</v>
      </c>
      <c r="F1006">
        <v>396.65289999999999</v>
      </c>
      <c r="G1006">
        <v>408.66860000000003</v>
      </c>
      <c r="H1006">
        <v>357.05099999999999</v>
      </c>
      <c r="I1006">
        <v>435.83089999999999</v>
      </c>
      <c r="J1006">
        <v>616.67110000000002</v>
      </c>
      <c r="K1006">
        <v>494.33159999999998</v>
      </c>
      <c r="L1006">
        <v>513.99379999999996</v>
      </c>
      <c r="M1006">
        <v>437.23570000000001</v>
      </c>
      <c r="N1006">
        <v>612.94460000000004</v>
      </c>
      <c r="O1006">
        <v>361.81790000000001</v>
      </c>
      <c r="P1006">
        <v>77</v>
      </c>
      <c r="Q1006" t="s">
        <v>2264</v>
      </c>
    </row>
    <row r="1007" spans="1:17" x14ac:dyDescent="0.3">
      <c r="A1007" t="s">
        <v>17</v>
      </c>
      <c r="B1007" t="str">
        <f>"601799"</f>
        <v>601799</v>
      </c>
      <c r="C1007" t="s">
        <v>2265</v>
      </c>
      <c r="D1007" t="s">
        <v>1415</v>
      </c>
      <c r="F1007">
        <v>138.90289999999999</v>
      </c>
      <c r="G1007">
        <v>156.26650000000001</v>
      </c>
      <c r="H1007">
        <v>150.36089999999999</v>
      </c>
      <c r="I1007">
        <v>138.22749999999999</v>
      </c>
      <c r="J1007">
        <v>146.0496</v>
      </c>
      <c r="K1007">
        <v>153.83680000000001</v>
      </c>
      <c r="L1007">
        <v>151.19540000000001</v>
      </c>
      <c r="M1007">
        <v>139.16059999999999</v>
      </c>
      <c r="N1007">
        <v>144.97640000000001</v>
      </c>
      <c r="O1007">
        <v>179.11189999999999</v>
      </c>
      <c r="P1007">
        <v>1014</v>
      </c>
      <c r="Q1007" t="s">
        <v>2266</v>
      </c>
    </row>
    <row r="1008" spans="1:17" x14ac:dyDescent="0.3">
      <c r="A1008" t="s">
        <v>17</v>
      </c>
      <c r="B1008" t="str">
        <f>"601800"</f>
        <v>601800</v>
      </c>
      <c r="C1008" t="s">
        <v>2267</v>
      </c>
      <c r="D1008" t="s">
        <v>101</v>
      </c>
      <c r="F1008">
        <v>60.320300000000003</v>
      </c>
      <c r="G1008">
        <v>66.599400000000003</v>
      </c>
      <c r="H1008">
        <v>57.612699999999997</v>
      </c>
      <c r="I1008">
        <v>112.74460000000001</v>
      </c>
      <c r="J1008">
        <v>201.67</v>
      </c>
      <c r="K1008">
        <v>193.4119</v>
      </c>
      <c r="L1008">
        <v>191.76140000000001</v>
      </c>
      <c r="M1008">
        <v>191.96199999999999</v>
      </c>
      <c r="N1008">
        <v>173.95830000000001</v>
      </c>
      <c r="O1008">
        <v>175.30950000000001</v>
      </c>
      <c r="P1008">
        <v>899</v>
      </c>
      <c r="Q1008" t="s">
        <v>2268</v>
      </c>
    </row>
    <row r="1009" spans="1:17" x14ac:dyDescent="0.3">
      <c r="A1009" t="s">
        <v>17</v>
      </c>
      <c r="B1009" t="str">
        <f>"601801"</f>
        <v>601801</v>
      </c>
      <c r="C1009" t="s">
        <v>2269</v>
      </c>
      <c r="D1009" t="s">
        <v>525</v>
      </c>
      <c r="F1009">
        <v>113.5457</v>
      </c>
      <c r="G1009">
        <v>115.2244</v>
      </c>
      <c r="H1009">
        <v>86.422399999999996</v>
      </c>
      <c r="I1009">
        <v>68.033600000000007</v>
      </c>
      <c r="J1009">
        <v>64.557500000000005</v>
      </c>
      <c r="K1009">
        <v>66.363799999999998</v>
      </c>
      <c r="L1009">
        <v>65.054299999999998</v>
      </c>
      <c r="M1009">
        <v>92.477800000000002</v>
      </c>
      <c r="N1009">
        <v>80.154799999999994</v>
      </c>
      <c r="O1009">
        <v>83.014399999999995</v>
      </c>
      <c r="P1009">
        <v>267</v>
      </c>
      <c r="Q1009" t="s">
        <v>2270</v>
      </c>
    </row>
    <row r="1010" spans="1:17" x14ac:dyDescent="0.3">
      <c r="A1010" t="s">
        <v>17</v>
      </c>
      <c r="B1010" t="str">
        <f>"601808"</f>
        <v>601808</v>
      </c>
      <c r="C1010" t="s">
        <v>2271</v>
      </c>
      <c r="D1010" t="s">
        <v>1758</v>
      </c>
      <c r="F1010">
        <v>57.334699999999998</v>
      </c>
      <c r="G1010">
        <v>42.941200000000002</v>
      </c>
      <c r="H1010">
        <v>33.976799999999997</v>
      </c>
      <c r="I1010">
        <v>37.317700000000002</v>
      </c>
      <c r="J1010">
        <v>40.837299999999999</v>
      </c>
      <c r="K1010">
        <v>41.087400000000002</v>
      </c>
      <c r="L1010">
        <v>35.1813</v>
      </c>
      <c r="M1010">
        <v>28.230499999999999</v>
      </c>
      <c r="N1010">
        <v>28.278300000000002</v>
      </c>
      <c r="O1010">
        <v>31.5319</v>
      </c>
      <c r="P1010">
        <v>411</v>
      </c>
      <c r="Q1010" t="s">
        <v>2272</v>
      </c>
    </row>
    <row r="1011" spans="1:17" x14ac:dyDescent="0.3">
      <c r="A1011" t="s">
        <v>17</v>
      </c>
      <c r="B1011" t="str">
        <f>"601811"</f>
        <v>601811</v>
      </c>
      <c r="C1011" t="s">
        <v>2273</v>
      </c>
      <c r="D1011" t="s">
        <v>1536</v>
      </c>
      <c r="F1011">
        <v>206.8519</v>
      </c>
      <c r="G1011">
        <v>254.1275</v>
      </c>
      <c r="H1011">
        <v>217.17529999999999</v>
      </c>
      <c r="I1011">
        <v>205.3939</v>
      </c>
      <c r="J1011">
        <v>195.3108</v>
      </c>
      <c r="K1011">
        <v>202.66980000000001</v>
      </c>
      <c r="L1011">
        <v>101.08450000000001</v>
      </c>
      <c r="P1011">
        <v>276</v>
      </c>
      <c r="Q1011" t="s">
        <v>2274</v>
      </c>
    </row>
    <row r="1012" spans="1:17" x14ac:dyDescent="0.3">
      <c r="A1012" t="s">
        <v>17</v>
      </c>
      <c r="B1012" t="str">
        <f>"601816"</f>
        <v>601816</v>
      </c>
      <c r="C1012" t="s">
        <v>2275</v>
      </c>
      <c r="D1012" t="s">
        <v>301</v>
      </c>
      <c r="F1012">
        <v>0</v>
      </c>
      <c r="G1012">
        <v>0</v>
      </c>
      <c r="H1012">
        <v>0</v>
      </c>
      <c r="P1012">
        <v>977</v>
      </c>
      <c r="Q1012" t="s">
        <v>2276</v>
      </c>
    </row>
    <row r="1013" spans="1:17" x14ac:dyDescent="0.3">
      <c r="A1013" t="s">
        <v>17</v>
      </c>
      <c r="B1013" t="str">
        <f>"601818"</f>
        <v>601818</v>
      </c>
      <c r="C1013" t="s">
        <v>2277</v>
      </c>
      <c r="D1013" t="s">
        <v>19</v>
      </c>
      <c r="P1013">
        <v>15856</v>
      </c>
      <c r="Q1013" t="s">
        <v>2278</v>
      </c>
    </row>
    <row r="1014" spans="1:17" x14ac:dyDescent="0.3">
      <c r="A1014" t="s">
        <v>17</v>
      </c>
      <c r="B1014" t="str">
        <f>"601825"</f>
        <v>601825</v>
      </c>
      <c r="C1014" t="s">
        <v>2279</v>
      </c>
      <c r="D1014" t="s">
        <v>1827</v>
      </c>
      <c r="P1014">
        <v>57</v>
      </c>
      <c r="Q1014" t="s">
        <v>2280</v>
      </c>
    </row>
    <row r="1015" spans="1:17" x14ac:dyDescent="0.3">
      <c r="A1015" t="s">
        <v>17</v>
      </c>
      <c r="B1015" t="str">
        <f>"601827"</f>
        <v>601827</v>
      </c>
      <c r="C1015" t="s">
        <v>2281</v>
      </c>
      <c r="D1015" t="s">
        <v>499</v>
      </c>
      <c r="F1015">
        <v>101.15179999999999</v>
      </c>
      <c r="G1015">
        <v>93.734700000000004</v>
      </c>
      <c r="P1015">
        <v>143</v>
      </c>
      <c r="Q1015" t="s">
        <v>2282</v>
      </c>
    </row>
    <row r="1016" spans="1:17" x14ac:dyDescent="0.3">
      <c r="A1016" t="s">
        <v>17</v>
      </c>
      <c r="B1016" t="str">
        <f>"601828"</f>
        <v>601828</v>
      </c>
      <c r="C1016" t="s">
        <v>2283</v>
      </c>
      <c r="D1016" t="s">
        <v>271</v>
      </c>
      <c r="F1016">
        <v>29.820499999999999</v>
      </c>
      <c r="G1016">
        <v>37.569299999999998</v>
      </c>
      <c r="H1016">
        <v>26.350200000000001</v>
      </c>
      <c r="I1016">
        <v>21.180599999999998</v>
      </c>
      <c r="J1016">
        <v>11.622</v>
      </c>
      <c r="K1016">
        <v>3.4439000000000002</v>
      </c>
      <c r="P1016">
        <v>351</v>
      </c>
      <c r="Q1016" t="s">
        <v>2284</v>
      </c>
    </row>
    <row r="1017" spans="1:17" x14ac:dyDescent="0.3">
      <c r="A1017" t="s">
        <v>17</v>
      </c>
      <c r="B1017" t="str">
        <f>"601838"</f>
        <v>601838</v>
      </c>
      <c r="C1017" t="s">
        <v>2285</v>
      </c>
      <c r="D1017" t="s">
        <v>1838</v>
      </c>
      <c r="P1017">
        <v>1326</v>
      </c>
      <c r="Q1017" t="s">
        <v>2286</v>
      </c>
    </row>
    <row r="1018" spans="1:17" x14ac:dyDescent="0.3">
      <c r="A1018" t="s">
        <v>17</v>
      </c>
      <c r="B1018" t="str">
        <f>"601857"</f>
        <v>601857</v>
      </c>
      <c r="C1018" t="s">
        <v>2287</v>
      </c>
      <c r="D1018" t="s">
        <v>74</v>
      </c>
      <c r="F1018">
        <v>32.987200000000001</v>
      </c>
      <c r="G1018">
        <v>52.753799999999998</v>
      </c>
      <c r="H1018">
        <v>42.639099999999999</v>
      </c>
      <c r="I1018">
        <v>43.630699999999997</v>
      </c>
      <c r="J1018">
        <v>44.143500000000003</v>
      </c>
      <c r="K1018">
        <v>52.318899999999999</v>
      </c>
      <c r="L1018">
        <v>56.109299999999998</v>
      </c>
      <c r="M1018">
        <v>58.9422</v>
      </c>
      <c r="N1018">
        <v>60.597200000000001</v>
      </c>
      <c r="O1018">
        <v>57.363399999999999</v>
      </c>
      <c r="P1018">
        <v>1280</v>
      </c>
      <c r="Q1018" t="s">
        <v>2288</v>
      </c>
    </row>
    <row r="1019" spans="1:17" x14ac:dyDescent="0.3">
      <c r="A1019" t="s">
        <v>17</v>
      </c>
      <c r="B1019" t="str">
        <f>"601858"</f>
        <v>601858</v>
      </c>
      <c r="C1019" t="s">
        <v>2289</v>
      </c>
      <c r="D1019" t="s">
        <v>525</v>
      </c>
      <c r="F1019">
        <v>197.94300000000001</v>
      </c>
      <c r="G1019">
        <v>190.65620000000001</v>
      </c>
      <c r="H1019">
        <v>192.66630000000001</v>
      </c>
      <c r="I1019">
        <v>186.55240000000001</v>
      </c>
      <c r="J1019">
        <v>178.46619999999999</v>
      </c>
      <c r="K1019">
        <v>93.577200000000005</v>
      </c>
      <c r="P1019">
        <v>178</v>
      </c>
      <c r="Q1019" t="s">
        <v>2290</v>
      </c>
    </row>
    <row r="1020" spans="1:17" x14ac:dyDescent="0.3">
      <c r="A1020" t="s">
        <v>17</v>
      </c>
      <c r="B1020" t="str">
        <f>"601860"</f>
        <v>601860</v>
      </c>
      <c r="C1020" t="s">
        <v>2291</v>
      </c>
      <c r="D1020" t="s">
        <v>1827</v>
      </c>
      <c r="P1020">
        <v>332</v>
      </c>
      <c r="Q1020" t="s">
        <v>2292</v>
      </c>
    </row>
    <row r="1021" spans="1:17" x14ac:dyDescent="0.3">
      <c r="A1021" t="s">
        <v>17</v>
      </c>
      <c r="B1021" t="str">
        <f>"601865"</f>
        <v>601865</v>
      </c>
      <c r="C1021" t="s">
        <v>2293</v>
      </c>
      <c r="D1021" t="s">
        <v>478</v>
      </c>
      <c r="F1021">
        <v>86.558499999999995</v>
      </c>
      <c r="G1021">
        <v>74.497600000000006</v>
      </c>
      <c r="H1021">
        <v>65.384699999999995</v>
      </c>
      <c r="P1021">
        <v>925</v>
      </c>
      <c r="Q1021" t="s">
        <v>2294</v>
      </c>
    </row>
    <row r="1022" spans="1:17" x14ac:dyDescent="0.3">
      <c r="A1022" t="s">
        <v>17</v>
      </c>
      <c r="B1022" t="str">
        <f>"601866"</f>
        <v>601866</v>
      </c>
      <c r="C1022" t="s">
        <v>2295</v>
      </c>
      <c r="D1022" t="s">
        <v>69</v>
      </c>
      <c r="F1022">
        <v>23.9514</v>
      </c>
      <c r="G1022">
        <v>39.083599999999997</v>
      </c>
      <c r="H1022">
        <v>47.465299999999999</v>
      </c>
      <c r="I1022">
        <v>40.647599999999997</v>
      </c>
      <c r="J1022">
        <v>37.884500000000003</v>
      </c>
      <c r="K1022">
        <v>26.0321</v>
      </c>
      <c r="L1022">
        <v>17.7606</v>
      </c>
      <c r="M1022">
        <v>23.023700000000002</v>
      </c>
      <c r="N1022">
        <v>17.0914</v>
      </c>
      <c r="O1022">
        <v>21.0657</v>
      </c>
      <c r="P1022">
        <v>336</v>
      </c>
      <c r="Q1022" t="s">
        <v>2296</v>
      </c>
    </row>
    <row r="1023" spans="1:17" x14ac:dyDescent="0.3">
      <c r="A1023" t="s">
        <v>17</v>
      </c>
      <c r="B1023" t="str">
        <f>"601868"</f>
        <v>601868</v>
      </c>
      <c r="C1023" t="s">
        <v>2297</v>
      </c>
      <c r="D1023" t="s">
        <v>101</v>
      </c>
      <c r="P1023">
        <v>152</v>
      </c>
      <c r="Q1023" t="s">
        <v>2298</v>
      </c>
    </row>
    <row r="1024" spans="1:17" x14ac:dyDescent="0.3">
      <c r="A1024" t="s">
        <v>17</v>
      </c>
      <c r="B1024" t="str">
        <f>"601869"</f>
        <v>601869</v>
      </c>
      <c r="C1024" t="s">
        <v>2299</v>
      </c>
      <c r="D1024" t="s">
        <v>250</v>
      </c>
      <c r="F1024">
        <v>165.48949999999999</v>
      </c>
      <c r="G1024">
        <v>188.97030000000001</v>
      </c>
      <c r="H1024">
        <v>121.116</v>
      </c>
      <c r="I1024">
        <v>55.915100000000002</v>
      </c>
      <c r="P1024">
        <v>403</v>
      </c>
      <c r="Q1024" t="s">
        <v>2300</v>
      </c>
    </row>
    <row r="1025" spans="1:17" x14ac:dyDescent="0.3">
      <c r="A1025" t="s">
        <v>17</v>
      </c>
      <c r="B1025" t="str">
        <f>"601872"</f>
        <v>601872</v>
      </c>
      <c r="C1025" t="s">
        <v>2301</v>
      </c>
      <c r="D1025" t="s">
        <v>69</v>
      </c>
      <c r="F1025">
        <v>35.373199999999997</v>
      </c>
      <c r="G1025">
        <v>39.849499999999999</v>
      </c>
      <c r="H1025">
        <v>42.859900000000003</v>
      </c>
      <c r="I1025">
        <v>38.497500000000002</v>
      </c>
      <c r="J1025">
        <v>40.271900000000002</v>
      </c>
      <c r="K1025">
        <v>45.381500000000003</v>
      </c>
      <c r="L1025">
        <v>32.338799999999999</v>
      </c>
      <c r="M1025">
        <v>49.933199999999999</v>
      </c>
      <c r="N1025">
        <v>30.704899999999999</v>
      </c>
      <c r="O1025">
        <v>36.783499999999997</v>
      </c>
      <c r="P1025">
        <v>574</v>
      </c>
      <c r="Q1025" t="s">
        <v>2302</v>
      </c>
    </row>
    <row r="1026" spans="1:17" x14ac:dyDescent="0.3">
      <c r="A1026" t="s">
        <v>17</v>
      </c>
      <c r="B1026" t="str">
        <f>"601877"</f>
        <v>601877</v>
      </c>
      <c r="C1026" t="s">
        <v>2303</v>
      </c>
      <c r="D1026" t="s">
        <v>657</v>
      </c>
      <c r="F1026">
        <v>103.37430000000001</v>
      </c>
      <c r="G1026">
        <v>103.58320000000001</v>
      </c>
      <c r="H1026">
        <v>100.5117</v>
      </c>
      <c r="I1026">
        <v>100.4426</v>
      </c>
      <c r="J1026">
        <v>79.317400000000006</v>
      </c>
      <c r="K1026">
        <v>73.442899999999995</v>
      </c>
      <c r="L1026">
        <v>79.6066</v>
      </c>
      <c r="M1026">
        <v>68.950400000000002</v>
      </c>
      <c r="N1026">
        <v>63.479399999999998</v>
      </c>
      <c r="O1026">
        <v>60.524099999999997</v>
      </c>
      <c r="P1026">
        <v>34820</v>
      </c>
      <c r="Q1026" t="s">
        <v>2304</v>
      </c>
    </row>
    <row r="1027" spans="1:17" x14ac:dyDescent="0.3">
      <c r="A1027" t="s">
        <v>17</v>
      </c>
      <c r="B1027" t="str">
        <f>"601878"</f>
        <v>601878</v>
      </c>
      <c r="C1027" t="s">
        <v>2305</v>
      </c>
      <c r="D1027" t="s">
        <v>80</v>
      </c>
      <c r="P1027">
        <v>842</v>
      </c>
      <c r="Q1027" t="s">
        <v>2306</v>
      </c>
    </row>
    <row r="1028" spans="1:17" x14ac:dyDescent="0.3">
      <c r="A1028" t="s">
        <v>17</v>
      </c>
      <c r="B1028" t="str">
        <f>"601880"</f>
        <v>601880</v>
      </c>
      <c r="C1028" t="s">
        <v>2307</v>
      </c>
      <c r="D1028" t="s">
        <v>51</v>
      </c>
      <c r="F1028">
        <v>5.5758999999999999</v>
      </c>
      <c r="G1028">
        <v>9.7453000000000003</v>
      </c>
      <c r="H1028">
        <v>13.8085</v>
      </c>
      <c r="I1028">
        <v>37.176400000000001</v>
      </c>
      <c r="J1028">
        <v>37.593899999999998</v>
      </c>
      <c r="K1028">
        <v>30.715800000000002</v>
      </c>
      <c r="L1028">
        <v>62.949599999999997</v>
      </c>
      <c r="M1028">
        <v>46.9572</v>
      </c>
      <c r="N1028">
        <v>25.606999999999999</v>
      </c>
      <c r="O1028">
        <v>16.6724</v>
      </c>
      <c r="P1028">
        <v>189</v>
      </c>
      <c r="Q1028" t="s">
        <v>2308</v>
      </c>
    </row>
    <row r="1029" spans="1:17" x14ac:dyDescent="0.3">
      <c r="A1029" t="s">
        <v>17</v>
      </c>
      <c r="B1029" t="str">
        <f>"601881"</f>
        <v>601881</v>
      </c>
      <c r="C1029" t="s">
        <v>2309</v>
      </c>
      <c r="D1029" t="s">
        <v>80</v>
      </c>
      <c r="P1029">
        <v>1598</v>
      </c>
      <c r="Q1029" t="s">
        <v>2310</v>
      </c>
    </row>
    <row r="1030" spans="1:17" x14ac:dyDescent="0.3">
      <c r="A1030" t="s">
        <v>17</v>
      </c>
      <c r="B1030" t="str">
        <f>"601882"</f>
        <v>601882</v>
      </c>
      <c r="C1030" t="s">
        <v>2311</v>
      </c>
      <c r="D1030" t="s">
        <v>2312</v>
      </c>
      <c r="F1030">
        <v>220.8415</v>
      </c>
      <c r="G1030">
        <v>301.03309999999999</v>
      </c>
      <c r="H1030">
        <v>343.73349999999999</v>
      </c>
      <c r="I1030">
        <v>276.81240000000003</v>
      </c>
      <c r="J1030">
        <v>281.18450000000001</v>
      </c>
      <c r="K1030">
        <v>343.6037</v>
      </c>
      <c r="L1030">
        <v>222.23519999999999</v>
      </c>
      <c r="P1030">
        <v>188</v>
      </c>
      <c r="Q1030" t="s">
        <v>2313</v>
      </c>
    </row>
    <row r="1031" spans="1:17" x14ac:dyDescent="0.3">
      <c r="A1031" t="s">
        <v>17</v>
      </c>
      <c r="B1031" t="str">
        <f>"601886"</f>
        <v>601886</v>
      </c>
      <c r="C1031" t="s">
        <v>2314</v>
      </c>
      <c r="D1031" t="s">
        <v>450</v>
      </c>
      <c r="F1031">
        <v>29.165500000000002</v>
      </c>
      <c r="G1031">
        <v>52.396900000000002</v>
      </c>
      <c r="H1031">
        <v>81.363100000000003</v>
      </c>
      <c r="I1031">
        <v>83.0137</v>
      </c>
      <c r="J1031">
        <v>90.265600000000006</v>
      </c>
      <c r="K1031">
        <v>118.1122</v>
      </c>
      <c r="L1031">
        <v>139.68899999999999</v>
      </c>
      <c r="M1031">
        <v>155.75720000000001</v>
      </c>
      <c r="N1031">
        <v>196.07310000000001</v>
      </c>
      <c r="O1031">
        <v>221.1011</v>
      </c>
      <c r="P1031">
        <v>177</v>
      </c>
      <c r="Q1031" t="s">
        <v>2315</v>
      </c>
    </row>
    <row r="1032" spans="1:17" x14ac:dyDescent="0.3">
      <c r="A1032" t="s">
        <v>17</v>
      </c>
      <c r="B1032" t="str">
        <f>"601888"</f>
        <v>601888</v>
      </c>
      <c r="C1032" t="s">
        <v>2316</v>
      </c>
      <c r="D1032" t="s">
        <v>2317</v>
      </c>
      <c r="F1032">
        <v>197.08459999999999</v>
      </c>
      <c r="G1032">
        <v>180.96719999999999</v>
      </c>
      <c r="H1032">
        <v>133.0453</v>
      </c>
      <c r="I1032">
        <v>66.278000000000006</v>
      </c>
      <c r="J1032">
        <v>61.437600000000003</v>
      </c>
      <c r="K1032">
        <v>58.451700000000002</v>
      </c>
      <c r="L1032">
        <v>51.845100000000002</v>
      </c>
      <c r="M1032">
        <v>44.433999999999997</v>
      </c>
      <c r="N1032">
        <v>38.593499999999999</v>
      </c>
      <c r="O1032">
        <v>40.351300000000002</v>
      </c>
      <c r="P1032">
        <v>6129</v>
      </c>
      <c r="Q1032" t="s">
        <v>2318</v>
      </c>
    </row>
    <row r="1033" spans="1:17" x14ac:dyDescent="0.3">
      <c r="A1033" t="s">
        <v>17</v>
      </c>
      <c r="B1033" t="str">
        <f>"601890"</f>
        <v>601890</v>
      </c>
      <c r="C1033" t="s">
        <v>2319</v>
      </c>
      <c r="D1033" t="s">
        <v>167</v>
      </c>
      <c r="F1033">
        <v>329.18490000000003</v>
      </c>
      <c r="G1033">
        <v>367.08049999999997</v>
      </c>
      <c r="H1033">
        <v>317.28030000000001</v>
      </c>
      <c r="I1033">
        <v>292.68400000000003</v>
      </c>
      <c r="J1033">
        <v>296.22250000000003</v>
      </c>
      <c r="K1033">
        <v>288.0129</v>
      </c>
      <c r="L1033">
        <v>254.28790000000001</v>
      </c>
      <c r="M1033">
        <v>239.05459999999999</v>
      </c>
      <c r="N1033">
        <v>229.91409999999999</v>
      </c>
      <c r="O1033">
        <v>217.36170000000001</v>
      </c>
      <c r="P1033">
        <v>144</v>
      </c>
      <c r="Q1033" t="s">
        <v>2320</v>
      </c>
    </row>
    <row r="1034" spans="1:17" x14ac:dyDescent="0.3">
      <c r="A1034" t="s">
        <v>17</v>
      </c>
      <c r="B1034" t="str">
        <f>"601898"</f>
        <v>601898</v>
      </c>
      <c r="C1034" t="s">
        <v>2321</v>
      </c>
      <c r="D1034" t="s">
        <v>292</v>
      </c>
      <c r="F1034">
        <v>21.347300000000001</v>
      </c>
      <c r="G1034">
        <v>38.503999999999998</v>
      </c>
      <c r="H1034">
        <v>43.749600000000001</v>
      </c>
      <c r="I1034">
        <v>50.8872</v>
      </c>
      <c r="J1034">
        <v>67.620199999999997</v>
      </c>
      <c r="K1034">
        <v>85.625100000000003</v>
      </c>
      <c r="L1034">
        <v>96.428600000000003</v>
      </c>
      <c r="M1034">
        <v>80.9863</v>
      </c>
      <c r="N1034">
        <v>63.488199999999999</v>
      </c>
      <c r="O1034">
        <v>63.701099999999997</v>
      </c>
      <c r="P1034">
        <v>446</v>
      </c>
      <c r="Q1034" t="s">
        <v>2322</v>
      </c>
    </row>
    <row r="1035" spans="1:17" x14ac:dyDescent="0.3">
      <c r="A1035" t="s">
        <v>17</v>
      </c>
      <c r="B1035" t="str">
        <f>"601899"</f>
        <v>601899</v>
      </c>
      <c r="C1035" t="s">
        <v>2323</v>
      </c>
      <c r="D1035" t="s">
        <v>263</v>
      </c>
      <c r="F1035">
        <v>46.814399999999999</v>
      </c>
      <c r="G1035">
        <v>52.419800000000002</v>
      </c>
      <c r="H1035">
        <v>54.422899999999998</v>
      </c>
      <c r="I1035">
        <v>65.163700000000006</v>
      </c>
      <c r="J1035">
        <v>84.797899999999998</v>
      </c>
      <c r="K1035">
        <v>75.778099999999995</v>
      </c>
      <c r="L1035">
        <v>65.944599999999994</v>
      </c>
      <c r="M1035">
        <v>99.485600000000005</v>
      </c>
      <c r="N1035">
        <v>125.07129999999999</v>
      </c>
      <c r="O1035">
        <v>119.2641</v>
      </c>
      <c r="P1035">
        <v>2402</v>
      </c>
      <c r="Q1035" t="s">
        <v>2324</v>
      </c>
    </row>
    <row r="1036" spans="1:17" x14ac:dyDescent="0.3">
      <c r="A1036" t="s">
        <v>17</v>
      </c>
      <c r="B1036" t="str">
        <f>"601900"</f>
        <v>601900</v>
      </c>
      <c r="C1036" t="s">
        <v>2325</v>
      </c>
      <c r="D1036" t="s">
        <v>1536</v>
      </c>
      <c r="F1036">
        <v>131.46530000000001</v>
      </c>
      <c r="G1036">
        <v>159.36279999999999</v>
      </c>
      <c r="H1036">
        <v>129.31139999999999</v>
      </c>
      <c r="I1036">
        <v>145.79499999999999</v>
      </c>
      <c r="J1036">
        <v>135.35659999999999</v>
      </c>
      <c r="K1036">
        <v>106.25069999999999</v>
      </c>
      <c r="L1036">
        <v>113.6717</v>
      </c>
      <c r="M1036">
        <v>51.595999999999997</v>
      </c>
      <c r="P1036">
        <v>244</v>
      </c>
      <c r="Q1036" t="s">
        <v>2326</v>
      </c>
    </row>
    <row r="1037" spans="1:17" x14ac:dyDescent="0.3">
      <c r="A1037" t="s">
        <v>17</v>
      </c>
      <c r="B1037" t="str">
        <f>"601901"</f>
        <v>601901</v>
      </c>
      <c r="C1037" t="s">
        <v>2327</v>
      </c>
      <c r="D1037" t="s">
        <v>80</v>
      </c>
      <c r="P1037">
        <v>931</v>
      </c>
      <c r="Q1037" t="s">
        <v>2328</v>
      </c>
    </row>
    <row r="1038" spans="1:17" x14ac:dyDescent="0.3">
      <c r="A1038" t="s">
        <v>17</v>
      </c>
      <c r="B1038" t="str">
        <f>"601908"</f>
        <v>601908</v>
      </c>
      <c r="C1038" t="s">
        <v>2329</v>
      </c>
      <c r="D1038" t="s">
        <v>86</v>
      </c>
      <c r="F1038">
        <v>150.03809999999999</v>
      </c>
      <c r="G1038">
        <v>120.8013</v>
      </c>
      <c r="H1038">
        <v>312.34320000000002</v>
      </c>
      <c r="I1038">
        <v>208.71979999999999</v>
      </c>
      <c r="J1038">
        <v>133.19499999999999</v>
      </c>
      <c r="K1038">
        <v>266.36829999999998</v>
      </c>
      <c r="L1038">
        <v>261.2441</v>
      </c>
      <c r="M1038">
        <v>535.37919999999997</v>
      </c>
      <c r="N1038">
        <v>527.87540000000001</v>
      </c>
      <c r="O1038">
        <v>447.59059999999999</v>
      </c>
      <c r="P1038">
        <v>318</v>
      </c>
      <c r="Q1038" t="s">
        <v>2330</v>
      </c>
    </row>
    <row r="1039" spans="1:17" x14ac:dyDescent="0.3">
      <c r="A1039" t="s">
        <v>17</v>
      </c>
      <c r="B1039" t="str">
        <f>"601916"</f>
        <v>601916</v>
      </c>
      <c r="C1039" t="s">
        <v>2331</v>
      </c>
      <c r="D1039" t="s">
        <v>19</v>
      </c>
      <c r="P1039">
        <v>537</v>
      </c>
      <c r="Q1039" t="s">
        <v>2332</v>
      </c>
    </row>
    <row r="1040" spans="1:17" x14ac:dyDescent="0.3">
      <c r="A1040" t="s">
        <v>17</v>
      </c>
      <c r="B1040" t="str">
        <f>"601918"</f>
        <v>601918</v>
      </c>
      <c r="C1040" t="s">
        <v>2333</v>
      </c>
      <c r="D1040" t="s">
        <v>292</v>
      </c>
      <c r="F1040">
        <v>19.069199999999999</v>
      </c>
      <c r="G1040">
        <v>21.758299999999998</v>
      </c>
      <c r="H1040">
        <v>21.677299999999999</v>
      </c>
      <c r="I1040">
        <v>19.720600000000001</v>
      </c>
      <c r="J1040">
        <v>33.788899999999998</v>
      </c>
      <c r="K1040">
        <v>57.2241</v>
      </c>
      <c r="L1040">
        <v>45.776800000000001</v>
      </c>
      <c r="M1040">
        <v>31.943999999999999</v>
      </c>
      <c r="N1040">
        <v>63.822400000000002</v>
      </c>
      <c r="O1040">
        <v>96.507800000000003</v>
      </c>
      <c r="P1040">
        <v>237</v>
      </c>
      <c r="Q1040" t="s">
        <v>2334</v>
      </c>
    </row>
    <row r="1041" spans="1:17" x14ac:dyDescent="0.3">
      <c r="A1041" t="s">
        <v>17</v>
      </c>
      <c r="B1041" t="str">
        <f>"601919"</f>
        <v>601919</v>
      </c>
      <c r="C1041" t="s">
        <v>2335</v>
      </c>
      <c r="D1041" t="s">
        <v>69</v>
      </c>
      <c r="F1041">
        <v>10.757899999999999</v>
      </c>
      <c r="G1041">
        <v>12.8576</v>
      </c>
      <c r="H1041">
        <v>14.184100000000001</v>
      </c>
      <c r="I1041">
        <v>14.773899999999999</v>
      </c>
      <c r="J1041">
        <v>10.9564</v>
      </c>
      <c r="K1041">
        <v>9.6583000000000006</v>
      </c>
      <c r="L1041">
        <v>16.724</v>
      </c>
      <c r="M1041">
        <v>21.457899999999999</v>
      </c>
      <c r="N1041">
        <v>22.912400000000002</v>
      </c>
      <c r="O1041">
        <v>26.768000000000001</v>
      </c>
      <c r="P1041">
        <v>1359</v>
      </c>
      <c r="Q1041" t="s">
        <v>2336</v>
      </c>
    </row>
    <row r="1042" spans="1:17" x14ac:dyDescent="0.3">
      <c r="A1042" t="s">
        <v>17</v>
      </c>
      <c r="B1042" t="str">
        <f>"601921"</f>
        <v>601921</v>
      </c>
      <c r="C1042" t="s">
        <v>2337</v>
      </c>
      <c r="D1042" t="s">
        <v>1536</v>
      </c>
      <c r="F1042">
        <v>249.27350000000001</v>
      </c>
      <c r="P1042">
        <v>28</v>
      </c>
      <c r="Q1042" t="s">
        <v>2338</v>
      </c>
    </row>
    <row r="1043" spans="1:17" x14ac:dyDescent="0.3">
      <c r="A1043" t="s">
        <v>17</v>
      </c>
      <c r="B1043" t="str">
        <f>"601928"</f>
        <v>601928</v>
      </c>
      <c r="C1043" t="s">
        <v>2339</v>
      </c>
      <c r="D1043" t="s">
        <v>1536</v>
      </c>
      <c r="F1043">
        <v>177.1122</v>
      </c>
      <c r="G1043">
        <v>226.13329999999999</v>
      </c>
      <c r="H1043">
        <v>186.8211</v>
      </c>
      <c r="I1043">
        <v>192.75020000000001</v>
      </c>
      <c r="J1043">
        <v>209.62190000000001</v>
      </c>
      <c r="K1043">
        <v>230.29650000000001</v>
      </c>
      <c r="L1043">
        <v>223.1181</v>
      </c>
      <c r="M1043">
        <v>213.71680000000001</v>
      </c>
      <c r="N1043">
        <v>189.9102</v>
      </c>
      <c r="O1043">
        <v>160.22810000000001</v>
      </c>
      <c r="P1043">
        <v>551</v>
      </c>
      <c r="Q1043" t="s">
        <v>2340</v>
      </c>
    </row>
    <row r="1044" spans="1:17" x14ac:dyDescent="0.3">
      <c r="A1044" t="s">
        <v>17</v>
      </c>
      <c r="B1044" t="str">
        <f>"601929"</f>
        <v>601929</v>
      </c>
      <c r="C1044" t="s">
        <v>2341</v>
      </c>
      <c r="D1044" t="s">
        <v>95</v>
      </c>
      <c r="F1044">
        <v>417.85750000000002</v>
      </c>
      <c r="G1044">
        <v>366.51339999999999</v>
      </c>
      <c r="H1044">
        <v>381.50209999999998</v>
      </c>
      <c r="I1044">
        <v>372.73610000000002</v>
      </c>
      <c r="J1044">
        <v>286.86660000000001</v>
      </c>
      <c r="K1044">
        <v>243.15950000000001</v>
      </c>
      <c r="L1044">
        <v>253.59460000000001</v>
      </c>
      <c r="M1044">
        <v>47.430399999999999</v>
      </c>
      <c r="N1044">
        <v>53.756100000000004</v>
      </c>
      <c r="O1044">
        <v>77.978099999999998</v>
      </c>
      <c r="P1044">
        <v>159</v>
      </c>
      <c r="Q1044" t="s">
        <v>2342</v>
      </c>
    </row>
    <row r="1045" spans="1:17" x14ac:dyDescent="0.3">
      <c r="A1045" t="s">
        <v>17</v>
      </c>
      <c r="B1045" t="str">
        <f>"601933"</f>
        <v>601933</v>
      </c>
      <c r="C1045" t="s">
        <v>2343</v>
      </c>
      <c r="D1045" t="s">
        <v>798</v>
      </c>
      <c r="F1045">
        <v>58.984999999999999</v>
      </c>
      <c r="G1045">
        <v>67.878699999999995</v>
      </c>
      <c r="H1045">
        <v>57.636200000000002</v>
      </c>
      <c r="I1045">
        <v>49.290799999999997</v>
      </c>
      <c r="J1045">
        <v>51.184100000000001</v>
      </c>
      <c r="K1045">
        <v>50.924999999999997</v>
      </c>
      <c r="L1045">
        <v>52.685000000000002</v>
      </c>
      <c r="M1045">
        <v>53.966999999999999</v>
      </c>
      <c r="N1045">
        <v>57.946599999999997</v>
      </c>
      <c r="O1045">
        <v>60.235199999999999</v>
      </c>
      <c r="P1045">
        <v>2444</v>
      </c>
      <c r="Q1045" t="s">
        <v>2344</v>
      </c>
    </row>
    <row r="1046" spans="1:17" x14ac:dyDescent="0.3">
      <c r="A1046" t="s">
        <v>17</v>
      </c>
      <c r="B1046" t="str">
        <f>"601939"</f>
        <v>601939</v>
      </c>
      <c r="C1046" t="s">
        <v>2345</v>
      </c>
      <c r="D1046" t="s">
        <v>2103</v>
      </c>
      <c r="P1046">
        <v>19332</v>
      </c>
      <c r="Q1046" t="s">
        <v>2346</v>
      </c>
    </row>
    <row r="1047" spans="1:17" x14ac:dyDescent="0.3">
      <c r="A1047" t="s">
        <v>17</v>
      </c>
      <c r="B1047" t="str">
        <f>"601949"</f>
        <v>601949</v>
      </c>
      <c r="C1047" t="s">
        <v>2347</v>
      </c>
      <c r="D1047" t="s">
        <v>525</v>
      </c>
      <c r="F1047">
        <v>422.72969999999998</v>
      </c>
      <c r="G1047">
        <v>492.52109999999999</v>
      </c>
      <c r="H1047">
        <v>386.54680000000002</v>
      </c>
      <c r="I1047">
        <v>439.81310000000002</v>
      </c>
      <c r="J1047">
        <v>425.40820000000002</v>
      </c>
      <c r="P1047">
        <v>160</v>
      </c>
      <c r="Q1047" t="s">
        <v>2348</v>
      </c>
    </row>
    <row r="1048" spans="1:17" x14ac:dyDescent="0.3">
      <c r="A1048" t="s">
        <v>17</v>
      </c>
      <c r="B1048" t="str">
        <f>"601952"</f>
        <v>601952</v>
      </c>
      <c r="C1048" t="s">
        <v>2349</v>
      </c>
      <c r="D1048" t="s">
        <v>1210</v>
      </c>
      <c r="F1048">
        <v>181.4187</v>
      </c>
      <c r="G1048">
        <v>198.4873</v>
      </c>
      <c r="H1048">
        <v>190.54580000000001</v>
      </c>
      <c r="I1048">
        <v>257.18419999999998</v>
      </c>
      <c r="J1048">
        <v>292.13749999999999</v>
      </c>
      <c r="P1048">
        <v>313</v>
      </c>
      <c r="Q1048" t="s">
        <v>2350</v>
      </c>
    </row>
    <row r="1049" spans="1:17" x14ac:dyDescent="0.3">
      <c r="A1049" t="s">
        <v>17</v>
      </c>
      <c r="B1049" t="str">
        <f>"601956"</f>
        <v>601956</v>
      </c>
      <c r="C1049" t="s">
        <v>2351</v>
      </c>
      <c r="D1049" t="s">
        <v>1253</v>
      </c>
      <c r="F1049">
        <v>64.925799999999995</v>
      </c>
      <c r="G1049">
        <v>83.66</v>
      </c>
      <c r="P1049">
        <v>23</v>
      </c>
      <c r="Q1049" t="s">
        <v>2352</v>
      </c>
    </row>
    <row r="1050" spans="1:17" x14ac:dyDescent="0.3">
      <c r="A1050" t="s">
        <v>17</v>
      </c>
      <c r="B1050" t="str">
        <f>"601958"</f>
        <v>601958</v>
      </c>
      <c r="C1050" t="s">
        <v>2353</v>
      </c>
      <c r="D1050" t="s">
        <v>2354</v>
      </c>
      <c r="F1050">
        <v>45.177799999999998</v>
      </c>
      <c r="G1050">
        <v>44.008000000000003</v>
      </c>
      <c r="H1050">
        <v>47.797400000000003</v>
      </c>
      <c r="I1050">
        <v>57.078499999999998</v>
      </c>
      <c r="J1050">
        <v>44.452399999999997</v>
      </c>
      <c r="K1050">
        <v>44.866900000000001</v>
      </c>
      <c r="L1050">
        <v>51.927399999999999</v>
      </c>
      <c r="M1050">
        <v>70.054500000000004</v>
      </c>
      <c r="N1050">
        <v>68.8339</v>
      </c>
      <c r="O1050">
        <v>88.183099999999996</v>
      </c>
      <c r="P1050">
        <v>244</v>
      </c>
      <c r="Q1050" t="s">
        <v>2355</v>
      </c>
    </row>
    <row r="1051" spans="1:17" x14ac:dyDescent="0.3">
      <c r="A1051" t="s">
        <v>17</v>
      </c>
      <c r="B1051" t="str">
        <f>"601963"</f>
        <v>601963</v>
      </c>
      <c r="C1051" t="s">
        <v>2356</v>
      </c>
      <c r="D1051" t="s">
        <v>1838</v>
      </c>
      <c r="P1051">
        <v>149</v>
      </c>
      <c r="Q1051" t="s">
        <v>2357</v>
      </c>
    </row>
    <row r="1052" spans="1:17" x14ac:dyDescent="0.3">
      <c r="A1052" t="s">
        <v>17</v>
      </c>
      <c r="B1052" t="str">
        <f>"601965"</f>
        <v>601965</v>
      </c>
      <c r="C1052" t="s">
        <v>2358</v>
      </c>
      <c r="D1052" t="s">
        <v>2359</v>
      </c>
      <c r="F1052">
        <v>78.0364</v>
      </c>
      <c r="G1052">
        <v>69.9529</v>
      </c>
      <c r="H1052">
        <v>89.828800000000001</v>
      </c>
      <c r="I1052">
        <v>59.701799999999999</v>
      </c>
      <c r="J1052">
        <v>58.926499999999997</v>
      </c>
      <c r="K1052">
        <v>107.6857</v>
      </c>
      <c r="L1052">
        <v>160.46860000000001</v>
      </c>
      <c r="M1052">
        <v>124.05289999999999</v>
      </c>
      <c r="N1052">
        <v>121.4402</v>
      </c>
      <c r="O1052">
        <v>228.73939999999999</v>
      </c>
      <c r="P1052">
        <v>307</v>
      </c>
      <c r="Q1052" t="s">
        <v>2360</v>
      </c>
    </row>
    <row r="1053" spans="1:17" x14ac:dyDescent="0.3">
      <c r="A1053" t="s">
        <v>17</v>
      </c>
      <c r="B1053" t="str">
        <f>"601966"</f>
        <v>601966</v>
      </c>
      <c r="C1053" t="s">
        <v>2361</v>
      </c>
      <c r="D1053" t="s">
        <v>422</v>
      </c>
      <c r="F1053">
        <v>105.5317</v>
      </c>
      <c r="G1053">
        <v>101.7732</v>
      </c>
      <c r="H1053">
        <v>99.789000000000001</v>
      </c>
      <c r="I1053">
        <v>100.4675</v>
      </c>
      <c r="J1053">
        <v>86.871099999999998</v>
      </c>
      <c r="K1053">
        <v>109.8655</v>
      </c>
      <c r="L1053">
        <v>67.438800000000001</v>
      </c>
      <c r="P1053">
        <v>927</v>
      </c>
      <c r="Q1053" t="s">
        <v>2362</v>
      </c>
    </row>
    <row r="1054" spans="1:17" x14ac:dyDescent="0.3">
      <c r="A1054" t="s">
        <v>17</v>
      </c>
      <c r="B1054" t="str">
        <f>"601968"</f>
        <v>601968</v>
      </c>
      <c r="C1054" t="s">
        <v>2363</v>
      </c>
      <c r="D1054" t="s">
        <v>2364</v>
      </c>
      <c r="F1054">
        <v>67.433499999999995</v>
      </c>
      <c r="G1054">
        <v>58.2241</v>
      </c>
      <c r="H1054">
        <v>72.182100000000005</v>
      </c>
      <c r="I1054">
        <v>74.7059</v>
      </c>
      <c r="J1054">
        <v>86.085599999999999</v>
      </c>
      <c r="K1054">
        <v>95.386099999999999</v>
      </c>
      <c r="L1054">
        <v>115.53319999999999</v>
      </c>
      <c r="M1054">
        <v>64.583500000000001</v>
      </c>
      <c r="P1054">
        <v>108</v>
      </c>
      <c r="Q1054" t="s">
        <v>2365</v>
      </c>
    </row>
    <row r="1055" spans="1:17" x14ac:dyDescent="0.3">
      <c r="A1055" t="s">
        <v>17</v>
      </c>
      <c r="B1055" t="str">
        <f>"601969"</f>
        <v>601969</v>
      </c>
      <c r="C1055" t="s">
        <v>2366</v>
      </c>
      <c r="D1055" t="s">
        <v>2367</v>
      </c>
      <c r="F1055">
        <v>62.343000000000004</v>
      </c>
      <c r="G1055">
        <v>97.9679</v>
      </c>
      <c r="H1055">
        <v>59.301000000000002</v>
      </c>
      <c r="I1055">
        <v>91.756500000000003</v>
      </c>
      <c r="J1055">
        <v>103.1872</v>
      </c>
      <c r="K1055">
        <v>266.3424</v>
      </c>
      <c r="L1055">
        <v>484.04039999999998</v>
      </c>
      <c r="M1055">
        <v>328.464</v>
      </c>
      <c r="N1055">
        <v>119.4953</v>
      </c>
      <c r="P1055">
        <v>154</v>
      </c>
      <c r="Q1055" t="s">
        <v>2368</v>
      </c>
    </row>
    <row r="1056" spans="1:17" x14ac:dyDescent="0.3">
      <c r="A1056" t="s">
        <v>17</v>
      </c>
      <c r="B1056" t="str">
        <f>"601975"</f>
        <v>601975</v>
      </c>
      <c r="C1056" t="s">
        <v>2369</v>
      </c>
      <c r="D1056" t="s">
        <v>69</v>
      </c>
      <c r="F1056">
        <v>38.234299999999998</v>
      </c>
      <c r="G1056">
        <v>43.5518</v>
      </c>
      <c r="H1056">
        <v>31.152100000000001</v>
      </c>
      <c r="I1056">
        <v>23.819600000000001</v>
      </c>
      <c r="N1056">
        <v>24.529800000000002</v>
      </c>
      <c r="O1056">
        <v>30.478300000000001</v>
      </c>
      <c r="P1056">
        <v>270</v>
      </c>
      <c r="Q1056" t="s">
        <v>2370</v>
      </c>
    </row>
    <row r="1057" spans="1:17" x14ac:dyDescent="0.3">
      <c r="A1057" t="s">
        <v>17</v>
      </c>
      <c r="B1057" t="str">
        <f>"601985"</f>
        <v>601985</v>
      </c>
      <c r="C1057" t="s">
        <v>2371</v>
      </c>
      <c r="D1057" t="s">
        <v>2372</v>
      </c>
      <c r="F1057">
        <v>297.62610000000001</v>
      </c>
      <c r="G1057">
        <v>352.82170000000002</v>
      </c>
      <c r="H1057">
        <v>317.80029999999999</v>
      </c>
      <c r="I1057">
        <v>359.02229999999997</v>
      </c>
      <c r="J1057">
        <v>340.43169999999998</v>
      </c>
      <c r="K1057">
        <v>418.58780000000002</v>
      </c>
      <c r="L1057">
        <v>406.20870000000002</v>
      </c>
      <c r="M1057">
        <v>243.5539</v>
      </c>
      <c r="P1057">
        <v>998</v>
      </c>
      <c r="Q1057" t="s">
        <v>2373</v>
      </c>
    </row>
    <row r="1058" spans="1:17" x14ac:dyDescent="0.3">
      <c r="A1058" t="s">
        <v>17</v>
      </c>
      <c r="B1058" t="str">
        <f>"601988"</f>
        <v>601988</v>
      </c>
      <c r="C1058" t="s">
        <v>2374</v>
      </c>
      <c r="D1058" t="s">
        <v>2103</v>
      </c>
      <c r="P1058">
        <v>4259</v>
      </c>
      <c r="Q1058" t="s">
        <v>2375</v>
      </c>
    </row>
    <row r="1059" spans="1:17" x14ac:dyDescent="0.3">
      <c r="A1059" t="s">
        <v>17</v>
      </c>
      <c r="B1059" t="str">
        <f>"601989"</f>
        <v>601989</v>
      </c>
      <c r="C1059" t="s">
        <v>2376</v>
      </c>
      <c r="D1059" t="s">
        <v>167</v>
      </c>
      <c r="F1059">
        <v>446.31180000000001</v>
      </c>
      <c r="G1059">
        <v>389.14640000000003</v>
      </c>
      <c r="H1059">
        <v>573.54989999999998</v>
      </c>
      <c r="I1059">
        <v>612.20249999999999</v>
      </c>
      <c r="J1059">
        <v>685.59799999999996</v>
      </c>
      <c r="K1059">
        <v>504.09399999999999</v>
      </c>
      <c r="L1059">
        <v>420.38510000000002</v>
      </c>
      <c r="M1059">
        <v>347.88920000000002</v>
      </c>
      <c r="N1059">
        <v>376.38330000000002</v>
      </c>
      <c r="O1059">
        <v>238.01599999999999</v>
      </c>
      <c r="P1059">
        <v>669</v>
      </c>
      <c r="Q1059" t="s">
        <v>2377</v>
      </c>
    </row>
    <row r="1060" spans="1:17" x14ac:dyDescent="0.3">
      <c r="A1060" t="s">
        <v>17</v>
      </c>
      <c r="B1060" t="str">
        <f>"601990"</f>
        <v>601990</v>
      </c>
      <c r="C1060" t="s">
        <v>2378</v>
      </c>
      <c r="D1060" t="s">
        <v>80</v>
      </c>
      <c r="P1060">
        <v>722</v>
      </c>
      <c r="Q1060" t="s">
        <v>2379</v>
      </c>
    </row>
    <row r="1061" spans="1:17" x14ac:dyDescent="0.3">
      <c r="A1061" t="s">
        <v>17</v>
      </c>
      <c r="B1061" t="str">
        <f>"601991"</f>
        <v>601991</v>
      </c>
      <c r="C1061" t="s">
        <v>2380</v>
      </c>
      <c r="D1061" t="s">
        <v>41</v>
      </c>
      <c r="F1061">
        <v>16.635999999999999</v>
      </c>
      <c r="G1061">
        <v>25.266100000000002</v>
      </c>
      <c r="H1061">
        <v>27.083200000000001</v>
      </c>
      <c r="I1061">
        <v>23.026599999999998</v>
      </c>
      <c r="J1061">
        <v>25.446200000000001</v>
      </c>
      <c r="K1061">
        <v>31.2364</v>
      </c>
      <c r="L1061">
        <v>40.256700000000002</v>
      </c>
      <c r="M1061">
        <v>37.213299999999997</v>
      </c>
      <c r="N1061">
        <v>41.481099999999998</v>
      </c>
      <c r="O1061">
        <v>47.152999999999999</v>
      </c>
      <c r="P1061">
        <v>283</v>
      </c>
      <c r="Q1061" t="s">
        <v>2381</v>
      </c>
    </row>
    <row r="1062" spans="1:17" x14ac:dyDescent="0.3">
      <c r="A1062" t="s">
        <v>17</v>
      </c>
      <c r="B1062" t="str">
        <f>"601992"</f>
        <v>601992</v>
      </c>
      <c r="C1062" t="s">
        <v>2382</v>
      </c>
      <c r="D1062" t="s">
        <v>731</v>
      </c>
      <c r="F1062">
        <v>592.10209999999995</v>
      </c>
      <c r="G1062">
        <v>795.01620000000003</v>
      </c>
      <c r="H1062">
        <v>861.2491</v>
      </c>
      <c r="I1062">
        <v>935.63170000000002</v>
      </c>
      <c r="J1062">
        <v>818.28880000000004</v>
      </c>
      <c r="K1062">
        <v>798.08270000000005</v>
      </c>
      <c r="L1062">
        <v>951.07929999999999</v>
      </c>
      <c r="M1062">
        <v>697.76250000000005</v>
      </c>
      <c r="N1062">
        <v>520.66849999999999</v>
      </c>
      <c r="O1062">
        <v>586.94039999999995</v>
      </c>
      <c r="P1062">
        <v>368</v>
      </c>
      <c r="Q1062" t="s">
        <v>2383</v>
      </c>
    </row>
    <row r="1063" spans="1:17" x14ac:dyDescent="0.3">
      <c r="A1063" t="s">
        <v>17</v>
      </c>
      <c r="B1063" t="str">
        <f>"601995"</f>
        <v>601995</v>
      </c>
      <c r="C1063" t="s">
        <v>2384</v>
      </c>
      <c r="D1063" t="s">
        <v>80</v>
      </c>
      <c r="P1063">
        <v>986</v>
      </c>
      <c r="Q1063" t="s">
        <v>2385</v>
      </c>
    </row>
    <row r="1064" spans="1:17" x14ac:dyDescent="0.3">
      <c r="A1064" t="s">
        <v>17</v>
      </c>
      <c r="B1064" t="str">
        <f>"601996"</f>
        <v>601996</v>
      </c>
      <c r="C1064" t="s">
        <v>2386</v>
      </c>
      <c r="D1064" t="s">
        <v>178</v>
      </c>
      <c r="F1064">
        <v>169.7</v>
      </c>
      <c r="G1064">
        <v>220.6591</v>
      </c>
      <c r="H1064">
        <v>156.66759999999999</v>
      </c>
      <c r="I1064">
        <v>153.68340000000001</v>
      </c>
      <c r="J1064">
        <v>173.84800000000001</v>
      </c>
      <c r="K1064">
        <v>183.47970000000001</v>
      </c>
      <c r="L1064">
        <v>216.4419</v>
      </c>
      <c r="M1064">
        <v>212.08920000000001</v>
      </c>
      <c r="N1064">
        <v>236.80179999999999</v>
      </c>
      <c r="O1064">
        <v>219.63820000000001</v>
      </c>
      <c r="P1064">
        <v>143</v>
      </c>
      <c r="Q1064" t="s">
        <v>2387</v>
      </c>
    </row>
    <row r="1065" spans="1:17" x14ac:dyDescent="0.3">
      <c r="A1065" t="s">
        <v>17</v>
      </c>
      <c r="B1065" t="str">
        <f>"601997"</f>
        <v>601997</v>
      </c>
      <c r="C1065" t="s">
        <v>2388</v>
      </c>
      <c r="D1065" t="s">
        <v>1838</v>
      </c>
      <c r="P1065">
        <v>2050</v>
      </c>
      <c r="Q1065" t="s">
        <v>2389</v>
      </c>
    </row>
    <row r="1066" spans="1:17" x14ac:dyDescent="0.3">
      <c r="A1066" t="s">
        <v>17</v>
      </c>
      <c r="B1066" t="str">
        <f>"601998"</f>
        <v>601998</v>
      </c>
      <c r="C1066" t="s">
        <v>2390</v>
      </c>
      <c r="D1066" t="s">
        <v>19</v>
      </c>
      <c r="P1066">
        <v>1903</v>
      </c>
      <c r="Q1066" t="s">
        <v>2391</v>
      </c>
    </row>
    <row r="1067" spans="1:17" x14ac:dyDescent="0.3">
      <c r="A1067" t="s">
        <v>17</v>
      </c>
      <c r="B1067" t="str">
        <f>"601999"</f>
        <v>601999</v>
      </c>
      <c r="C1067" t="s">
        <v>2392</v>
      </c>
      <c r="D1067" t="s">
        <v>525</v>
      </c>
      <c r="F1067">
        <v>181.1695</v>
      </c>
      <c r="G1067">
        <v>234.01820000000001</v>
      </c>
      <c r="H1067">
        <v>160.72739999999999</v>
      </c>
      <c r="I1067">
        <v>170.36089999999999</v>
      </c>
      <c r="J1067">
        <v>144.52690000000001</v>
      </c>
      <c r="K1067">
        <v>196.3716</v>
      </c>
      <c r="L1067">
        <v>205.97989999999999</v>
      </c>
      <c r="M1067">
        <v>224.21199999999999</v>
      </c>
      <c r="N1067">
        <v>269.52080000000001</v>
      </c>
      <c r="O1067">
        <v>284.94420000000002</v>
      </c>
      <c r="P1067">
        <v>82</v>
      </c>
      <c r="Q1067" t="s">
        <v>2393</v>
      </c>
    </row>
    <row r="1068" spans="1:17" x14ac:dyDescent="0.3">
      <c r="A1068" t="s">
        <v>17</v>
      </c>
      <c r="B1068" t="str">
        <f>"603000"</f>
        <v>603000</v>
      </c>
      <c r="C1068" t="s">
        <v>2394</v>
      </c>
      <c r="D1068" t="s">
        <v>522</v>
      </c>
      <c r="F1068">
        <v>64.074799999999996</v>
      </c>
      <c r="G1068">
        <v>50.373100000000001</v>
      </c>
      <c r="H1068">
        <v>12.1541</v>
      </c>
      <c r="I1068">
        <v>9.6677999999999997</v>
      </c>
      <c r="J1068">
        <v>6.7252000000000001</v>
      </c>
      <c r="K1068">
        <v>4.5083000000000002</v>
      </c>
      <c r="L1068">
        <v>3.0177</v>
      </c>
      <c r="M1068">
        <v>2.6341999999999999</v>
      </c>
      <c r="N1068">
        <v>2.6977000000000002</v>
      </c>
      <c r="O1068">
        <v>2.2829000000000002</v>
      </c>
      <c r="P1068">
        <v>323</v>
      </c>
      <c r="Q1068" t="s">
        <v>2395</v>
      </c>
    </row>
    <row r="1069" spans="1:17" x14ac:dyDescent="0.3">
      <c r="A1069" t="s">
        <v>17</v>
      </c>
      <c r="B1069" t="str">
        <f>"603001"</f>
        <v>603001</v>
      </c>
      <c r="C1069" t="s">
        <v>2396</v>
      </c>
      <c r="D1069" t="s">
        <v>330</v>
      </c>
      <c r="F1069">
        <v>204.01560000000001</v>
      </c>
      <c r="G1069">
        <v>255.4324</v>
      </c>
      <c r="H1069">
        <v>233.09690000000001</v>
      </c>
      <c r="I1069">
        <v>215.3528</v>
      </c>
      <c r="J1069">
        <v>243.46430000000001</v>
      </c>
      <c r="K1069">
        <v>236.77879999999999</v>
      </c>
      <c r="L1069">
        <v>207.6061</v>
      </c>
      <c r="M1069">
        <v>236.91120000000001</v>
      </c>
      <c r="N1069">
        <v>189.6044</v>
      </c>
      <c r="O1069">
        <v>112.78319999999999</v>
      </c>
      <c r="P1069">
        <v>148</v>
      </c>
      <c r="Q1069" t="s">
        <v>2397</v>
      </c>
    </row>
    <row r="1070" spans="1:17" x14ac:dyDescent="0.3">
      <c r="A1070" t="s">
        <v>17</v>
      </c>
      <c r="B1070" t="str">
        <f>"603002"</f>
        <v>603002</v>
      </c>
      <c r="C1070" t="s">
        <v>2398</v>
      </c>
      <c r="D1070" t="s">
        <v>2399</v>
      </c>
      <c r="F1070">
        <v>28.299700000000001</v>
      </c>
      <c r="G1070">
        <v>33.229399999999998</v>
      </c>
      <c r="H1070">
        <v>42.5961</v>
      </c>
      <c r="I1070">
        <v>42.285499999999999</v>
      </c>
      <c r="J1070">
        <v>32.604300000000002</v>
      </c>
      <c r="K1070">
        <v>38.954799999999999</v>
      </c>
      <c r="L1070">
        <v>44.610700000000001</v>
      </c>
      <c r="M1070">
        <v>43.317500000000003</v>
      </c>
      <c r="N1070">
        <v>37.890900000000002</v>
      </c>
      <c r="O1070">
        <v>41.504600000000003</v>
      </c>
      <c r="P1070">
        <v>117</v>
      </c>
      <c r="Q1070" t="s">
        <v>2400</v>
      </c>
    </row>
    <row r="1071" spans="1:17" x14ac:dyDescent="0.3">
      <c r="A1071" t="s">
        <v>17</v>
      </c>
      <c r="B1071" t="str">
        <f>"603003"</f>
        <v>603003</v>
      </c>
      <c r="C1071" t="s">
        <v>2401</v>
      </c>
      <c r="D1071" t="s">
        <v>316</v>
      </c>
      <c r="F1071">
        <v>6.2343000000000002</v>
      </c>
      <c r="G1071">
        <v>9.4123999999999999</v>
      </c>
      <c r="H1071">
        <v>10.534000000000001</v>
      </c>
      <c r="I1071">
        <v>12.8079</v>
      </c>
      <c r="J1071">
        <v>9.5169999999999995</v>
      </c>
      <c r="K1071">
        <v>2.7934000000000001</v>
      </c>
      <c r="L1071">
        <v>12.046200000000001</v>
      </c>
      <c r="M1071">
        <v>30.1846</v>
      </c>
      <c r="N1071">
        <v>38.2485</v>
      </c>
      <c r="O1071">
        <v>20.082899999999999</v>
      </c>
      <c r="P1071">
        <v>88</v>
      </c>
      <c r="Q1071" t="s">
        <v>2402</v>
      </c>
    </row>
    <row r="1072" spans="1:17" x14ac:dyDescent="0.3">
      <c r="A1072" t="s">
        <v>17</v>
      </c>
      <c r="B1072" t="str">
        <f>"603005"</f>
        <v>603005</v>
      </c>
      <c r="C1072" t="s">
        <v>2403</v>
      </c>
      <c r="D1072" t="s">
        <v>1180</v>
      </c>
      <c r="F1072">
        <v>86.584900000000005</v>
      </c>
      <c r="G1072">
        <v>96.964500000000001</v>
      </c>
      <c r="H1072">
        <v>129.4735</v>
      </c>
      <c r="I1072">
        <v>91.067800000000005</v>
      </c>
      <c r="J1072">
        <v>74.990799999999993</v>
      </c>
      <c r="K1072">
        <v>63.325600000000001</v>
      </c>
      <c r="L1072">
        <v>65.180099999999996</v>
      </c>
      <c r="M1072">
        <v>68.105900000000005</v>
      </c>
      <c r="P1072">
        <v>3661</v>
      </c>
      <c r="Q1072" t="s">
        <v>2404</v>
      </c>
    </row>
    <row r="1073" spans="1:17" x14ac:dyDescent="0.3">
      <c r="A1073" t="s">
        <v>17</v>
      </c>
      <c r="B1073" t="str">
        <f>"603006"</f>
        <v>603006</v>
      </c>
      <c r="C1073" t="s">
        <v>2405</v>
      </c>
      <c r="D1073" t="s">
        <v>985</v>
      </c>
      <c r="F1073">
        <v>181.88470000000001</v>
      </c>
      <c r="G1073">
        <v>253.86410000000001</v>
      </c>
      <c r="H1073">
        <v>226.19110000000001</v>
      </c>
      <c r="I1073">
        <v>183.25069999999999</v>
      </c>
      <c r="J1073">
        <v>127.2516</v>
      </c>
      <c r="K1073">
        <v>111.6212</v>
      </c>
      <c r="L1073">
        <v>159.16630000000001</v>
      </c>
      <c r="M1073">
        <v>153.76759999999999</v>
      </c>
      <c r="N1073">
        <v>54.047400000000003</v>
      </c>
      <c r="P1073">
        <v>106</v>
      </c>
      <c r="Q1073" t="s">
        <v>2406</v>
      </c>
    </row>
    <row r="1074" spans="1:17" x14ac:dyDescent="0.3">
      <c r="A1074" t="s">
        <v>17</v>
      </c>
      <c r="B1074" t="str">
        <f>"603007"</f>
        <v>603007</v>
      </c>
      <c r="C1074" t="s">
        <v>2407</v>
      </c>
      <c r="D1074" t="s">
        <v>2408</v>
      </c>
      <c r="F1074">
        <v>255.61930000000001</v>
      </c>
      <c r="G1074">
        <v>579.36379999999997</v>
      </c>
      <c r="H1074">
        <v>480.68729999999999</v>
      </c>
      <c r="I1074">
        <v>432.99099999999999</v>
      </c>
      <c r="J1074">
        <v>421.75569999999999</v>
      </c>
      <c r="K1074">
        <v>491.94929999999999</v>
      </c>
      <c r="L1074">
        <v>249.22819999999999</v>
      </c>
      <c r="P1074">
        <v>81</v>
      </c>
      <c r="Q1074" t="s">
        <v>2409</v>
      </c>
    </row>
    <row r="1075" spans="1:17" x14ac:dyDescent="0.3">
      <c r="A1075" t="s">
        <v>17</v>
      </c>
      <c r="B1075" t="str">
        <f>"603008"</f>
        <v>603008</v>
      </c>
      <c r="C1075" t="s">
        <v>2410</v>
      </c>
      <c r="D1075" t="s">
        <v>757</v>
      </c>
      <c r="F1075">
        <v>94.129199999999997</v>
      </c>
      <c r="G1075">
        <v>178.83930000000001</v>
      </c>
      <c r="H1075">
        <v>151.1593</v>
      </c>
      <c r="I1075">
        <v>149.77619999999999</v>
      </c>
      <c r="J1075">
        <v>148.1362</v>
      </c>
      <c r="K1075">
        <v>150.68459999999999</v>
      </c>
      <c r="L1075">
        <v>150.3938</v>
      </c>
      <c r="M1075">
        <v>101.5184</v>
      </c>
      <c r="N1075">
        <v>94.235399999999998</v>
      </c>
      <c r="O1075">
        <v>115.474</v>
      </c>
      <c r="P1075">
        <v>300</v>
      </c>
      <c r="Q1075" t="s">
        <v>2411</v>
      </c>
    </row>
    <row r="1076" spans="1:17" x14ac:dyDescent="0.3">
      <c r="A1076" t="s">
        <v>17</v>
      </c>
      <c r="B1076" t="str">
        <f>"603009"</f>
        <v>603009</v>
      </c>
      <c r="C1076" t="s">
        <v>2412</v>
      </c>
      <c r="D1076" t="s">
        <v>348</v>
      </c>
      <c r="F1076">
        <v>139.9571</v>
      </c>
      <c r="G1076">
        <v>162.80179999999999</v>
      </c>
      <c r="H1076">
        <v>196.7747</v>
      </c>
      <c r="I1076">
        <v>148.2774</v>
      </c>
      <c r="J1076">
        <v>134.43989999999999</v>
      </c>
      <c r="K1076">
        <v>109.6807</v>
      </c>
      <c r="L1076">
        <v>123.2728</v>
      </c>
      <c r="M1076">
        <v>124.44070000000001</v>
      </c>
      <c r="N1076">
        <v>64.310500000000005</v>
      </c>
      <c r="P1076">
        <v>84</v>
      </c>
      <c r="Q1076" t="s">
        <v>2413</v>
      </c>
    </row>
    <row r="1077" spans="1:17" x14ac:dyDescent="0.3">
      <c r="A1077" t="s">
        <v>17</v>
      </c>
      <c r="B1077" t="str">
        <f>"603010"</f>
        <v>603010</v>
      </c>
      <c r="C1077" t="s">
        <v>2414</v>
      </c>
      <c r="D1077" t="s">
        <v>1192</v>
      </c>
      <c r="F1077">
        <v>60.900700000000001</v>
      </c>
      <c r="G1077">
        <v>88.677499999999995</v>
      </c>
      <c r="H1077">
        <v>91.228099999999998</v>
      </c>
      <c r="I1077">
        <v>86.400300000000001</v>
      </c>
      <c r="J1077">
        <v>58.309699999999999</v>
      </c>
      <c r="K1077">
        <v>64.525999999999996</v>
      </c>
      <c r="L1077">
        <v>57.110100000000003</v>
      </c>
      <c r="M1077">
        <v>60.034100000000002</v>
      </c>
      <c r="N1077">
        <v>22.5777</v>
      </c>
      <c r="P1077">
        <v>279</v>
      </c>
      <c r="Q1077" t="s">
        <v>2415</v>
      </c>
    </row>
    <row r="1078" spans="1:17" x14ac:dyDescent="0.3">
      <c r="A1078" t="s">
        <v>17</v>
      </c>
      <c r="B1078" t="str">
        <f>"603011"</f>
        <v>603011</v>
      </c>
      <c r="C1078" t="s">
        <v>2416</v>
      </c>
      <c r="D1078" t="s">
        <v>741</v>
      </c>
      <c r="F1078">
        <v>478.85550000000001</v>
      </c>
      <c r="G1078">
        <v>563.44560000000001</v>
      </c>
      <c r="H1078">
        <v>477.94630000000001</v>
      </c>
      <c r="I1078">
        <v>394.33069999999998</v>
      </c>
      <c r="J1078">
        <v>357.73270000000002</v>
      </c>
      <c r="K1078">
        <v>301.29719999999998</v>
      </c>
      <c r="L1078">
        <v>337.697</v>
      </c>
      <c r="M1078">
        <v>319.56229999999999</v>
      </c>
      <c r="N1078">
        <v>147.91659999999999</v>
      </c>
      <c r="P1078">
        <v>82</v>
      </c>
      <c r="Q1078" t="s">
        <v>2417</v>
      </c>
    </row>
    <row r="1079" spans="1:17" x14ac:dyDescent="0.3">
      <c r="A1079" t="s">
        <v>17</v>
      </c>
      <c r="B1079" t="str">
        <f>"603012"</f>
        <v>603012</v>
      </c>
      <c r="C1079" t="s">
        <v>2418</v>
      </c>
      <c r="D1079" t="s">
        <v>395</v>
      </c>
      <c r="F1079">
        <v>343.77170000000001</v>
      </c>
      <c r="G1079">
        <v>313.10770000000002</v>
      </c>
      <c r="H1079">
        <v>287.14659999999998</v>
      </c>
      <c r="I1079">
        <v>252.79169999999999</v>
      </c>
      <c r="J1079">
        <v>184.49270000000001</v>
      </c>
      <c r="K1079">
        <v>254.20609999999999</v>
      </c>
      <c r="L1079">
        <v>228.95070000000001</v>
      </c>
      <c r="M1079">
        <v>191.9</v>
      </c>
      <c r="P1079">
        <v>135</v>
      </c>
      <c r="Q1079" t="s">
        <v>2419</v>
      </c>
    </row>
    <row r="1080" spans="1:17" x14ac:dyDescent="0.3">
      <c r="A1080" t="s">
        <v>17</v>
      </c>
      <c r="B1080" t="str">
        <f>"603013"</f>
        <v>603013</v>
      </c>
      <c r="C1080" t="s">
        <v>2420</v>
      </c>
      <c r="D1080" t="s">
        <v>348</v>
      </c>
      <c r="F1080">
        <v>70.209000000000003</v>
      </c>
      <c r="G1080">
        <v>83.136399999999995</v>
      </c>
      <c r="H1080">
        <v>102.42319999999999</v>
      </c>
      <c r="I1080">
        <v>98.750399999999999</v>
      </c>
      <c r="P1080">
        <v>236</v>
      </c>
      <c r="Q1080" t="s">
        <v>2421</v>
      </c>
    </row>
    <row r="1081" spans="1:17" x14ac:dyDescent="0.3">
      <c r="A1081" t="s">
        <v>17</v>
      </c>
      <c r="B1081" t="str">
        <f>"603015"</f>
        <v>603015</v>
      </c>
      <c r="C1081" t="s">
        <v>2422</v>
      </c>
      <c r="D1081" t="s">
        <v>2423</v>
      </c>
      <c r="F1081">
        <v>262.00720000000001</v>
      </c>
      <c r="G1081">
        <v>318.04050000000001</v>
      </c>
      <c r="H1081">
        <v>372.81150000000002</v>
      </c>
      <c r="I1081">
        <v>265.73680000000002</v>
      </c>
      <c r="J1081">
        <v>220.12280000000001</v>
      </c>
      <c r="K1081">
        <v>264.33679999999998</v>
      </c>
      <c r="L1081">
        <v>254.33920000000001</v>
      </c>
      <c r="M1081">
        <v>227.7116</v>
      </c>
      <c r="P1081">
        <v>91</v>
      </c>
      <c r="Q1081" t="s">
        <v>2424</v>
      </c>
    </row>
    <row r="1082" spans="1:17" x14ac:dyDescent="0.3">
      <c r="A1082" t="s">
        <v>17</v>
      </c>
      <c r="B1082" t="str">
        <f>"603016"</f>
        <v>603016</v>
      </c>
      <c r="C1082" t="s">
        <v>2425</v>
      </c>
      <c r="D1082" t="s">
        <v>657</v>
      </c>
      <c r="F1082">
        <v>143.2355</v>
      </c>
      <c r="G1082">
        <v>157.43379999999999</v>
      </c>
      <c r="H1082">
        <v>161.94759999999999</v>
      </c>
      <c r="I1082">
        <v>157.6207</v>
      </c>
      <c r="J1082">
        <v>150.61449999999999</v>
      </c>
      <c r="K1082">
        <v>145.04179999999999</v>
      </c>
      <c r="L1082">
        <v>86.408900000000003</v>
      </c>
      <c r="P1082">
        <v>93</v>
      </c>
      <c r="Q1082" t="s">
        <v>2426</v>
      </c>
    </row>
    <row r="1083" spans="1:17" x14ac:dyDescent="0.3">
      <c r="A1083" t="s">
        <v>17</v>
      </c>
      <c r="B1083" t="str">
        <f>"603017"</f>
        <v>603017</v>
      </c>
      <c r="C1083" t="s">
        <v>2427</v>
      </c>
      <c r="D1083" t="s">
        <v>1272</v>
      </c>
      <c r="F1083">
        <v>1.8186</v>
      </c>
      <c r="G1083">
        <v>137.77279999999999</v>
      </c>
      <c r="H1083">
        <v>114.38890000000001</v>
      </c>
      <c r="I1083">
        <v>39.931199999999997</v>
      </c>
      <c r="J1083">
        <v>39.213200000000001</v>
      </c>
      <c r="K1083">
        <v>0</v>
      </c>
      <c r="L1083">
        <v>0</v>
      </c>
      <c r="M1083">
        <v>0</v>
      </c>
      <c r="N1083">
        <v>0</v>
      </c>
      <c r="P1083">
        <v>121</v>
      </c>
      <c r="Q1083" t="s">
        <v>2428</v>
      </c>
    </row>
    <row r="1084" spans="1:17" x14ac:dyDescent="0.3">
      <c r="A1084" t="s">
        <v>17</v>
      </c>
      <c r="B1084" t="str">
        <f>"603018"</f>
        <v>603018</v>
      </c>
      <c r="C1084" t="s">
        <v>2429</v>
      </c>
      <c r="D1084" t="s">
        <v>1272</v>
      </c>
      <c r="F1084">
        <v>83.025199999999998</v>
      </c>
      <c r="G1084">
        <v>108.4015</v>
      </c>
      <c r="H1084">
        <v>115.30370000000001</v>
      </c>
      <c r="I1084">
        <v>113.8516</v>
      </c>
      <c r="J1084">
        <v>187.3689</v>
      </c>
      <c r="K1084">
        <v>212.57259999999999</v>
      </c>
      <c r="L1084">
        <v>245.9332</v>
      </c>
      <c r="M1084">
        <v>222.42009999999999</v>
      </c>
      <c r="N1084">
        <v>116.73139999999999</v>
      </c>
      <c r="P1084">
        <v>400</v>
      </c>
      <c r="Q1084" t="s">
        <v>2430</v>
      </c>
    </row>
    <row r="1085" spans="1:17" x14ac:dyDescent="0.3">
      <c r="A1085" t="s">
        <v>17</v>
      </c>
      <c r="B1085" t="str">
        <f>"603019"</f>
        <v>603019</v>
      </c>
      <c r="C1085" t="s">
        <v>2431</v>
      </c>
      <c r="D1085" t="s">
        <v>236</v>
      </c>
      <c r="F1085">
        <v>298.84710000000001</v>
      </c>
      <c r="G1085">
        <v>279.22109999999998</v>
      </c>
      <c r="H1085">
        <v>162.9631</v>
      </c>
      <c r="I1085">
        <v>166.4049</v>
      </c>
      <c r="J1085">
        <v>109.9512</v>
      </c>
      <c r="K1085">
        <v>118.31189999999999</v>
      </c>
      <c r="L1085">
        <v>98.322900000000004</v>
      </c>
      <c r="M1085">
        <v>145.15770000000001</v>
      </c>
      <c r="N1085">
        <v>74.447400000000002</v>
      </c>
      <c r="P1085">
        <v>1206</v>
      </c>
      <c r="Q1085" t="s">
        <v>2432</v>
      </c>
    </row>
    <row r="1086" spans="1:17" x14ac:dyDescent="0.3">
      <c r="A1086" t="s">
        <v>17</v>
      </c>
      <c r="B1086" t="str">
        <f>"603020"</f>
        <v>603020</v>
      </c>
      <c r="C1086" t="s">
        <v>2433</v>
      </c>
      <c r="D1086" t="s">
        <v>677</v>
      </c>
      <c r="F1086">
        <v>90.583299999999994</v>
      </c>
      <c r="G1086">
        <v>98.667000000000002</v>
      </c>
      <c r="H1086">
        <v>91.982600000000005</v>
      </c>
      <c r="I1086">
        <v>85.977699999999999</v>
      </c>
      <c r="J1086">
        <v>85.378399999999999</v>
      </c>
      <c r="K1086">
        <v>85.958500000000001</v>
      </c>
      <c r="L1086">
        <v>91.231800000000007</v>
      </c>
      <c r="M1086">
        <v>90.083500000000001</v>
      </c>
      <c r="P1086">
        <v>195</v>
      </c>
      <c r="Q1086" t="s">
        <v>2434</v>
      </c>
    </row>
    <row r="1087" spans="1:17" x14ac:dyDescent="0.3">
      <c r="A1087" t="s">
        <v>17</v>
      </c>
      <c r="B1087" t="str">
        <f>"603021"</f>
        <v>603021</v>
      </c>
      <c r="C1087" t="s">
        <v>2435</v>
      </c>
      <c r="D1087" t="s">
        <v>2436</v>
      </c>
      <c r="F1087">
        <v>248.3133</v>
      </c>
      <c r="G1087">
        <v>460.87329999999997</v>
      </c>
      <c r="H1087">
        <v>215.98</v>
      </c>
      <c r="I1087">
        <v>156.58619999999999</v>
      </c>
      <c r="J1087">
        <v>158.56039999999999</v>
      </c>
      <c r="K1087">
        <v>165.9915</v>
      </c>
      <c r="L1087">
        <v>141.23740000000001</v>
      </c>
      <c r="M1087">
        <v>84.797300000000007</v>
      </c>
      <c r="P1087">
        <v>59</v>
      </c>
      <c r="Q1087" t="s">
        <v>2437</v>
      </c>
    </row>
    <row r="1088" spans="1:17" x14ac:dyDescent="0.3">
      <c r="A1088" t="s">
        <v>17</v>
      </c>
      <c r="B1088" t="str">
        <f>"603022"</f>
        <v>603022</v>
      </c>
      <c r="C1088" t="s">
        <v>2438</v>
      </c>
      <c r="D1088" t="s">
        <v>2439</v>
      </c>
      <c r="F1088">
        <v>87.125600000000006</v>
      </c>
      <c r="G1088">
        <v>100.58880000000001</v>
      </c>
      <c r="H1088">
        <v>91.384799999999998</v>
      </c>
      <c r="I1088">
        <v>110.9773</v>
      </c>
      <c r="J1088">
        <v>111.46810000000001</v>
      </c>
      <c r="K1088">
        <v>107.84910000000001</v>
      </c>
      <c r="L1088">
        <v>98.068899999999999</v>
      </c>
      <c r="M1088">
        <v>41.546999999999997</v>
      </c>
      <c r="P1088">
        <v>51</v>
      </c>
      <c r="Q1088" t="s">
        <v>2440</v>
      </c>
    </row>
    <row r="1089" spans="1:17" x14ac:dyDescent="0.3">
      <c r="A1089" t="s">
        <v>17</v>
      </c>
      <c r="B1089" t="str">
        <f>"603023"</f>
        <v>603023</v>
      </c>
      <c r="C1089" t="s">
        <v>2441</v>
      </c>
      <c r="D1089" t="s">
        <v>1415</v>
      </c>
      <c r="F1089">
        <v>1316.17</v>
      </c>
      <c r="G1089">
        <v>1105.3387</v>
      </c>
      <c r="H1089">
        <v>709.42669999999998</v>
      </c>
      <c r="I1089">
        <v>538.42200000000003</v>
      </c>
      <c r="J1089">
        <v>494.1755</v>
      </c>
      <c r="K1089">
        <v>321.9554</v>
      </c>
      <c r="L1089">
        <v>317.2029</v>
      </c>
      <c r="M1089">
        <v>139.8922</v>
      </c>
      <c r="P1089">
        <v>150</v>
      </c>
      <c r="Q1089" t="s">
        <v>2442</v>
      </c>
    </row>
    <row r="1090" spans="1:17" x14ac:dyDescent="0.3">
      <c r="A1090" t="s">
        <v>17</v>
      </c>
      <c r="B1090" t="str">
        <f>"603025"</f>
        <v>603025</v>
      </c>
      <c r="C1090" t="s">
        <v>2443</v>
      </c>
      <c r="D1090" t="s">
        <v>2423</v>
      </c>
      <c r="F1090">
        <v>136.2277</v>
      </c>
      <c r="G1090">
        <v>248.10659999999999</v>
      </c>
      <c r="H1090">
        <v>225.40379999999999</v>
      </c>
      <c r="I1090">
        <v>193.11680000000001</v>
      </c>
      <c r="J1090">
        <v>137.47380000000001</v>
      </c>
      <c r="K1090">
        <v>179.93559999999999</v>
      </c>
      <c r="L1090">
        <v>191.19560000000001</v>
      </c>
      <c r="M1090">
        <v>93.866100000000003</v>
      </c>
      <c r="P1090">
        <v>434</v>
      </c>
      <c r="Q1090" t="s">
        <v>2444</v>
      </c>
    </row>
    <row r="1091" spans="1:17" x14ac:dyDescent="0.3">
      <c r="A1091" t="s">
        <v>17</v>
      </c>
      <c r="B1091" t="str">
        <f>"603026"</f>
        <v>603026</v>
      </c>
      <c r="C1091" t="s">
        <v>2445</v>
      </c>
      <c r="D1091" t="s">
        <v>1786</v>
      </c>
      <c r="F1091">
        <v>34.408700000000003</v>
      </c>
      <c r="G1091">
        <v>61.788400000000003</v>
      </c>
      <c r="H1091">
        <v>39.8812</v>
      </c>
      <c r="I1091">
        <v>40.933999999999997</v>
      </c>
      <c r="J1091">
        <v>38.604700000000001</v>
      </c>
      <c r="K1091">
        <v>38.721400000000003</v>
      </c>
      <c r="L1091">
        <v>52.303400000000003</v>
      </c>
      <c r="M1091">
        <v>23.017399999999999</v>
      </c>
      <c r="P1091">
        <v>420</v>
      </c>
      <c r="Q1091" t="s">
        <v>2446</v>
      </c>
    </row>
    <row r="1092" spans="1:17" x14ac:dyDescent="0.3">
      <c r="A1092" t="s">
        <v>17</v>
      </c>
      <c r="B1092" t="str">
        <f>"603027"</f>
        <v>603027</v>
      </c>
      <c r="C1092" t="s">
        <v>2447</v>
      </c>
      <c r="D1092" t="s">
        <v>433</v>
      </c>
      <c r="F1092">
        <v>204.02940000000001</v>
      </c>
      <c r="G1092">
        <v>202.7841</v>
      </c>
      <c r="H1092">
        <v>207.33160000000001</v>
      </c>
      <c r="I1092">
        <v>206.84129999999999</v>
      </c>
      <c r="J1092">
        <v>206.8192</v>
      </c>
      <c r="K1092">
        <v>194.6326</v>
      </c>
      <c r="L1092">
        <v>71.440899999999999</v>
      </c>
      <c r="P1092">
        <v>1883</v>
      </c>
      <c r="Q1092" t="s">
        <v>2448</v>
      </c>
    </row>
    <row r="1093" spans="1:17" x14ac:dyDescent="0.3">
      <c r="A1093" t="s">
        <v>17</v>
      </c>
      <c r="B1093" t="str">
        <f>"603028"</f>
        <v>603028</v>
      </c>
      <c r="C1093" t="s">
        <v>2449</v>
      </c>
      <c r="D1093" t="s">
        <v>274</v>
      </c>
      <c r="F1093">
        <v>112.3677</v>
      </c>
      <c r="G1093">
        <v>132.8305</v>
      </c>
      <c r="H1093">
        <v>189.7501</v>
      </c>
      <c r="I1093">
        <v>174.04429999999999</v>
      </c>
      <c r="J1093">
        <v>201.0643</v>
      </c>
      <c r="K1093">
        <v>217.3312</v>
      </c>
      <c r="L1093">
        <v>96.043000000000006</v>
      </c>
      <c r="P1093">
        <v>52</v>
      </c>
      <c r="Q1093" t="s">
        <v>2450</v>
      </c>
    </row>
    <row r="1094" spans="1:17" x14ac:dyDescent="0.3">
      <c r="A1094" t="s">
        <v>17</v>
      </c>
      <c r="B1094" t="str">
        <f>"603029"</f>
        <v>603029</v>
      </c>
      <c r="C1094" t="s">
        <v>2451</v>
      </c>
      <c r="D1094" t="s">
        <v>741</v>
      </c>
      <c r="F1094">
        <v>826.2636</v>
      </c>
      <c r="G1094">
        <v>687.81920000000002</v>
      </c>
      <c r="H1094">
        <v>524.20579999999995</v>
      </c>
      <c r="I1094">
        <v>408.31580000000002</v>
      </c>
      <c r="J1094">
        <v>357.13470000000001</v>
      </c>
      <c r="K1094">
        <v>290.07749999999999</v>
      </c>
      <c r="L1094">
        <v>180.39320000000001</v>
      </c>
      <c r="P1094">
        <v>62</v>
      </c>
      <c r="Q1094" t="s">
        <v>2452</v>
      </c>
    </row>
    <row r="1095" spans="1:17" x14ac:dyDescent="0.3">
      <c r="A1095" t="s">
        <v>17</v>
      </c>
      <c r="B1095" t="str">
        <f>"603030"</f>
        <v>603030</v>
      </c>
      <c r="C1095" t="s">
        <v>2453</v>
      </c>
      <c r="D1095" t="s">
        <v>450</v>
      </c>
      <c r="F1095">
        <v>89.047799999999995</v>
      </c>
      <c r="G1095">
        <v>50.604599999999998</v>
      </c>
      <c r="H1095">
        <v>51.932699999999997</v>
      </c>
      <c r="I1095">
        <v>62.3994</v>
      </c>
      <c r="J1095">
        <v>83.093500000000006</v>
      </c>
      <c r="K1095">
        <v>54.881700000000002</v>
      </c>
      <c r="L1095">
        <v>49.822099999999999</v>
      </c>
      <c r="M1095">
        <v>15.649699999999999</v>
      </c>
      <c r="P1095">
        <v>126</v>
      </c>
      <c r="Q1095" t="s">
        <v>2454</v>
      </c>
    </row>
    <row r="1096" spans="1:17" x14ac:dyDescent="0.3">
      <c r="A1096" t="s">
        <v>17</v>
      </c>
      <c r="B1096" t="str">
        <f>"603031"</f>
        <v>603031</v>
      </c>
      <c r="C1096" t="s">
        <v>2455</v>
      </c>
      <c r="D1096" t="s">
        <v>798</v>
      </c>
      <c r="F1096">
        <v>108.2462</v>
      </c>
      <c r="G1096">
        <v>118.4207</v>
      </c>
      <c r="H1096">
        <v>104.3947</v>
      </c>
      <c r="I1096">
        <v>110.2304</v>
      </c>
      <c r="J1096">
        <v>120.4178</v>
      </c>
      <c r="K1096">
        <v>118.46810000000001</v>
      </c>
      <c r="L1096">
        <v>66.250799999999998</v>
      </c>
      <c r="P1096">
        <v>70</v>
      </c>
      <c r="Q1096" t="s">
        <v>2456</v>
      </c>
    </row>
    <row r="1097" spans="1:17" x14ac:dyDescent="0.3">
      <c r="A1097" t="s">
        <v>17</v>
      </c>
      <c r="B1097" t="str">
        <f>"603032"</f>
        <v>603032</v>
      </c>
      <c r="C1097" t="s">
        <v>2457</v>
      </c>
      <c r="D1097" t="s">
        <v>1133</v>
      </c>
      <c r="F1097">
        <v>179.02440000000001</v>
      </c>
      <c r="G1097">
        <v>8.2195999999999998</v>
      </c>
      <c r="H1097">
        <v>6.3944000000000001</v>
      </c>
      <c r="I1097">
        <v>7.7423999999999999</v>
      </c>
      <c r="J1097">
        <v>6.4566999999999997</v>
      </c>
      <c r="K1097">
        <v>5.1741999999999999</v>
      </c>
      <c r="L1097">
        <v>1.8392999999999999</v>
      </c>
      <c r="P1097">
        <v>73</v>
      </c>
      <c r="Q1097" t="s">
        <v>2458</v>
      </c>
    </row>
    <row r="1098" spans="1:17" x14ac:dyDescent="0.3">
      <c r="A1098" t="s">
        <v>17</v>
      </c>
      <c r="B1098" t="str">
        <f>"603033"</f>
        <v>603033</v>
      </c>
      <c r="C1098" t="s">
        <v>2459</v>
      </c>
      <c r="D1098" t="s">
        <v>2460</v>
      </c>
      <c r="F1098">
        <v>95.833500000000001</v>
      </c>
      <c r="G1098">
        <v>190.601</v>
      </c>
      <c r="H1098">
        <v>139.34370000000001</v>
      </c>
      <c r="I1098">
        <v>128.44499999999999</v>
      </c>
      <c r="J1098">
        <v>119.02889999999999</v>
      </c>
      <c r="K1098">
        <v>142.92019999999999</v>
      </c>
      <c r="P1098">
        <v>99</v>
      </c>
      <c r="Q1098" t="s">
        <v>2461</v>
      </c>
    </row>
    <row r="1099" spans="1:17" x14ac:dyDescent="0.3">
      <c r="A1099" t="s">
        <v>17</v>
      </c>
      <c r="B1099" t="str">
        <f>"603035"</f>
        <v>603035</v>
      </c>
      <c r="C1099" t="s">
        <v>2462</v>
      </c>
      <c r="D1099" t="s">
        <v>191</v>
      </c>
      <c r="F1099">
        <v>108.7013</v>
      </c>
      <c r="G1099">
        <v>138.3749</v>
      </c>
      <c r="H1099">
        <v>121.8424</v>
      </c>
      <c r="I1099">
        <v>111.4662</v>
      </c>
      <c r="J1099">
        <v>100.0373</v>
      </c>
      <c r="K1099">
        <v>31.3353</v>
      </c>
      <c r="L1099">
        <v>48.584200000000003</v>
      </c>
      <c r="P1099">
        <v>244</v>
      </c>
      <c r="Q1099" t="s">
        <v>2463</v>
      </c>
    </row>
    <row r="1100" spans="1:17" x14ac:dyDescent="0.3">
      <c r="A1100" t="s">
        <v>17</v>
      </c>
      <c r="B1100" t="str">
        <f>"603036"</f>
        <v>603036</v>
      </c>
      <c r="C1100" t="s">
        <v>2464</v>
      </c>
      <c r="D1100" t="s">
        <v>395</v>
      </c>
      <c r="F1100">
        <v>587.63620000000003</v>
      </c>
      <c r="G1100">
        <v>564.36080000000004</v>
      </c>
      <c r="H1100">
        <v>477.00700000000001</v>
      </c>
      <c r="I1100">
        <v>514.14769999999999</v>
      </c>
      <c r="J1100">
        <v>513.04349999999999</v>
      </c>
      <c r="K1100">
        <v>492.31130000000002</v>
      </c>
      <c r="P1100">
        <v>61</v>
      </c>
      <c r="Q1100" t="s">
        <v>2465</v>
      </c>
    </row>
    <row r="1101" spans="1:17" x14ac:dyDescent="0.3">
      <c r="A1101" t="s">
        <v>17</v>
      </c>
      <c r="B1101" t="str">
        <f>"603037"</f>
        <v>603037</v>
      </c>
      <c r="C1101" t="s">
        <v>2466</v>
      </c>
      <c r="D1101" t="s">
        <v>348</v>
      </c>
      <c r="F1101">
        <v>174.2997</v>
      </c>
      <c r="G1101">
        <v>189.68809999999999</v>
      </c>
      <c r="H1101">
        <v>195.28559999999999</v>
      </c>
      <c r="I1101">
        <v>220.21350000000001</v>
      </c>
      <c r="J1101">
        <v>219.37520000000001</v>
      </c>
      <c r="K1101">
        <v>68.791799999999995</v>
      </c>
      <c r="P1101">
        <v>230</v>
      </c>
      <c r="Q1101" t="s">
        <v>2467</v>
      </c>
    </row>
    <row r="1102" spans="1:17" x14ac:dyDescent="0.3">
      <c r="A1102" t="s">
        <v>17</v>
      </c>
      <c r="B1102" t="str">
        <f>"603038"</f>
        <v>603038</v>
      </c>
      <c r="C1102" t="s">
        <v>2468</v>
      </c>
      <c r="D1102" t="s">
        <v>722</v>
      </c>
      <c r="F1102">
        <v>61.727499999999999</v>
      </c>
      <c r="G1102">
        <v>78.219399999999993</v>
      </c>
      <c r="H1102">
        <v>86.350099999999998</v>
      </c>
      <c r="I1102">
        <v>108.3866</v>
      </c>
      <c r="J1102">
        <v>112.49420000000001</v>
      </c>
      <c r="K1102">
        <v>106.7186</v>
      </c>
      <c r="L1102">
        <v>70.732699999999994</v>
      </c>
      <c r="P1102">
        <v>70</v>
      </c>
      <c r="Q1102" t="s">
        <v>2469</v>
      </c>
    </row>
    <row r="1103" spans="1:17" x14ac:dyDescent="0.3">
      <c r="A1103" t="s">
        <v>17</v>
      </c>
      <c r="B1103" t="str">
        <f>"603039"</f>
        <v>603039</v>
      </c>
      <c r="C1103" t="s">
        <v>2470</v>
      </c>
      <c r="D1103" t="s">
        <v>1189</v>
      </c>
      <c r="F1103">
        <v>152.4588</v>
      </c>
      <c r="G1103">
        <v>126.7719</v>
      </c>
      <c r="H1103">
        <v>148.39879999999999</v>
      </c>
      <c r="I1103">
        <v>152.2782</v>
      </c>
      <c r="J1103">
        <v>124.2383</v>
      </c>
      <c r="K1103">
        <v>142.70410000000001</v>
      </c>
      <c r="L1103">
        <v>170.251</v>
      </c>
      <c r="P1103">
        <v>609</v>
      </c>
      <c r="Q1103" t="s">
        <v>2471</v>
      </c>
    </row>
    <row r="1104" spans="1:17" x14ac:dyDescent="0.3">
      <c r="A1104" t="s">
        <v>17</v>
      </c>
      <c r="B1104" t="str">
        <f>"603040"</f>
        <v>603040</v>
      </c>
      <c r="C1104" t="s">
        <v>2472</v>
      </c>
      <c r="D1104" t="s">
        <v>348</v>
      </c>
      <c r="F1104">
        <v>222.0926</v>
      </c>
      <c r="G1104">
        <v>206.0581</v>
      </c>
      <c r="H1104">
        <v>206.68340000000001</v>
      </c>
      <c r="I1104">
        <v>212.40690000000001</v>
      </c>
      <c r="J1104">
        <v>176.422</v>
      </c>
      <c r="K1104">
        <v>324.46510000000001</v>
      </c>
      <c r="L1104">
        <v>181.1738</v>
      </c>
      <c r="P1104">
        <v>619</v>
      </c>
      <c r="Q1104" t="s">
        <v>2473</v>
      </c>
    </row>
    <row r="1105" spans="1:17" x14ac:dyDescent="0.3">
      <c r="A1105" t="s">
        <v>17</v>
      </c>
      <c r="B1105" t="str">
        <f>"603041"</f>
        <v>603041</v>
      </c>
      <c r="C1105" t="s">
        <v>2474</v>
      </c>
      <c r="D1105" t="s">
        <v>528</v>
      </c>
      <c r="F1105">
        <v>72.994</v>
      </c>
      <c r="G1105">
        <v>84.854900000000001</v>
      </c>
      <c r="H1105">
        <v>93.920900000000003</v>
      </c>
      <c r="I1105">
        <v>105.0393</v>
      </c>
      <c r="J1105">
        <v>79.986000000000004</v>
      </c>
      <c r="P1105">
        <v>98</v>
      </c>
      <c r="Q1105" t="s">
        <v>2475</v>
      </c>
    </row>
    <row r="1106" spans="1:17" x14ac:dyDescent="0.3">
      <c r="A1106" t="s">
        <v>17</v>
      </c>
      <c r="B1106" t="str">
        <f>"603042"</f>
        <v>603042</v>
      </c>
      <c r="C1106" t="s">
        <v>2476</v>
      </c>
      <c r="D1106" t="s">
        <v>250</v>
      </c>
      <c r="F1106">
        <v>79.906300000000002</v>
      </c>
      <c r="G1106">
        <v>110.4815</v>
      </c>
      <c r="H1106">
        <v>114.7953</v>
      </c>
      <c r="I1106">
        <v>130.06549999999999</v>
      </c>
      <c r="J1106">
        <v>132.16929999999999</v>
      </c>
      <c r="P1106">
        <v>122</v>
      </c>
      <c r="Q1106" t="s">
        <v>2477</v>
      </c>
    </row>
    <row r="1107" spans="1:17" x14ac:dyDescent="0.3">
      <c r="A1107" t="s">
        <v>17</v>
      </c>
      <c r="B1107" t="str">
        <f>"603043"</f>
        <v>603043</v>
      </c>
      <c r="C1107" t="s">
        <v>2478</v>
      </c>
      <c r="D1107" t="s">
        <v>2479</v>
      </c>
      <c r="F1107">
        <v>49.815300000000001</v>
      </c>
      <c r="G1107">
        <v>56.058</v>
      </c>
      <c r="H1107">
        <v>58.275399999999998</v>
      </c>
      <c r="I1107">
        <v>53.603499999999997</v>
      </c>
      <c r="J1107">
        <v>57.856699999999996</v>
      </c>
      <c r="P1107">
        <v>1509</v>
      </c>
      <c r="Q1107" t="s">
        <v>2480</v>
      </c>
    </row>
    <row r="1108" spans="1:17" x14ac:dyDescent="0.3">
      <c r="A1108" t="s">
        <v>17</v>
      </c>
      <c r="B1108" t="str">
        <f>"603045"</f>
        <v>603045</v>
      </c>
      <c r="C1108" t="s">
        <v>2481</v>
      </c>
      <c r="D1108" t="s">
        <v>581</v>
      </c>
      <c r="F1108">
        <v>113.0068</v>
      </c>
      <c r="G1108">
        <v>147.16919999999999</v>
      </c>
      <c r="H1108">
        <v>160.58600000000001</v>
      </c>
      <c r="I1108">
        <v>139.97229999999999</v>
      </c>
      <c r="J1108">
        <v>106.2501</v>
      </c>
      <c r="P1108">
        <v>54</v>
      </c>
      <c r="Q1108" t="s">
        <v>2482</v>
      </c>
    </row>
    <row r="1109" spans="1:17" x14ac:dyDescent="0.3">
      <c r="A1109" t="s">
        <v>17</v>
      </c>
      <c r="B1109" t="str">
        <f>"603048"</f>
        <v>603048</v>
      </c>
      <c r="C1109" t="s">
        <v>2483</v>
      </c>
      <c r="D1109" t="s">
        <v>985</v>
      </c>
      <c r="F1109">
        <v>213.50700000000001</v>
      </c>
      <c r="P1109">
        <v>16</v>
      </c>
      <c r="Q1109" t="s">
        <v>2484</v>
      </c>
    </row>
    <row r="1110" spans="1:17" x14ac:dyDescent="0.3">
      <c r="A1110" t="s">
        <v>17</v>
      </c>
      <c r="B1110" t="str">
        <f>"603050"</f>
        <v>603050</v>
      </c>
      <c r="C1110" t="s">
        <v>2485</v>
      </c>
      <c r="D1110" t="s">
        <v>610</v>
      </c>
      <c r="F1110">
        <v>313.56139999999999</v>
      </c>
      <c r="G1110">
        <v>265.94920000000002</v>
      </c>
      <c r="H1110">
        <v>226.4905</v>
      </c>
      <c r="I1110">
        <v>260.61919999999998</v>
      </c>
      <c r="J1110">
        <v>304.65480000000002</v>
      </c>
      <c r="P1110">
        <v>124</v>
      </c>
      <c r="Q1110" t="s">
        <v>2486</v>
      </c>
    </row>
    <row r="1111" spans="1:17" x14ac:dyDescent="0.3">
      <c r="A1111" t="s">
        <v>17</v>
      </c>
      <c r="B1111" t="str">
        <f>"603053"</f>
        <v>603053</v>
      </c>
      <c r="C1111" t="s">
        <v>2487</v>
      </c>
      <c r="D1111" t="s">
        <v>749</v>
      </c>
      <c r="F1111">
        <v>14.383599999999999</v>
      </c>
      <c r="G1111">
        <v>31.150300000000001</v>
      </c>
      <c r="H1111">
        <v>45.076099999999997</v>
      </c>
      <c r="P1111">
        <v>118</v>
      </c>
      <c r="Q1111" t="s">
        <v>2488</v>
      </c>
    </row>
    <row r="1112" spans="1:17" x14ac:dyDescent="0.3">
      <c r="A1112" t="s">
        <v>17</v>
      </c>
      <c r="B1112" t="str">
        <f>"603055"</f>
        <v>603055</v>
      </c>
      <c r="C1112" t="s">
        <v>2489</v>
      </c>
      <c r="D1112" t="s">
        <v>366</v>
      </c>
      <c r="F1112">
        <v>180.8734</v>
      </c>
      <c r="G1112">
        <v>269.95229999999998</v>
      </c>
      <c r="H1112">
        <v>213.69450000000001</v>
      </c>
      <c r="I1112">
        <v>164.08590000000001</v>
      </c>
      <c r="J1112">
        <v>153.1994</v>
      </c>
      <c r="P1112">
        <v>145</v>
      </c>
      <c r="Q1112" t="s">
        <v>2490</v>
      </c>
    </row>
    <row r="1113" spans="1:17" x14ac:dyDescent="0.3">
      <c r="A1113" t="s">
        <v>17</v>
      </c>
      <c r="B1113" t="str">
        <f>"603056"</f>
        <v>603056</v>
      </c>
      <c r="C1113" t="s">
        <v>2491</v>
      </c>
      <c r="D1113" t="s">
        <v>2492</v>
      </c>
      <c r="F1113">
        <v>0.40579999999999999</v>
      </c>
      <c r="G1113">
        <v>0.4945</v>
      </c>
      <c r="H1113">
        <v>0.48859999999999998</v>
      </c>
      <c r="I1113">
        <v>0.30299999999999999</v>
      </c>
      <c r="J1113">
        <v>0.2311</v>
      </c>
      <c r="P1113">
        <v>412</v>
      </c>
      <c r="Q1113" t="s">
        <v>2493</v>
      </c>
    </row>
    <row r="1114" spans="1:17" x14ac:dyDescent="0.3">
      <c r="A1114" t="s">
        <v>17</v>
      </c>
      <c r="B1114" t="str">
        <f>"603058"</f>
        <v>603058</v>
      </c>
      <c r="C1114" t="s">
        <v>2494</v>
      </c>
      <c r="D1114" t="s">
        <v>2156</v>
      </c>
      <c r="F1114">
        <v>217.0515</v>
      </c>
      <c r="G1114">
        <v>147.6277</v>
      </c>
      <c r="H1114">
        <v>108.6906</v>
      </c>
      <c r="I1114">
        <v>123.0783</v>
      </c>
      <c r="J1114">
        <v>100.5689</v>
      </c>
      <c r="K1114">
        <v>48.4422</v>
      </c>
      <c r="P1114">
        <v>121</v>
      </c>
      <c r="Q1114" t="s">
        <v>2495</v>
      </c>
    </row>
    <row r="1115" spans="1:17" x14ac:dyDescent="0.3">
      <c r="A1115" t="s">
        <v>17</v>
      </c>
      <c r="B1115" t="str">
        <f>"603059"</f>
        <v>603059</v>
      </c>
      <c r="C1115" t="s">
        <v>2496</v>
      </c>
      <c r="D1115" t="s">
        <v>569</v>
      </c>
      <c r="F1115">
        <v>84.810100000000006</v>
      </c>
      <c r="G1115">
        <v>94.9666</v>
      </c>
      <c r="H1115">
        <v>93.146000000000001</v>
      </c>
      <c r="I1115">
        <v>95.111900000000006</v>
      </c>
      <c r="P1115">
        <v>99</v>
      </c>
      <c r="Q1115" t="s">
        <v>2497</v>
      </c>
    </row>
    <row r="1116" spans="1:17" x14ac:dyDescent="0.3">
      <c r="A1116" t="s">
        <v>17</v>
      </c>
      <c r="B1116" t="str">
        <f>"603060"</f>
        <v>603060</v>
      </c>
      <c r="C1116" t="s">
        <v>2498</v>
      </c>
      <c r="D1116" t="s">
        <v>2499</v>
      </c>
      <c r="F1116">
        <v>18.993300000000001</v>
      </c>
      <c r="G1116">
        <v>24.577200000000001</v>
      </c>
      <c r="H1116">
        <v>11.1084</v>
      </c>
      <c r="I1116">
        <v>15.5748</v>
      </c>
      <c r="J1116">
        <v>16.6448</v>
      </c>
      <c r="K1116">
        <v>13.2349</v>
      </c>
      <c r="L1116">
        <v>6.0278999999999998</v>
      </c>
      <c r="P1116">
        <v>507</v>
      </c>
      <c r="Q1116" t="s">
        <v>2500</v>
      </c>
    </row>
    <row r="1117" spans="1:17" x14ac:dyDescent="0.3">
      <c r="A1117" t="s">
        <v>17</v>
      </c>
      <c r="B1117" t="str">
        <f>"603063"</f>
        <v>603063</v>
      </c>
      <c r="C1117" t="s">
        <v>2501</v>
      </c>
      <c r="D1117" t="s">
        <v>950</v>
      </c>
      <c r="F1117">
        <v>377.74119999999999</v>
      </c>
      <c r="G1117">
        <v>284.22989999999999</v>
      </c>
      <c r="H1117">
        <v>270.58330000000001</v>
      </c>
      <c r="I1117">
        <v>403.68119999999999</v>
      </c>
      <c r="J1117">
        <v>306.10050000000001</v>
      </c>
      <c r="P1117">
        <v>212</v>
      </c>
      <c r="Q1117" t="s">
        <v>2502</v>
      </c>
    </row>
    <row r="1118" spans="1:17" x14ac:dyDescent="0.3">
      <c r="A1118" t="s">
        <v>17</v>
      </c>
      <c r="B1118" t="str">
        <f>"603066"</f>
        <v>603066</v>
      </c>
      <c r="C1118" t="s">
        <v>2503</v>
      </c>
      <c r="D1118" t="s">
        <v>537</v>
      </c>
      <c r="F1118">
        <v>387.81650000000002</v>
      </c>
      <c r="G1118">
        <v>302.7747</v>
      </c>
      <c r="H1118">
        <v>293.75200000000001</v>
      </c>
      <c r="I1118">
        <v>271.17970000000003</v>
      </c>
      <c r="J1118">
        <v>197.27629999999999</v>
      </c>
      <c r="K1118">
        <v>186.2885</v>
      </c>
      <c r="L1118">
        <v>152.73650000000001</v>
      </c>
      <c r="M1118">
        <v>78.125600000000006</v>
      </c>
      <c r="P1118">
        <v>116</v>
      </c>
      <c r="Q1118" t="s">
        <v>2504</v>
      </c>
    </row>
    <row r="1119" spans="1:17" x14ac:dyDescent="0.3">
      <c r="A1119" t="s">
        <v>17</v>
      </c>
      <c r="B1119" t="str">
        <f>"603067"</f>
        <v>603067</v>
      </c>
      <c r="C1119" t="s">
        <v>2505</v>
      </c>
      <c r="D1119" t="s">
        <v>736</v>
      </c>
      <c r="F1119">
        <v>62.5901</v>
      </c>
      <c r="G1119">
        <v>107.7954</v>
      </c>
      <c r="H1119">
        <v>56.394399999999997</v>
      </c>
      <c r="I1119">
        <v>58.8812</v>
      </c>
      <c r="J1119">
        <v>62.247399999999999</v>
      </c>
      <c r="K1119">
        <v>88.818600000000004</v>
      </c>
      <c r="L1119">
        <v>53.1999</v>
      </c>
      <c r="P1119">
        <v>136</v>
      </c>
      <c r="Q1119" t="s">
        <v>2506</v>
      </c>
    </row>
    <row r="1120" spans="1:17" x14ac:dyDescent="0.3">
      <c r="A1120" t="s">
        <v>17</v>
      </c>
      <c r="B1120" t="str">
        <f>"603068"</f>
        <v>603068</v>
      </c>
      <c r="C1120" t="s">
        <v>2507</v>
      </c>
      <c r="D1120" t="s">
        <v>401</v>
      </c>
      <c r="F1120">
        <v>217.38300000000001</v>
      </c>
      <c r="G1120">
        <v>345.33460000000002</v>
      </c>
      <c r="H1120">
        <v>172.7251</v>
      </c>
      <c r="P1120">
        <v>345</v>
      </c>
      <c r="Q1120" t="s">
        <v>2508</v>
      </c>
    </row>
    <row r="1121" spans="1:17" x14ac:dyDescent="0.3">
      <c r="A1121" t="s">
        <v>17</v>
      </c>
      <c r="B1121" t="str">
        <f>"603069"</f>
        <v>603069</v>
      </c>
      <c r="C1121" t="s">
        <v>2509</v>
      </c>
      <c r="D1121" t="s">
        <v>1133</v>
      </c>
      <c r="F1121">
        <v>19.285</v>
      </c>
      <c r="G1121">
        <v>16.988399999999999</v>
      </c>
      <c r="H1121">
        <v>12.2988</v>
      </c>
      <c r="I1121">
        <v>9.8896999999999995</v>
      </c>
      <c r="J1121">
        <v>6.2272999999999996</v>
      </c>
      <c r="K1121">
        <v>4.9947999999999997</v>
      </c>
      <c r="L1121">
        <v>2.9114</v>
      </c>
      <c r="P1121">
        <v>98</v>
      </c>
      <c r="Q1121" t="s">
        <v>2510</v>
      </c>
    </row>
    <row r="1122" spans="1:17" x14ac:dyDescent="0.3">
      <c r="A1122" t="s">
        <v>17</v>
      </c>
      <c r="B1122" t="str">
        <f>"603071"</f>
        <v>603071</v>
      </c>
      <c r="C1122" t="s">
        <v>2511</v>
      </c>
      <c r="D1122" t="s">
        <v>351</v>
      </c>
      <c r="F1122">
        <v>35.901400000000002</v>
      </c>
      <c r="P1122">
        <v>19</v>
      </c>
      <c r="Q1122" t="s">
        <v>2512</v>
      </c>
    </row>
    <row r="1123" spans="1:17" x14ac:dyDescent="0.3">
      <c r="A1123" t="s">
        <v>17</v>
      </c>
      <c r="B1123" t="str">
        <f>"603076"</f>
        <v>603076</v>
      </c>
      <c r="C1123" t="s">
        <v>2513</v>
      </c>
      <c r="D1123" t="s">
        <v>741</v>
      </c>
      <c r="F1123">
        <v>625.88490000000002</v>
      </c>
      <c r="G1123">
        <v>627.87869999999998</v>
      </c>
      <c r="H1123">
        <v>627.34699999999998</v>
      </c>
      <c r="I1123">
        <v>418.86700000000002</v>
      </c>
      <c r="J1123">
        <v>367.38010000000003</v>
      </c>
      <c r="P1123">
        <v>87</v>
      </c>
      <c r="Q1123" t="s">
        <v>2514</v>
      </c>
    </row>
    <row r="1124" spans="1:17" x14ac:dyDescent="0.3">
      <c r="A1124" t="s">
        <v>17</v>
      </c>
      <c r="B1124" t="str">
        <f>"603077"</f>
        <v>603077</v>
      </c>
      <c r="C1124" t="s">
        <v>2515</v>
      </c>
      <c r="D1124" t="s">
        <v>2516</v>
      </c>
      <c r="F1124">
        <v>47.398200000000003</v>
      </c>
      <c r="G1124">
        <v>111.5175</v>
      </c>
      <c r="H1124">
        <v>106.532</v>
      </c>
      <c r="I1124">
        <v>99.578299999999999</v>
      </c>
      <c r="J1124">
        <v>127.3781</v>
      </c>
      <c r="K1124">
        <v>164.2689</v>
      </c>
      <c r="L1124">
        <v>209.11920000000001</v>
      </c>
      <c r="M1124">
        <v>237.2835</v>
      </c>
      <c r="N1124">
        <v>212.78890000000001</v>
      </c>
      <c r="O1124">
        <v>121.7136</v>
      </c>
      <c r="P1124">
        <v>265</v>
      </c>
      <c r="Q1124" t="s">
        <v>2517</v>
      </c>
    </row>
    <row r="1125" spans="1:17" x14ac:dyDescent="0.3">
      <c r="A1125" t="s">
        <v>17</v>
      </c>
      <c r="B1125" t="str">
        <f>"603078"</f>
        <v>603078</v>
      </c>
      <c r="C1125" t="s">
        <v>2518</v>
      </c>
      <c r="D1125" t="s">
        <v>2399</v>
      </c>
      <c r="F1125">
        <v>35.488900000000001</v>
      </c>
      <c r="G1125">
        <v>41.859299999999998</v>
      </c>
      <c r="H1125">
        <v>44.504800000000003</v>
      </c>
      <c r="I1125">
        <v>40.2498</v>
      </c>
      <c r="J1125">
        <v>30.127600000000001</v>
      </c>
      <c r="P1125">
        <v>226</v>
      </c>
      <c r="Q1125" t="s">
        <v>2519</v>
      </c>
    </row>
    <row r="1126" spans="1:17" x14ac:dyDescent="0.3">
      <c r="A1126" t="s">
        <v>17</v>
      </c>
      <c r="B1126" t="str">
        <f>"603079"</f>
        <v>603079</v>
      </c>
      <c r="C1126" t="s">
        <v>2520</v>
      </c>
      <c r="D1126" t="s">
        <v>496</v>
      </c>
      <c r="F1126">
        <v>153.98490000000001</v>
      </c>
      <c r="G1126">
        <v>212.9589</v>
      </c>
      <c r="H1126">
        <v>222.4512</v>
      </c>
      <c r="I1126">
        <v>166.00710000000001</v>
      </c>
      <c r="J1126">
        <v>154.41120000000001</v>
      </c>
      <c r="P1126">
        <v>239</v>
      </c>
      <c r="Q1126" t="s">
        <v>2521</v>
      </c>
    </row>
    <row r="1127" spans="1:17" x14ac:dyDescent="0.3">
      <c r="A1127" t="s">
        <v>17</v>
      </c>
      <c r="B1127" t="str">
        <f>"603080"</f>
        <v>603080</v>
      </c>
      <c r="C1127" t="s">
        <v>2522</v>
      </c>
      <c r="D1127" t="s">
        <v>749</v>
      </c>
      <c r="F1127">
        <v>61.433999999999997</v>
      </c>
      <c r="G1127">
        <v>68.673699999999997</v>
      </c>
      <c r="H1127">
        <v>135.80779999999999</v>
      </c>
      <c r="I1127">
        <v>123.32210000000001</v>
      </c>
      <c r="J1127">
        <v>109.01519999999999</v>
      </c>
      <c r="K1127">
        <v>34.974299999999999</v>
      </c>
      <c r="P1127">
        <v>93</v>
      </c>
      <c r="Q1127" t="s">
        <v>2523</v>
      </c>
    </row>
    <row r="1128" spans="1:17" x14ac:dyDescent="0.3">
      <c r="A1128" t="s">
        <v>17</v>
      </c>
      <c r="B1128" t="str">
        <f>"603081"</f>
        <v>603081</v>
      </c>
      <c r="C1128" t="s">
        <v>2524</v>
      </c>
      <c r="D1128" t="s">
        <v>450</v>
      </c>
      <c r="F1128">
        <v>103.9222</v>
      </c>
      <c r="G1128">
        <v>205.60069999999999</v>
      </c>
      <c r="H1128">
        <v>252.5814</v>
      </c>
      <c r="I1128">
        <v>226.15049999999999</v>
      </c>
      <c r="J1128">
        <v>225.12479999999999</v>
      </c>
      <c r="P1128">
        <v>144</v>
      </c>
      <c r="Q1128" t="s">
        <v>2525</v>
      </c>
    </row>
    <row r="1129" spans="1:17" x14ac:dyDescent="0.3">
      <c r="A1129" t="s">
        <v>17</v>
      </c>
      <c r="B1129" t="str">
        <f>"603083"</f>
        <v>603083</v>
      </c>
      <c r="C1129" t="s">
        <v>2526</v>
      </c>
      <c r="D1129" t="s">
        <v>786</v>
      </c>
      <c r="F1129">
        <v>250.98349999999999</v>
      </c>
      <c r="G1129">
        <v>148.4126</v>
      </c>
      <c r="H1129">
        <v>123.0129</v>
      </c>
      <c r="I1129">
        <v>105.7277</v>
      </c>
      <c r="J1129">
        <v>93.890600000000006</v>
      </c>
      <c r="P1129">
        <v>272</v>
      </c>
      <c r="Q1129" t="s">
        <v>2527</v>
      </c>
    </row>
    <row r="1130" spans="1:17" x14ac:dyDescent="0.3">
      <c r="A1130" t="s">
        <v>17</v>
      </c>
      <c r="B1130" t="str">
        <f>"603085"</f>
        <v>603085</v>
      </c>
      <c r="C1130" t="s">
        <v>2528</v>
      </c>
      <c r="D1130" t="s">
        <v>191</v>
      </c>
      <c r="F1130">
        <v>140.86439999999999</v>
      </c>
      <c r="G1130">
        <v>165.30609999999999</v>
      </c>
      <c r="H1130">
        <v>167.5624</v>
      </c>
      <c r="I1130">
        <v>192.8723</v>
      </c>
      <c r="J1130">
        <v>100.27670000000001</v>
      </c>
      <c r="K1130">
        <v>119.744</v>
      </c>
      <c r="L1130">
        <v>121.60890000000001</v>
      </c>
      <c r="M1130">
        <v>41.546700000000001</v>
      </c>
      <c r="P1130">
        <v>81</v>
      </c>
      <c r="Q1130" t="s">
        <v>2529</v>
      </c>
    </row>
    <row r="1131" spans="1:17" x14ac:dyDescent="0.3">
      <c r="A1131" t="s">
        <v>17</v>
      </c>
      <c r="B1131" t="str">
        <f>"603086"</f>
        <v>603086</v>
      </c>
      <c r="C1131" t="s">
        <v>2530</v>
      </c>
      <c r="D1131" t="s">
        <v>853</v>
      </c>
      <c r="F1131">
        <v>130.1018</v>
      </c>
      <c r="G1131">
        <v>170.55860000000001</v>
      </c>
      <c r="H1131">
        <v>197.34389999999999</v>
      </c>
      <c r="I1131">
        <v>166.00319999999999</v>
      </c>
      <c r="J1131">
        <v>153.07730000000001</v>
      </c>
      <c r="P1131">
        <v>124</v>
      </c>
      <c r="Q1131" t="s">
        <v>2531</v>
      </c>
    </row>
    <row r="1132" spans="1:17" x14ac:dyDescent="0.3">
      <c r="A1132" t="s">
        <v>17</v>
      </c>
      <c r="B1132" t="str">
        <f>"603087"</f>
        <v>603087</v>
      </c>
      <c r="C1132" t="s">
        <v>2532</v>
      </c>
      <c r="D1132" t="s">
        <v>1379</v>
      </c>
      <c r="F1132">
        <v>675.37080000000003</v>
      </c>
      <c r="G1132">
        <v>941.01130000000001</v>
      </c>
      <c r="P1132">
        <v>677</v>
      </c>
      <c r="Q1132" t="s">
        <v>2533</v>
      </c>
    </row>
    <row r="1133" spans="1:17" x14ac:dyDescent="0.3">
      <c r="A1133" t="s">
        <v>17</v>
      </c>
      <c r="B1133" t="str">
        <f>"603088"</f>
        <v>603088</v>
      </c>
      <c r="C1133" t="s">
        <v>2534</v>
      </c>
      <c r="D1133" t="s">
        <v>2312</v>
      </c>
      <c r="F1133">
        <v>480.80329999999998</v>
      </c>
      <c r="G1133">
        <v>650.58630000000005</v>
      </c>
      <c r="H1133">
        <v>611.62819999999999</v>
      </c>
      <c r="I1133">
        <v>577.07870000000003</v>
      </c>
      <c r="J1133">
        <v>469.67529999999999</v>
      </c>
      <c r="K1133">
        <v>556.75099999999998</v>
      </c>
      <c r="L1133">
        <v>523.75540000000001</v>
      </c>
      <c r="M1133">
        <v>491.24360000000001</v>
      </c>
      <c r="N1133">
        <v>221.99520000000001</v>
      </c>
      <c r="P1133">
        <v>106</v>
      </c>
      <c r="Q1133" t="s">
        <v>2535</v>
      </c>
    </row>
    <row r="1134" spans="1:17" x14ac:dyDescent="0.3">
      <c r="A1134" t="s">
        <v>17</v>
      </c>
      <c r="B1134" t="str">
        <f>"603089"</f>
        <v>603089</v>
      </c>
      <c r="C1134" t="s">
        <v>2536</v>
      </c>
      <c r="D1134" t="s">
        <v>348</v>
      </c>
      <c r="F1134">
        <v>168.88630000000001</v>
      </c>
      <c r="G1134">
        <v>200.21530000000001</v>
      </c>
      <c r="H1134">
        <v>156.0985</v>
      </c>
      <c r="I1134">
        <v>77.989599999999996</v>
      </c>
      <c r="J1134">
        <v>83.850499999999997</v>
      </c>
      <c r="K1134">
        <v>31.302199999999999</v>
      </c>
      <c r="L1134">
        <v>41.380099999999999</v>
      </c>
      <c r="P1134">
        <v>111</v>
      </c>
      <c r="Q1134" t="s">
        <v>2537</v>
      </c>
    </row>
    <row r="1135" spans="1:17" x14ac:dyDescent="0.3">
      <c r="A1135" t="s">
        <v>17</v>
      </c>
      <c r="B1135" t="str">
        <f>"603090"</f>
        <v>603090</v>
      </c>
      <c r="C1135" t="s">
        <v>2538</v>
      </c>
      <c r="D1135" t="s">
        <v>560</v>
      </c>
      <c r="F1135">
        <v>111.57340000000001</v>
      </c>
      <c r="G1135">
        <v>118.3946</v>
      </c>
      <c r="H1135">
        <v>79.672300000000007</v>
      </c>
      <c r="I1135">
        <v>85.230900000000005</v>
      </c>
      <c r="J1135">
        <v>82.249300000000005</v>
      </c>
      <c r="K1135">
        <v>116.1431</v>
      </c>
      <c r="L1135">
        <v>55.037500000000001</v>
      </c>
      <c r="P1135">
        <v>51</v>
      </c>
      <c r="Q1135" t="s">
        <v>2539</v>
      </c>
    </row>
    <row r="1136" spans="1:17" x14ac:dyDescent="0.3">
      <c r="A1136" t="s">
        <v>17</v>
      </c>
      <c r="B1136" t="str">
        <f>"603093"</f>
        <v>603093</v>
      </c>
      <c r="C1136" t="s">
        <v>2540</v>
      </c>
      <c r="D1136" t="s">
        <v>1843</v>
      </c>
      <c r="P1136">
        <v>84</v>
      </c>
      <c r="Q1136" t="s">
        <v>2541</v>
      </c>
    </row>
    <row r="1137" spans="1:17" x14ac:dyDescent="0.3">
      <c r="A1137" t="s">
        <v>17</v>
      </c>
      <c r="B1137" t="str">
        <f>"603095"</f>
        <v>603095</v>
      </c>
      <c r="C1137" t="s">
        <v>2542</v>
      </c>
      <c r="D1137" t="s">
        <v>534</v>
      </c>
      <c r="F1137">
        <v>133.77809999999999</v>
      </c>
      <c r="G1137">
        <v>215.62139999999999</v>
      </c>
      <c r="I1137">
        <v>127.46769999999999</v>
      </c>
      <c r="P1137">
        <v>64</v>
      </c>
      <c r="Q1137" t="s">
        <v>2543</v>
      </c>
    </row>
    <row r="1138" spans="1:17" x14ac:dyDescent="0.3">
      <c r="A1138" t="s">
        <v>17</v>
      </c>
      <c r="B1138" t="str">
        <f>"603096"</f>
        <v>603096</v>
      </c>
      <c r="C1138" t="s">
        <v>2544</v>
      </c>
      <c r="D1138" t="s">
        <v>525</v>
      </c>
      <c r="F1138">
        <v>279.75670000000002</v>
      </c>
      <c r="G1138">
        <v>270.81369999999998</v>
      </c>
      <c r="H1138">
        <v>296.2242</v>
      </c>
      <c r="I1138">
        <v>292.32190000000003</v>
      </c>
      <c r="J1138">
        <v>197.92580000000001</v>
      </c>
      <c r="P1138">
        <v>222</v>
      </c>
      <c r="Q1138" t="s">
        <v>2545</v>
      </c>
    </row>
    <row r="1139" spans="1:17" x14ac:dyDescent="0.3">
      <c r="A1139" t="s">
        <v>17</v>
      </c>
      <c r="B1139" t="str">
        <f>"603098"</f>
        <v>603098</v>
      </c>
      <c r="C1139" t="s">
        <v>2546</v>
      </c>
      <c r="D1139" t="s">
        <v>978</v>
      </c>
      <c r="F1139">
        <v>35.701700000000002</v>
      </c>
      <c r="G1139">
        <v>111.60809999999999</v>
      </c>
      <c r="H1139">
        <v>233.78819999999999</v>
      </c>
      <c r="I1139">
        <v>330.38229999999999</v>
      </c>
      <c r="J1139">
        <v>350.70699999999999</v>
      </c>
      <c r="K1139">
        <v>160.4837</v>
      </c>
      <c r="P1139">
        <v>158</v>
      </c>
      <c r="Q1139" t="s">
        <v>2547</v>
      </c>
    </row>
    <row r="1140" spans="1:17" x14ac:dyDescent="0.3">
      <c r="A1140" t="s">
        <v>17</v>
      </c>
      <c r="B1140" t="str">
        <f>"603099"</f>
        <v>603099</v>
      </c>
      <c r="C1140" t="s">
        <v>2548</v>
      </c>
      <c r="D1140" t="s">
        <v>119</v>
      </c>
      <c r="F1140">
        <v>27.464500000000001</v>
      </c>
      <c r="G1140">
        <v>42.523499999999999</v>
      </c>
      <c r="H1140">
        <v>24.680599999999998</v>
      </c>
      <c r="I1140">
        <v>23.3475</v>
      </c>
      <c r="J1140">
        <v>22.931799999999999</v>
      </c>
      <c r="K1140">
        <v>24.135999999999999</v>
      </c>
      <c r="L1140">
        <v>24.136900000000001</v>
      </c>
      <c r="M1140">
        <v>23.2087</v>
      </c>
      <c r="N1140">
        <v>11.2967</v>
      </c>
      <c r="P1140">
        <v>97</v>
      </c>
      <c r="Q1140" t="s">
        <v>2549</v>
      </c>
    </row>
    <row r="1141" spans="1:17" x14ac:dyDescent="0.3">
      <c r="A1141" t="s">
        <v>17</v>
      </c>
      <c r="B1141" t="str">
        <f>"603100"</f>
        <v>603100</v>
      </c>
      <c r="C1141" t="s">
        <v>2550</v>
      </c>
      <c r="D1141" t="s">
        <v>2551</v>
      </c>
      <c r="F1141">
        <v>142.45689999999999</v>
      </c>
      <c r="G1141">
        <v>131.78639999999999</v>
      </c>
      <c r="H1141">
        <v>111.8073</v>
      </c>
      <c r="I1141">
        <v>125.3428</v>
      </c>
      <c r="J1141">
        <v>175.44720000000001</v>
      </c>
      <c r="K1141">
        <v>137.3382</v>
      </c>
      <c r="L1141">
        <v>96.689499999999995</v>
      </c>
      <c r="M1141">
        <v>100.0014</v>
      </c>
      <c r="N1141">
        <v>43.607700000000001</v>
      </c>
      <c r="P1141">
        <v>194</v>
      </c>
      <c r="Q1141" t="s">
        <v>2552</v>
      </c>
    </row>
    <row r="1142" spans="1:17" x14ac:dyDescent="0.3">
      <c r="A1142" t="s">
        <v>17</v>
      </c>
      <c r="B1142" t="str">
        <f>"603101"</f>
        <v>603101</v>
      </c>
      <c r="C1142" t="s">
        <v>2553</v>
      </c>
      <c r="D1142" t="s">
        <v>633</v>
      </c>
      <c r="F1142">
        <v>85.142499999999998</v>
      </c>
      <c r="G1142">
        <v>112.4414</v>
      </c>
      <c r="H1142">
        <v>28.6267</v>
      </c>
      <c r="I1142">
        <v>24.2102</v>
      </c>
      <c r="J1142">
        <v>16.1035</v>
      </c>
      <c r="K1142">
        <v>15.5297</v>
      </c>
      <c r="L1142">
        <v>8.9397000000000002</v>
      </c>
      <c r="P1142">
        <v>69</v>
      </c>
      <c r="Q1142" t="s">
        <v>2554</v>
      </c>
    </row>
    <row r="1143" spans="1:17" x14ac:dyDescent="0.3">
      <c r="A1143" t="s">
        <v>17</v>
      </c>
      <c r="B1143" t="str">
        <f>"603102"</f>
        <v>603102</v>
      </c>
      <c r="C1143" t="s">
        <v>2555</v>
      </c>
      <c r="F1143">
        <v>127.4346</v>
      </c>
      <c r="P1143">
        <v>13</v>
      </c>
      <c r="Q1143" t="s">
        <v>2556</v>
      </c>
    </row>
    <row r="1144" spans="1:17" x14ac:dyDescent="0.3">
      <c r="A1144" t="s">
        <v>17</v>
      </c>
      <c r="B1144" t="str">
        <f>"603103"</f>
        <v>603103</v>
      </c>
      <c r="C1144" t="s">
        <v>2557</v>
      </c>
      <c r="D1144" t="s">
        <v>2558</v>
      </c>
      <c r="F1144">
        <v>25.313199999999998</v>
      </c>
      <c r="G1144">
        <v>23.438800000000001</v>
      </c>
      <c r="H1144">
        <v>9.4733000000000001</v>
      </c>
      <c r="I1144">
        <v>7.5292000000000003</v>
      </c>
      <c r="J1144">
        <v>7.0481999999999996</v>
      </c>
      <c r="P1144">
        <v>240</v>
      </c>
      <c r="Q1144" t="s">
        <v>2559</v>
      </c>
    </row>
    <row r="1145" spans="1:17" x14ac:dyDescent="0.3">
      <c r="A1145" t="s">
        <v>17</v>
      </c>
      <c r="B1145" t="str">
        <f>"603105"</f>
        <v>603105</v>
      </c>
      <c r="C1145" t="s">
        <v>2560</v>
      </c>
      <c r="D1145" t="s">
        <v>86</v>
      </c>
      <c r="F1145">
        <v>181.75790000000001</v>
      </c>
      <c r="G1145">
        <v>108.1767</v>
      </c>
      <c r="H1145">
        <v>314.5806</v>
      </c>
      <c r="I1145">
        <v>552.45719999999994</v>
      </c>
      <c r="J1145">
        <v>71.076099999999997</v>
      </c>
      <c r="P1145">
        <v>144</v>
      </c>
      <c r="Q1145" t="s">
        <v>2561</v>
      </c>
    </row>
    <row r="1146" spans="1:17" x14ac:dyDescent="0.3">
      <c r="A1146" t="s">
        <v>17</v>
      </c>
      <c r="B1146" t="str">
        <f>"603106"</f>
        <v>603106</v>
      </c>
      <c r="C1146" t="s">
        <v>2562</v>
      </c>
      <c r="D1146" t="s">
        <v>236</v>
      </c>
      <c r="F1146">
        <v>502.77100000000002</v>
      </c>
      <c r="G1146">
        <v>488.07979999999998</v>
      </c>
      <c r="H1146">
        <v>511.90899999999999</v>
      </c>
      <c r="I1146">
        <v>388.96409999999997</v>
      </c>
      <c r="J1146">
        <v>316.73480000000001</v>
      </c>
      <c r="P1146">
        <v>2938</v>
      </c>
      <c r="Q1146" t="s">
        <v>2563</v>
      </c>
    </row>
    <row r="1147" spans="1:17" x14ac:dyDescent="0.3">
      <c r="A1147" t="s">
        <v>17</v>
      </c>
      <c r="B1147" t="str">
        <f>"603108"</f>
        <v>603108</v>
      </c>
      <c r="C1147" t="s">
        <v>2564</v>
      </c>
      <c r="D1147" t="s">
        <v>2565</v>
      </c>
      <c r="F1147">
        <v>94.644199999999998</v>
      </c>
      <c r="G1147">
        <v>121.1185</v>
      </c>
      <c r="H1147">
        <v>115.1979</v>
      </c>
      <c r="I1147">
        <v>121.25230000000001</v>
      </c>
      <c r="J1147">
        <v>139.67230000000001</v>
      </c>
      <c r="K1147">
        <v>166.14089999999999</v>
      </c>
      <c r="L1147">
        <v>141.67099999999999</v>
      </c>
      <c r="M1147">
        <v>43.947299999999998</v>
      </c>
      <c r="P1147">
        <v>336</v>
      </c>
      <c r="Q1147" t="s">
        <v>2566</v>
      </c>
    </row>
    <row r="1148" spans="1:17" x14ac:dyDescent="0.3">
      <c r="A1148" t="s">
        <v>17</v>
      </c>
      <c r="B1148" t="str">
        <f>"603109"</f>
        <v>603109</v>
      </c>
      <c r="C1148" t="s">
        <v>2567</v>
      </c>
      <c r="D1148" t="s">
        <v>985</v>
      </c>
      <c r="F1148">
        <v>104.6549</v>
      </c>
      <c r="G1148">
        <v>116.02549999999999</v>
      </c>
      <c r="H1148">
        <v>139.38910000000001</v>
      </c>
      <c r="P1148">
        <v>80</v>
      </c>
      <c r="Q1148" t="s">
        <v>2568</v>
      </c>
    </row>
    <row r="1149" spans="1:17" x14ac:dyDescent="0.3">
      <c r="A1149" t="s">
        <v>17</v>
      </c>
      <c r="B1149" t="str">
        <f>"603110"</f>
        <v>603110</v>
      </c>
      <c r="C1149" t="s">
        <v>2569</v>
      </c>
      <c r="D1149" t="s">
        <v>2570</v>
      </c>
      <c r="F1149">
        <v>119.2022</v>
      </c>
      <c r="G1149">
        <v>123.7623</v>
      </c>
      <c r="H1149">
        <v>118.57080000000001</v>
      </c>
      <c r="I1149">
        <v>108.41589999999999</v>
      </c>
      <c r="J1149">
        <v>95.993300000000005</v>
      </c>
      <c r="P1149">
        <v>71</v>
      </c>
      <c r="Q1149" t="s">
        <v>2571</v>
      </c>
    </row>
    <row r="1150" spans="1:17" x14ac:dyDescent="0.3">
      <c r="A1150" t="s">
        <v>17</v>
      </c>
      <c r="B1150" t="str">
        <f>"603111"</f>
        <v>603111</v>
      </c>
      <c r="C1150" t="s">
        <v>2572</v>
      </c>
      <c r="D1150" t="s">
        <v>1012</v>
      </c>
      <c r="F1150">
        <v>133.65989999999999</v>
      </c>
      <c r="G1150">
        <v>160.64420000000001</v>
      </c>
      <c r="H1150">
        <v>171.96449999999999</v>
      </c>
      <c r="I1150">
        <v>131.9462</v>
      </c>
      <c r="J1150">
        <v>167.53620000000001</v>
      </c>
      <c r="K1150">
        <v>172.83609999999999</v>
      </c>
      <c r="L1150">
        <v>165.85839999999999</v>
      </c>
      <c r="M1150">
        <v>174.20349999999999</v>
      </c>
      <c r="N1150">
        <v>87.025300000000001</v>
      </c>
      <c r="P1150">
        <v>440</v>
      </c>
      <c r="Q1150" t="s">
        <v>2573</v>
      </c>
    </row>
    <row r="1151" spans="1:17" x14ac:dyDescent="0.3">
      <c r="A1151" t="s">
        <v>17</v>
      </c>
      <c r="B1151" t="str">
        <f>"603112"</f>
        <v>603112</v>
      </c>
      <c r="C1151" t="s">
        <v>2574</v>
      </c>
      <c r="D1151" t="s">
        <v>1253</v>
      </c>
      <c r="F1151">
        <v>79.703100000000006</v>
      </c>
      <c r="G1151">
        <v>101.49639999999999</v>
      </c>
      <c r="P1151">
        <v>48</v>
      </c>
      <c r="Q1151" t="s">
        <v>2575</v>
      </c>
    </row>
    <row r="1152" spans="1:17" x14ac:dyDescent="0.3">
      <c r="A1152" t="s">
        <v>17</v>
      </c>
      <c r="B1152" t="str">
        <f>"603113"</f>
        <v>603113</v>
      </c>
      <c r="C1152" t="s">
        <v>2576</v>
      </c>
      <c r="D1152" t="s">
        <v>885</v>
      </c>
      <c r="F1152">
        <v>57.927900000000001</v>
      </c>
      <c r="G1152">
        <v>43.162799999999997</v>
      </c>
      <c r="H1152">
        <v>35.1952</v>
      </c>
      <c r="I1152">
        <v>39.421700000000001</v>
      </c>
      <c r="J1152">
        <v>44.680700000000002</v>
      </c>
      <c r="P1152">
        <v>302</v>
      </c>
      <c r="Q1152" t="s">
        <v>2577</v>
      </c>
    </row>
    <row r="1153" spans="1:17" x14ac:dyDescent="0.3">
      <c r="A1153" t="s">
        <v>17</v>
      </c>
      <c r="B1153" t="str">
        <f>"603115"</f>
        <v>603115</v>
      </c>
      <c r="C1153" t="s">
        <v>2578</v>
      </c>
      <c r="D1153" t="s">
        <v>504</v>
      </c>
      <c r="F1153">
        <v>43.152500000000003</v>
      </c>
      <c r="G1153">
        <v>49.582000000000001</v>
      </c>
      <c r="H1153">
        <v>57.1524</v>
      </c>
      <c r="P1153">
        <v>88</v>
      </c>
      <c r="Q1153" t="s">
        <v>2579</v>
      </c>
    </row>
    <row r="1154" spans="1:17" x14ac:dyDescent="0.3">
      <c r="A1154" t="s">
        <v>17</v>
      </c>
      <c r="B1154" t="str">
        <f>"603116"</f>
        <v>603116</v>
      </c>
      <c r="C1154" t="s">
        <v>2580</v>
      </c>
      <c r="D1154" t="s">
        <v>330</v>
      </c>
      <c r="F1154">
        <v>196.99209999999999</v>
      </c>
      <c r="G1154">
        <v>233.40369999999999</v>
      </c>
      <c r="H1154">
        <v>184.63069999999999</v>
      </c>
      <c r="I1154">
        <v>212.42500000000001</v>
      </c>
      <c r="J1154">
        <v>224.9546</v>
      </c>
      <c r="K1154">
        <v>224.01249999999999</v>
      </c>
      <c r="L1154">
        <v>167.78120000000001</v>
      </c>
      <c r="M1154">
        <v>77.485200000000006</v>
      </c>
      <c r="P1154">
        <v>102</v>
      </c>
      <c r="Q1154" t="s">
        <v>2581</v>
      </c>
    </row>
    <row r="1155" spans="1:17" x14ac:dyDescent="0.3">
      <c r="A1155" t="s">
        <v>17</v>
      </c>
      <c r="B1155" t="str">
        <f>"603117"</f>
        <v>603117</v>
      </c>
      <c r="C1155" t="s">
        <v>2582</v>
      </c>
      <c r="D1155" t="s">
        <v>287</v>
      </c>
      <c r="F1155">
        <v>209.10040000000001</v>
      </c>
      <c r="G1155">
        <v>166.86150000000001</v>
      </c>
      <c r="H1155">
        <v>119.3856</v>
      </c>
      <c r="I1155">
        <v>95.801100000000005</v>
      </c>
      <c r="J1155">
        <v>71.063199999999995</v>
      </c>
      <c r="K1155">
        <v>4.5396999999999998</v>
      </c>
      <c r="L1155">
        <v>4.8807999999999998</v>
      </c>
      <c r="M1155">
        <v>1.1538999999999999</v>
      </c>
      <c r="P1155">
        <v>64</v>
      </c>
      <c r="Q1155" t="s">
        <v>2583</v>
      </c>
    </row>
    <row r="1156" spans="1:17" x14ac:dyDescent="0.3">
      <c r="A1156" t="s">
        <v>17</v>
      </c>
      <c r="B1156" t="str">
        <f>"603118"</f>
        <v>603118</v>
      </c>
      <c r="C1156" t="s">
        <v>2584</v>
      </c>
      <c r="D1156" t="s">
        <v>786</v>
      </c>
      <c r="F1156">
        <v>72.946600000000004</v>
      </c>
      <c r="G1156">
        <v>61.512099999999997</v>
      </c>
      <c r="H1156">
        <v>52.6843</v>
      </c>
      <c r="I1156">
        <v>59.877800000000001</v>
      </c>
      <c r="J1156">
        <v>60.7714</v>
      </c>
      <c r="K1156">
        <v>54.924100000000003</v>
      </c>
      <c r="L1156">
        <v>59.899099999999997</v>
      </c>
      <c r="M1156">
        <v>66.181299999999993</v>
      </c>
      <c r="P1156">
        <v>243</v>
      </c>
      <c r="Q1156" t="s">
        <v>2585</v>
      </c>
    </row>
    <row r="1157" spans="1:17" x14ac:dyDescent="0.3">
      <c r="A1157" t="s">
        <v>17</v>
      </c>
      <c r="B1157" t="str">
        <f>"603121"</f>
        <v>603121</v>
      </c>
      <c r="C1157" t="s">
        <v>2586</v>
      </c>
      <c r="D1157" t="s">
        <v>348</v>
      </c>
      <c r="F1157">
        <v>123.8599</v>
      </c>
      <c r="G1157">
        <v>161.87970000000001</v>
      </c>
      <c r="H1157">
        <v>154.2628</v>
      </c>
      <c r="I1157">
        <v>71.007400000000004</v>
      </c>
      <c r="P1157">
        <v>77</v>
      </c>
      <c r="Q1157" t="s">
        <v>2587</v>
      </c>
    </row>
    <row r="1158" spans="1:17" x14ac:dyDescent="0.3">
      <c r="A1158" t="s">
        <v>17</v>
      </c>
      <c r="B1158" t="str">
        <f>"603122"</f>
        <v>603122</v>
      </c>
      <c r="C1158" t="s">
        <v>2588</v>
      </c>
      <c r="F1158">
        <v>67.598799999999997</v>
      </c>
      <c r="P1158">
        <v>12</v>
      </c>
      <c r="Q1158" t="s">
        <v>2589</v>
      </c>
    </row>
    <row r="1159" spans="1:17" x14ac:dyDescent="0.3">
      <c r="A1159" t="s">
        <v>17</v>
      </c>
      <c r="B1159" t="str">
        <f>"603123"</f>
        <v>603123</v>
      </c>
      <c r="C1159" t="s">
        <v>2590</v>
      </c>
      <c r="D1159" t="s">
        <v>633</v>
      </c>
      <c r="F1159">
        <v>55.578899999999997</v>
      </c>
      <c r="G1159">
        <v>107.0517</v>
      </c>
      <c r="H1159">
        <v>14.378</v>
      </c>
      <c r="I1159">
        <v>12.3413</v>
      </c>
      <c r="J1159">
        <v>10.4422</v>
      </c>
      <c r="K1159">
        <v>11.2707</v>
      </c>
      <c r="L1159">
        <v>12.484</v>
      </c>
      <c r="M1159">
        <v>14.399900000000001</v>
      </c>
      <c r="N1159">
        <v>14.8401</v>
      </c>
      <c r="O1159">
        <v>15.853199999999999</v>
      </c>
      <c r="P1159">
        <v>100</v>
      </c>
      <c r="Q1159" t="s">
        <v>2591</v>
      </c>
    </row>
    <row r="1160" spans="1:17" x14ac:dyDescent="0.3">
      <c r="A1160" t="s">
        <v>17</v>
      </c>
      <c r="B1160" t="str">
        <f>"603126"</f>
        <v>603126</v>
      </c>
      <c r="C1160" t="s">
        <v>2592</v>
      </c>
      <c r="D1160" t="s">
        <v>499</v>
      </c>
      <c r="F1160">
        <v>177.1019</v>
      </c>
      <c r="G1160">
        <v>190.7731</v>
      </c>
      <c r="H1160">
        <v>193.42750000000001</v>
      </c>
      <c r="I1160">
        <v>201.88249999999999</v>
      </c>
      <c r="J1160">
        <v>207.59809999999999</v>
      </c>
      <c r="K1160">
        <v>253.76509999999999</v>
      </c>
      <c r="L1160">
        <v>284.5018</v>
      </c>
      <c r="M1160">
        <v>268.71280000000002</v>
      </c>
      <c r="N1160">
        <v>65.051299999999998</v>
      </c>
      <c r="P1160">
        <v>196</v>
      </c>
      <c r="Q1160" t="s">
        <v>2593</v>
      </c>
    </row>
    <row r="1161" spans="1:17" x14ac:dyDescent="0.3">
      <c r="A1161" t="s">
        <v>17</v>
      </c>
      <c r="B1161" t="str">
        <f>"603127"</f>
        <v>603127</v>
      </c>
      <c r="C1161" t="s">
        <v>2594</v>
      </c>
      <c r="D1161" t="s">
        <v>1461</v>
      </c>
      <c r="F1161">
        <v>458.81939999999997</v>
      </c>
      <c r="G1161">
        <v>308.9581</v>
      </c>
      <c r="H1161">
        <v>355.22030000000001</v>
      </c>
      <c r="I1161">
        <v>351.16890000000001</v>
      </c>
      <c r="J1161">
        <v>405.45949999999999</v>
      </c>
      <c r="P1161">
        <v>1812</v>
      </c>
      <c r="Q1161" t="s">
        <v>2595</v>
      </c>
    </row>
    <row r="1162" spans="1:17" x14ac:dyDescent="0.3">
      <c r="A1162" t="s">
        <v>17</v>
      </c>
      <c r="B1162" t="str">
        <f>"603128"</f>
        <v>603128</v>
      </c>
      <c r="C1162" t="s">
        <v>2596</v>
      </c>
      <c r="D1162" t="s">
        <v>287</v>
      </c>
      <c r="F1162">
        <v>0.76759999999999995</v>
      </c>
      <c r="G1162">
        <v>1.4473</v>
      </c>
      <c r="H1162">
        <v>8.1283999999999992</v>
      </c>
      <c r="I1162">
        <v>9.4467999999999996</v>
      </c>
      <c r="J1162">
        <v>9.0783000000000005</v>
      </c>
      <c r="K1162">
        <v>8.9341000000000008</v>
      </c>
      <c r="L1162">
        <v>16.7879</v>
      </c>
      <c r="M1162">
        <v>5.0381999999999998</v>
      </c>
      <c r="N1162">
        <v>8.9406999999999996</v>
      </c>
      <c r="O1162">
        <v>4.4321000000000002</v>
      </c>
      <c r="P1162">
        <v>273</v>
      </c>
      <c r="Q1162" t="s">
        <v>2597</v>
      </c>
    </row>
    <row r="1163" spans="1:17" x14ac:dyDescent="0.3">
      <c r="A1163" t="s">
        <v>17</v>
      </c>
      <c r="B1163" t="str">
        <f>"603129"</f>
        <v>603129</v>
      </c>
      <c r="C1163" t="s">
        <v>2598</v>
      </c>
      <c r="D1163" t="s">
        <v>1654</v>
      </c>
      <c r="F1163">
        <v>81.1494</v>
      </c>
      <c r="G1163">
        <v>91.342399999999998</v>
      </c>
      <c r="H1163">
        <v>84.139799999999994</v>
      </c>
      <c r="I1163">
        <v>83.774500000000003</v>
      </c>
      <c r="J1163">
        <v>97.692099999999996</v>
      </c>
      <c r="P1163">
        <v>625</v>
      </c>
      <c r="Q1163" t="s">
        <v>2599</v>
      </c>
    </row>
    <row r="1164" spans="1:17" x14ac:dyDescent="0.3">
      <c r="A1164" t="s">
        <v>17</v>
      </c>
      <c r="B1164" t="str">
        <f>"603131"</f>
        <v>603131</v>
      </c>
      <c r="C1164" t="s">
        <v>2600</v>
      </c>
      <c r="D1164" t="s">
        <v>560</v>
      </c>
      <c r="F1164">
        <v>194.03540000000001</v>
      </c>
      <c r="G1164">
        <v>216.7413</v>
      </c>
      <c r="H1164">
        <v>179.339</v>
      </c>
      <c r="I1164">
        <v>119.43810000000001</v>
      </c>
      <c r="J1164">
        <v>104.77249999999999</v>
      </c>
      <c r="K1164">
        <v>92.830500000000001</v>
      </c>
      <c r="L1164">
        <v>49.611400000000003</v>
      </c>
      <c r="P1164">
        <v>143</v>
      </c>
      <c r="Q1164" t="s">
        <v>2601</v>
      </c>
    </row>
    <row r="1165" spans="1:17" x14ac:dyDescent="0.3">
      <c r="A1165" t="s">
        <v>17</v>
      </c>
      <c r="B1165" t="str">
        <f>"603133"</f>
        <v>603133</v>
      </c>
      <c r="C1165" t="s">
        <v>2602</v>
      </c>
      <c r="D1165" t="s">
        <v>313</v>
      </c>
      <c r="F1165">
        <v>128.29560000000001</v>
      </c>
      <c r="G1165">
        <v>118.3646</v>
      </c>
      <c r="H1165">
        <v>155.14009999999999</v>
      </c>
      <c r="I1165">
        <v>143.34440000000001</v>
      </c>
      <c r="J1165">
        <v>126.1467</v>
      </c>
      <c r="P1165">
        <v>138</v>
      </c>
      <c r="Q1165" t="s">
        <v>2603</v>
      </c>
    </row>
    <row r="1166" spans="1:17" x14ac:dyDescent="0.3">
      <c r="A1166" t="s">
        <v>17</v>
      </c>
      <c r="B1166" t="str">
        <f>"603136"</f>
        <v>603136</v>
      </c>
      <c r="C1166" t="s">
        <v>2604</v>
      </c>
      <c r="D1166" t="s">
        <v>333</v>
      </c>
      <c r="F1166">
        <v>15.407400000000001</v>
      </c>
      <c r="G1166">
        <v>20.367000000000001</v>
      </c>
      <c r="H1166">
        <v>19.798100000000002</v>
      </c>
      <c r="I1166">
        <v>23.675999999999998</v>
      </c>
      <c r="J1166">
        <v>24.3002</v>
      </c>
      <c r="P1166">
        <v>194</v>
      </c>
      <c r="Q1166" t="s">
        <v>2605</v>
      </c>
    </row>
    <row r="1167" spans="1:17" x14ac:dyDescent="0.3">
      <c r="A1167" t="s">
        <v>17</v>
      </c>
      <c r="B1167" t="str">
        <f>"603138"</f>
        <v>603138</v>
      </c>
      <c r="C1167" t="s">
        <v>2606</v>
      </c>
      <c r="D1167" t="s">
        <v>316</v>
      </c>
      <c r="F1167">
        <v>107.2787</v>
      </c>
      <c r="G1167">
        <v>85.501800000000003</v>
      </c>
      <c r="H1167">
        <v>55.017800000000001</v>
      </c>
      <c r="I1167">
        <v>59.1706</v>
      </c>
      <c r="J1167">
        <v>123.1537</v>
      </c>
      <c r="P1167">
        <v>147</v>
      </c>
      <c r="Q1167" t="s">
        <v>2607</v>
      </c>
    </row>
    <row r="1168" spans="1:17" x14ac:dyDescent="0.3">
      <c r="A1168" t="s">
        <v>17</v>
      </c>
      <c r="B1168" t="str">
        <f>"603139"</f>
        <v>603139</v>
      </c>
      <c r="C1168" t="s">
        <v>2608</v>
      </c>
      <c r="D1168" t="s">
        <v>188</v>
      </c>
      <c r="F1168">
        <v>233.99930000000001</v>
      </c>
      <c r="G1168">
        <v>224.37450000000001</v>
      </c>
      <c r="H1168">
        <v>227.48670000000001</v>
      </c>
      <c r="I1168">
        <v>244.74870000000001</v>
      </c>
      <c r="J1168">
        <v>227.01230000000001</v>
      </c>
      <c r="P1168">
        <v>97</v>
      </c>
      <c r="Q1168" t="s">
        <v>2609</v>
      </c>
    </row>
    <row r="1169" spans="1:17" x14ac:dyDescent="0.3">
      <c r="A1169" t="s">
        <v>17</v>
      </c>
      <c r="B1169" t="str">
        <f>"603150"</f>
        <v>603150</v>
      </c>
      <c r="C1169" t="s">
        <v>2610</v>
      </c>
      <c r="F1169">
        <v>53.268799999999999</v>
      </c>
      <c r="P1169">
        <v>5</v>
      </c>
      <c r="Q1169" t="s">
        <v>2611</v>
      </c>
    </row>
    <row r="1170" spans="1:17" x14ac:dyDescent="0.3">
      <c r="A1170" t="s">
        <v>17</v>
      </c>
      <c r="B1170" t="str">
        <f>"603155"</f>
        <v>603155</v>
      </c>
      <c r="C1170" t="s">
        <v>2612</v>
      </c>
      <c r="D1170" t="s">
        <v>1205</v>
      </c>
      <c r="F1170">
        <v>96.882000000000005</v>
      </c>
      <c r="G1170">
        <v>154.5778</v>
      </c>
      <c r="H1170">
        <v>87.6965</v>
      </c>
      <c r="P1170">
        <v>76</v>
      </c>
      <c r="Q1170" t="s">
        <v>2613</v>
      </c>
    </row>
    <row r="1171" spans="1:17" x14ac:dyDescent="0.3">
      <c r="A1171" t="s">
        <v>17</v>
      </c>
      <c r="B1171" t="str">
        <f>"603156"</f>
        <v>603156</v>
      </c>
      <c r="C1171" t="s">
        <v>2614</v>
      </c>
      <c r="D1171" t="s">
        <v>440</v>
      </c>
      <c r="F1171">
        <v>89.6571</v>
      </c>
      <c r="G1171">
        <v>160.74870000000001</v>
      </c>
      <c r="H1171">
        <v>97.829400000000007</v>
      </c>
      <c r="I1171">
        <v>93.212900000000005</v>
      </c>
      <c r="J1171">
        <v>97.231399999999994</v>
      </c>
      <c r="P1171">
        <v>1235</v>
      </c>
      <c r="Q1171" t="s">
        <v>2615</v>
      </c>
    </row>
    <row r="1172" spans="1:17" x14ac:dyDescent="0.3">
      <c r="A1172" t="s">
        <v>17</v>
      </c>
      <c r="B1172" t="str">
        <f>"603157"</f>
        <v>603157</v>
      </c>
      <c r="C1172" t="s">
        <v>2616</v>
      </c>
      <c r="D1172" t="s">
        <v>255</v>
      </c>
      <c r="F1172">
        <v>789.7989</v>
      </c>
      <c r="G1172">
        <v>503.63900000000001</v>
      </c>
      <c r="H1172">
        <v>360.62099999999998</v>
      </c>
      <c r="I1172">
        <v>387.39909999999998</v>
      </c>
      <c r="J1172">
        <v>336.41950000000003</v>
      </c>
      <c r="P1172">
        <v>88</v>
      </c>
      <c r="Q1172" t="s">
        <v>2617</v>
      </c>
    </row>
    <row r="1173" spans="1:17" x14ac:dyDescent="0.3">
      <c r="A1173" t="s">
        <v>17</v>
      </c>
      <c r="B1173" t="str">
        <f>"603158"</f>
        <v>603158</v>
      </c>
      <c r="C1173" t="s">
        <v>2618</v>
      </c>
      <c r="D1173" t="s">
        <v>348</v>
      </c>
      <c r="F1173">
        <v>190.05629999999999</v>
      </c>
      <c r="G1173">
        <v>216.37700000000001</v>
      </c>
      <c r="H1173">
        <v>198.9933</v>
      </c>
      <c r="I1173">
        <v>167.07759999999999</v>
      </c>
      <c r="J1173">
        <v>167.02209999999999</v>
      </c>
      <c r="K1173">
        <v>127.21599999999999</v>
      </c>
      <c r="L1173">
        <v>122.9746</v>
      </c>
      <c r="M1173">
        <v>58.8369</v>
      </c>
      <c r="P1173">
        <v>145</v>
      </c>
      <c r="Q1173" t="s">
        <v>2619</v>
      </c>
    </row>
    <row r="1174" spans="1:17" x14ac:dyDescent="0.3">
      <c r="A1174" t="s">
        <v>17</v>
      </c>
      <c r="B1174" t="str">
        <f>"603159"</f>
        <v>603159</v>
      </c>
      <c r="C1174" t="s">
        <v>2620</v>
      </c>
      <c r="D1174" t="s">
        <v>741</v>
      </c>
      <c r="F1174">
        <v>107.0377</v>
      </c>
      <c r="G1174">
        <v>123.033</v>
      </c>
      <c r="H1174">
        <v>114.0866</v>
      </c>
      <c r="I1174">
        <v>118.1576</v>
      </c>
      <c r="J1174">
        <v>110.6361</v>
      </c>
      <c r="K1174">
        <v>95.614500000000007</v>
      </c>
      <c r="L1174">
        <v>44.414299999999997</v>
      </c>
      <c r="P1174">
        <v>62</v>
      </c>
      <c r="Q1174" t="s">
        <v>2621</v>
      </c>
    </row>
    <row r="1175" spans="1:17" x14ac:dyDescent="0.3">
      <c r="A1175" t="s">
        <v>17</v>
      </c>
      <c r="B1175" t="str">
        <f>"603160"</f>
        <v>603160</v>
      </c>
      <c r="C1175" t="s">
        <v>2622</v>
      </c>
      <c r="D1175" t="s">
        <v>401</v>
      </c>
      <c r="F1175">
        <v>134.30539999999999</v>
      </c>
      <c r="G1175">
        <v>76.549499999999995</v>
      </c>
      <c r="H1175">
        <v>77.772099999999995</v>
      </c>
      <c r="I1175">
        <v>141.30439999999999</v>
      </c>
      <c r="J1175">
        <v>135.08029999999999</v>
      </c>
      <c r="K1175">
        <v>98.880899999999997</v>
      </c>
      <c r="L1175">
        <v>63.434100000000001</v>
      </c>
      <c r="P1175">
        <v>2243</v>
      </c>
      <c r="Q1175" t="s">
        <v>2623</v>
      </c>
    </row>
    <row r="1176" spans="1:17" x14ac:dyDescent="0.3">
      <c r="A1176" t="s">
        <v>17</v>
      </c>
      <c r="B1176" t="str">
        <f>"603161"</f>
        <v>603161</v>
      </c>
      <c r="C1176" t="s">
        <v>2624</v>
      </c>
      <c r="D1176" t="s">
        <v>348</v>
      </c>
      <c r="F1176">
        <v>166.6936</v>
      </c>
      <c r="G1176">
        <v>152.2758</v>
      </c>
      <c r="H1176">
        <v>154.61359999999999</v>
      </c>
      <c r="I1176">
        <v>147.22919999999999</v>
      </c>
      <c r="J1176">
        <v>131.47559999999999</v>
      </c>
      <c r="K1176">
        <v>58.273899999999998</v>
      </c>
      <c r="P1176">
        <v>81</v>
      </c>
      <c r="Q1176" t="s">
        <v>2625</v>
      </c>
    </row>
    <row r="1177" spans="1:17" x14ac:dyDescent="0.3">
      <c r="A1177" t="s">
        <v>17</v>
      </c>
      <c r="B1177" t="str">
        <f>"603165"</f>
        <v>603165</v>
      </c>
      <c r="C1177" t="s">
        <v>2626</v>
      </c>
      <c r="D1177" t="s">
        <v>694</v>
      </c>
      <c r="F1177">
        <v>21.530100000000001</v>
      </c>
      <c r="G1177">
        <v>20.797599999999999</v>
      </c>
      <c r="H1177">
        <v>16.831299999999999</v>
      </c>
      <c r="I1177">
        <v>19.899000000000001</v>
      </c>
      <c r="J1177">
        <v>20.409800000000001</v>
      </c>
      <c r="K1177">
        <v>9.8422000000000001</v>
      </c>
      <c r="P1177">
        <v>587</v>
      </c>
      <c r="Q1177" t="s">
        <v>2627</v>
      </c>
    </row>
    <row r="1178" spans="1:17" x14ac:dyDescent="0.3">
      <c r="A1178" t="s">
        <v>17</v>
      </c>
      <c r="B1178" t="str">
        <f>"603166"</f>
        <v>603166</v>
      </c>
      <c r="C1178" t="s">
        <v>2628</v>
      </c>
      <c r="D1178" t="s">
        <v>348</v>
      </c>
      <c r="F1178">
        <v>139.5558</v>
      </c>
      <c r="G1178">
        <v>161.3486</v>
      </c>
      <c r="H1178">
        <v>179.17590000000001</v>
      </c>
      <c r="I1178">
        <v>169.24700000000001</v>
      </c>
      <c r="J1178">
        <v>154.5119</v>
      </c>
      <c r="K1178">
        <v>179.6849</v>
      </c>
      <c r="L1178">
        <v>192.76589999999999</v>
      </c>
      <c r="M1178">
        <v>153.96680000000001</v>
      </c>
      <c r="N1178">
        <v>87.2654</v>
      </c>
      <c r="P1178">
        <v>141</v>
      </c>
      <c r="Q1178" t="s">
        <v>2629</v>
      </c>
    </row>
    <row r="1179" spans="1:17" x14ac:dyDescent="0.3">
      <c r="A1179" t="s">
        <v>17</v>
      </c>
      <c r="B1179" t="str">
        <f>"603167"</f>
        <v>603167</v>
      </c>
      <c r="C1179" t="s">
        <v>2630</v>
      </c>
      <c r="D1179" t="s">
        <v>69</v>
      </c>
      <c r="F1179">
        <v>42.428400000000003</v>
      </c>
      <c r="G1179">
        <v>37.558399999999999</v>
      </c>
      <c r="H1179">
        <v>30.2746</v>
      </c>
      <c r="I1179">
        <v>23.390999999999998</v>
      </c>
      <c r="J1179">
        <v>18.809699999999999</v>
      </c>
      <c r="K1179">
        <v>15.697100000000001</v>
      </c>
      <c r="L1179">
        <v>12.127599999999999</v>
      </c>
      <c r="M1179">
        <v>9.9448000000000008</v>
      </c>
      <c r="N1179">
        <v>8.2233000000000001</v>
      </c>
      <c r="O1179">
        <v>8.7059999999999995</v>
      </c>
      <c r="P1179">
        <v>239</v>
      </c>
      <c r="Q1179" t="s">
        <v>2631</v>
      </c>
    </row>
    <row r="1180" spans="1:17" x14ac:dyDescent="0.3">
      <c r="A1180" t="s">
        <v>17</v>
      </c>
      <c r="B1180" t="str">
        <f>"603168"</f>
        <v>603168</v>
      </c>
      <c r="C1180" t="s">
        <v>2632</v>
      </c>
      <c r="D1180" t="s">
        <v>143</v>
      </c>
      <c r="F1180">
        <v>113.2782</v>
      </c>
      <c r="G1180">
        <v>235.44329999999999</v>
      </c>
      <c r="H1180">
        <v>267.45850000000002</v>
      </c>
      <c r="I1180">
        <v>304.95650000000001</v>
      </c>
      <c r="J1180">
        <v>169.7439</v>
      </c>
      <c r="K1180">
        <v>109.72839999999999</v>
      </c>
      <c r="L1180">
        <v>81.393299999999996</v>
      </c>
      <c r="M1180">
        <v>69.106700000000004</v>
      </c>
      <c r="N1180">
        <v>43.661299999999997</v>
      </c>
      <c r="P1180">
        <v>528</v>
      </c>
      <c r="Q1180" t="s">
        <v>2633</v>
      </c>
    </row>
    <row r="1181" spans="1:17" x14ac:dyDescent="0.3">
      <c r="A1181" t="s">
        <v>17</v>
      </c>
      <c r="B1181" t="str">
        <f>"603169"</f>
        <v>603169</v>
      </c>
      <c r="C1181" t="s">
        <v>2634</v>
      </c>
      <c r="D1181" t="s">
        <v>395</v>
      </c>
      <c r="F1181">
        <v>461.96940000000001</v>
      </c>
      <c r="G1181">
        <v>686.15530000000001</v>
      </c>
      <c r="H1181">
        <v>522.55679999999995</v>
      </c>
      <c r="I1181">
        <v>663.67420000000004</v>
      </c>
      <c r="J1181">
        <v>519.28859999999997</v>
      </c>
      <c r="K1181">
        <v>642.96519999999998</v>
      </c>
      <c r="L1181">
        <v>476.88459999999998</v>
      </c>
      <c r="M1181">
        <v>523.94600000000003</v>
      </c>
      <c r="N1181">
        <v>172.57769999999999</v>
      </c>
      <c r="P1181">
        <v>81</v>
      </c>
      <c r="Q1181" t="s">
        <v>2635</v>
      </c>
    </row>
    <row r="1182" spans="1:17" x14ac:dyDescent="0.3">
      <c r="A1182" t="s">
        <v>17</v>
      </c>
      <c r="B1182" t="str">
        <f>"603171"</f>
        <v>603171</v>
      </c>
      <c r="C1182" t="s">
        <v>2636</v>
      </c>
      <c r="D1182" t="s">
        <v>316</v>
      </c>
      <c r="F1182">
        <v>111.76819999999999</v>
      </c>
      <c r="P1182">
        <v>54</v>
      </c>
      <c r="Q1182" t="s">
        <v>2637</v>
      </c>
    </row>
    <row r="1183" spans="1:17" x14ac:dyDescent="0.3">
      <c r="A1183" t="s">
        <v>17</v>
      </c>
      <c r="B1183" t="str">
        <f>"603176"</f>
        <v>603176</v>
      </c>
      <c r="C1183" t="s">
        <v>2638</v>
      </c>
      <c r="D1183" t="s">
        <v>101</v>
      </c>
      <c r="F1183">
        <v>10.71</v>
      </c>
      <c r="P1183">
        <v>17</v>
      </c>
      <c r="Q1183" t="s">
        <v>2639</v>
      </c>
    </row>
    <row r="1184" spans="1:17" x14ac:dyDescent="0.3">
      <c r="A1184" t="s">
        <v>17</v>
      </c>
      <c r="B1184" t="str">
        <f>"603177"</f>
        <v>603177</v>
      </c>
      <c r="C1184" t="s">
        <v>2640</v>
      </c>
      <c r="D1184" t="s">
        <v>663</v>
      </c>
      <c r="F1184">
        <v>153.4203</v>
      </c>
      <c r="G1184">
        <v>554.88199999999995</v>
      </c>
      <c r="H1184">
        <v>343.52249999999998</v>
      </c>
      <c r="I1184">
        <v>202.98929999999999</v>
      </c>
      <c r="J1184">
        <v>171.40530000000001</v>
      </c>
      <c r="K1184">
        <v>214.5934</v>
      </c>
      <c r="P1184">
        <v>68</v>
      </c>
      <c r="Q1184" t="s">
        <v>2641</v>
      </c>
    </row>
    <row r="1185" spans="1:17" x14ac:dyDescent="0.3">
      <c r="A1185" t="s">
        <v>17</v>
      </c>
      <c r="B1185" t="str">
        <f>"603178"</f>
        <v>603178</v>
      </c>
      <c r="C1185" t="s">
        <v>2642</v>
      </c>
      <c r="D1185" t="s">
        <v>348</v>
      </c>
      <c r="F1185">
        <v>92.5959</v>
      </c>
      <c r="G1185">
        <v>98.036799999999999</v>
      </c>
      <c r="H1185">
        <v>95.2423</v>
      </c>
      <c r="I1185">
        <v>82.357699999999994</v>
      </c>
      <c r="J1185">
        <v>75.035399999999996</v>
      </c>
      <c r="K1185">
        <v>75.378500000000003</v>
      </c>
      <c r="P1185">
        <v>80</v>
      </c>
      <c r="Q1185" t="s">
        <v>2643</v>
      </c>
    </row>
    <row r="1186" spans="1:17" x14ac:dyDescent="0.3">
      <c r="A1186" t="s">
        <v>17</v>
      </c>
      <c r="B1186" t="str">
        <f>"603179"</f>
        <v>603179</v>
      </c>
      <c r="C1186" t="s">
        <v>2644</v>
      </c>
      <c r="D1186" t="s">
        <v>1415</v>
      </c>
      <c r="F1186">
        <v>170.4742</v>
      </c>
      <c r="G1186">
        <v>165.34270000000001</v>
      </c>
      <c r="H1186">
        <v>137.66909999999999</v>
      </c>
      <c r="I1186">
        <v>101.3693</v>
      </c>
      <c r="J1186">
        <v>110.5428</v>
      </c>
      <c r="P1186">
        <v>302</v>
      </c>
      <c r="Q1186" t="s">
        <v>2645</v>
      </c>
    </row>
    <row r="1187" spans="1:17" x14ac:dyDescent="0.3">
      <c r="A1187" t="s">
        <v>17</v>
      </c>
      <c r="B1187" t="str">
        <f>"603180"</f>
        <v>603180</v>
      </c>
      <c r="C1187" t="s">
        <v>2646</v>
      </c>
      <c r="D1187" t="s">
        <v>2647</v>
      </c>
      <c r="F1187">
        <v>82.8489</v>
      </c>
      <c r="G1187">
        <v>93.594700000000003</v>
      </c>
      <c r="H1187">
        <v>80.014499999999998</v>
      </c>
      <c r="I1187">
        <v>76.226399999999998</v>
      </c>
      <c r="J1187">
        <v>77.865300000000005</v>
      </c>
      <c r="P1187">
        <v>1304</v>
      </c>
      <c r="Q1187" t="s">
        <v>2648</v>
      </c>
    </row>
    <row r="1188" spans="1:17" x14ac:dyDescent="0.3">
      <c r="A1188" t="s">
        <v>17</v>
      </c>
      <c r="B1188" t="str">
        <f>"603181"</f>
        <v>603181</v>
      </c>
      <c r="C1188" t="s">
        <v>2649</v>
      </c>
      <c r="D1188" t="s">
        <v>1192</v>
      </c>
      <c r="F1188">
        <v>51.149099999999997</v>
      </c>
      <c r="G1188">
        <v>45.930599999999998</v>
      </c>
      <c r="H1188">
        <v>46.0105</v>
      </c>
      <c r="I1188">
        <v>40.685899999999997</v>
      </c>
      <c r="J1188">
        <v>37.793599999999998</v>
      </c>
      <c r="P1188">
        <v>160</v>
      </c>
      <c r="Q1188" t="s">
        <v>2650</v>
      </c>
    </row>
    <row r="1189" spans="1:17" x14ac:dyDescent="0.3">
      <c r="A1189" t="s">
        <v>17</v>
      </c>
      <c r="B1189" t="str">
        <f>"603183"</f>
        <v>603183</v>
      </c>
      <c r="C1189" t="s">
        <v>2651</v>
      </c>
      <c r="D1189" t="s">
        <v>2499</v>
      </c>
      <c r="F1189">
        <v>103.955</v>
      </c>
      <c r="G1189">
        <v>104.0553</v>
      </c>
      <c r="H1189">
        <v>111.2534</v>
      </c>
      <c r="I1189">
        <v>108.8355</v>
      </c>
      <c r="J1189">
        <v>158.19749999999999</v>
      </c>
      <c r="P1189">
        <v>92</v>
      </c>
      <c r="Q1189" t="s">
        <v>2652</v>
      </c>
    </row>
    <row r="1190" spans="1:17" x14ac:dyDescent="0.3">
      <c r="A1190" t="s">
        <v>17</v>
      </c>
      <c r="B1190" t="str">
        <f>"603185"</f>
        <v>603185</v>
      </c>
      <c r="C1190" t="s">
        <v>2653</v>
      </c>
      <c r="D1190" t="s">
        <v>2654</v>
      </c>
      <c r="F1190">
        <v>77.452799999999996</v>
      </c>
      <c r="G1190">
        <v>107.5228</v>
      </c>
      <c r="H1190">
        <v>398.75479999999999</v>
      </c>
      <c r="I1190">
        <v>296.49489999999997</v>
      </c>
      <c r="P1190">
        <v>516</v>
      </c>
      <c r="Q1190" t="s">
        <v>2655</v>
      </c>
    </row>
    <row r="1191" spans="1:17" x14ac:dyDescent="0.3">
      <c r="A1191" t="s">
        <v>17</v>
      </c>
      <c r="B1191" t="str">
        <f>"603186"</f>
        <v>603186</v>
      </c>
      <c r="C1191" t="s">
        <v>2656</v>
      </c>
      <c r="D1191" t="s">
        <v>425</v>
      </c>
      <c r="F1191">
        <v>64.722099999999998</v>
      </c>
      <c r="G1191">
        <v>76.778000000000006</v>
      </c>
      <c r="H1191">
        <v>72.455500000000001</v>
      </c>
      <c r="I1191">
        <v>80.303100000000001</v>
      </c>
      <c r="J1191">
        <v>66.253399999999999</v>
      </c>
      <c r="K1191">
        <v>27.094999999999999</v>
      </c>
      <c r="P1191">
        <v>328</v>
      </c>
      <c r="Q1191" t="s">
        <v>2657</v>
      </c>
    </row>
    <row r="1192" spans="1:17" x14ac:dyDescent="0.3">
      <c r="A1192" t="s">
        <v>17</v>
      </c>
      <c r="B1192" t="str">
        <f>"603187"</f>
        <v>603187</v>
      </c>
      <c r="C1192" t="s">
        <v>2658</v>
      </c>
      <c r="D1192" t="s">
        <v>988</v>
      </c>
      <c r="F1192">
        <v>104.56</v>
      </c>
      <c r="G1192">
        <v>134.13730000000001</v>
      </c>
      <c r="H1192">
        <v>112.5348</v>
      </c>
      <c r="I1192">
        <v>120.27379999999999</v>
      </c>
      <c r="J1192">
        <v>64.5715</v>
      </c>
      <c r="P1192">
        <v>704</v>
      </c>
      <c r="Q1192" t="s">
        <v>2659</v>
      </c>
    </row>
    <row r="1193" spans="1:17" x14ac:dyDescent="0.3">
      <c r="A1193" t="s">
        <v>17</v>
      </c>
      <c r="B1193" t="str">
        <f>"603188"</f>
        <v>603188</v>
      </c>
      <c r="C1193" t="s">
        <v>2660</v>
      </c>
      <c r="D1193" t="s">
        <v>779</v>
      </c>
      <c r="F1193">
        <v>283.6302</v>
      </c>
      <c r="G1193">
        <v>341.19200000000001</v>
      </c>
      <c r="H1193">
        <v>263.14600000000002</v>
      </c>
      <c r="I1193">
        <v>260.72969999999998</v>
      </c>
      <c r="J1193">
        <v>203.13550000000001</v>
      </c>
      <c r="K1193">
        <v>210.11179999999999</v>
      </c>
      <c r="L1193">
        <v>230.9691</v>
      </c>
      <c r="M1193">
        <v>138.53809999999999</v>
      </c>
      <c r="N1193">
        <v>54.667099999999998</v>
      </c>
      <c r="P1193">
        <v>206</v>
      </c>
      <c r="Q1193" t="s">
        <v>2661</v>
      </c>
    </row>
    <row r="1194" spans="1:17" x14ac:dyDescent="0.3">
      <c r="A1194" t="s">
        <v>17</v>
      </c>
      <c r="B1194" t="str">
        <f>"603189"</f>
        <v>603189</v>
      </c>
      <c r="C1194" t="s">
        <v>2662</v>
      </c>
      <c r="D1194" t="s">
        <v>945</v>
      </c>
      <c r="F1194">
        <v>84.549099999999996</v>
      </c>
      <c r="G1194">
        <v>62.279800000000002</v>
      </c>
      <c r="H1194">
        <v>73.6935</v>
      </c>
      <c r="I1194">
        <v>164.82480000000001</v>
      </c>
      <c r="J1194">
        <v>109.2201</v>
      </c>
      <c r="K1194">
        <v>98.006</v>
      </c>
      <c r="L1194">
        <v>46.704900000000002</v>
      </c>
      <c r="P1194">
        <v>166</v>
      </c>
      <c r="Q1194" t="s">
        <v>2663</v>
      </c>
    </row>
    <row r="1195" spans="1:17" x14ac:dyDescent="0.3">
      <c r="A1195" t="s">
        <v>17</v>
      </c>
      <c r="B1195" t="str">
        <f>"603192"</f>
        <v>603192</v>
      </c>
      <c r="C1195" t="s">
        <v>2664</v>
      </c>
      <c r="D1195" t="s">
        <v>528</v>
      </c>
      <c r="F1195">
        <v>44.197299999999998</v>
      </c>
      <c r="G1195">
        <v>57.926200000000001</v>
      </c>
      <c r="H1195">
        <v>41.576300000000003</v>
      </c>
      <c r="I1195">
        <v>33.2637</v>
      </c>
      <c r="P1195">
        <v>82</v>
      </c>
      <c r="Q1195" t="s">
        <v>2665</v>
      </c>
    </row>
    <row r="1196" spans="1:17" x14ac:dyDescent="0.3">
      <c r="A1196" t="s">
        <v>17</v>
      </c>
      <c r="B1196" t="str">
        <f>"603195"</f>
        <v>603195</v>
      </c>
      <c r="C1196" t="s">
        <v>2666</v>
      </c>
      <c r="D1196" t="s">
        <v>2436</v>
      </c>
      <c r="F1196">
        <v>71.261200000000002</v>
      </c>
      <c r="G1196">
        <v>65.667000000000002</v>
      </c>
      <c r="H1196">
        <v>69.016599999999997</v>
      </c>
      <c r="P1196">
        <v>1473</v>
      </c>
      <c r="Q1196" t="s">
        <v>2667</v>
      </c>
    </row>
    <row r="1197" spans="1:17" x14ac:dyDescent="0.3">
      <c r="A1197" t="s">
        <v>17</v>
      </c>
      <c r="B1197" t="str">
        <f>"603196"</f>
        <v>603196</v>
      </c>
      <c r="C1197" t="s">
        <v>2668</v>
      </c>
      <c r="D1197" t="s">
        <v>255</v>
      </c>
      <c r="F1197">
        <v>336.43880000000001</v>
      </c>
      <c r="G1197">
        <v>445.48450000000003</v>
      </c>
      <c r="H1197">
        <v>392.20679999999999</v>
      </c>
      <c r="I1197">
        <v>399.00540000000001</v>
      </c>
      <c r="J1197">
        <v>314.30020000000002</v>
      </c>
      <c r="P1197">
        <v>70</v>
      </c>
      <c r="Q1197" t="s">
        <v>2669</v>
      </c>
    </row>
    <row r="1198" spans="1:17" x14ac:dyDescent="0.3">
      <c r="A1198" t="s">
        <v>17</v>
      </c>
      <c r="B1198" t="str">
        <f>"603197"</f>
        <v>603197</v>
      </c>
      <c r="C1198" t="s">
        <v>2670</v>
      </c>
      <c r="D1198" t="s">
        <v>985</v>
      </c>
      <c r="F1198">
        <v>164.376</v>
      </c>
      <c r="G1198">
        <v>155.04409999999999</v>
      </c>
      <c r="H1198">
        <v>126.57940000000001</v>
      </c>
      <c r="I1198">
        <v>146.99860000000001</v>
      </c>
      <c r="J1198">
        <v>145.7183</v>
      </c>
      <c r="P1198">
        <v>357</v>
      </c>
      <c r="Q1198" t="s">
        <v>2671</v>
      </c>
    </row>
    <row r="1199" spans="1:17" x14ac:dyDescent="0.3">
      <c r="A1199" t="s">
        <v>17</v>
      </c>
      <c r="B1199" t="str">
        <f>"603198"</f>
        <v>603198</v>
      </c>
      <c r="C1199" t="s">
        <v>2672</v>
      </c>
      <c r="D1199" t="s">
        <v>458</v>
      </c>
      <c r="F1199">
        <v>1138.4563000000001</v>
      </c>
      <c r="G1199">
        <v>1281.9301</v>
      </c>
      <c r="H1199">
        <v>896.79369999999994</v>
      </c>
      <c r="I1199">
        <v>805.50729999999999</v>
      </c>
      <c r="J1199">
        <v>822.75350000000003</v>
      </c>
      <c r="K1199">
        <v>762.23779999999999</v>
      </c>
      <c r="L1199">
        <v>549.38289999999995</v>
      </c>
      <c r="M1199">
        <v>193.05350000000001</v>
      </c>
      <c r="P1199">
        <v>5968</v>
      </c>
      <c r="Q1199" t="s">
        <v>2673</v>
      </c>
    </row>
    <row r="1200" spans="1:17" x14ac:dyDescent="0.3">
      <c r="A1200" t="s">
        <v>17</v>
      </c>
      <c r="B1200" t="str">
        <f>"603199"</f>
        <v>603199</v>
      </c>
      <c r="C1200" t="s">
        <v>2674</v>
      </c>
      <c r="D1200" t="s">
        <v>119</v>
      </c>
      <c r="F1200">
        <v>13.7133</v>
      </c>
      <c r="G1200">
        <v>21.2059</v>
      </c>
      <c r="H1200">
        <v>15.130800000000001</v>
      </c>
      <c r="I1200">
        <v>12.869</v>
      </c>
      <c r="J1200">
        <v>12.8315</v>
      </c>
      <c r="K1200">
        <v>16.286899999999999</v>
      </c>
      <c r="L1200">
        <v>16.431699999999999</v>
      </c>
      <c r="M1200">
        <v>19.774999999999999</v>
      </c>
      <c r="P1200">
        <v>144</v>
      </c>
      <c r="Q1200" t="s">
        <v>2675</v>
      </c>
    </row>
    <row r="1201" spans="1:17" x14ac:dyDescent="0.3">
      <c r="A1201" t="s">
        <v>17</v>
      </c>
      <c r="B1201" t="str">
        <f>"603200"</f>
        <v>603200</v>
      </c>
      <c r="C1201" t="s">
        <v>2676</v>
      </c>
      <c r="D1201" t="s">
        <v>33</v>
      </c>
      <c r="F1201">
        <v>113.3284</v>
      </c>
      <c r="G1201">
        <v>87.3172</v>
      </c>
      <c r="H1201">
        <v>82.982500000000002</v>
      </c>
      <c r="I1201">
        <v>100.4988</v>
      </c>
      <c r="J1201">
        <v>93.208200000000005</v>
      </c>
      <c r="P1201">
        <v>101</v>
      </c>
      <c r="Q1201" t="s">
        <v>2677</v>
      </c>
    </row>
    <row r="1202" spans="1:17" x14ac:dyDescent="0.3">
      <c r="A1202" t="s">
        <v>17</v>
      </c>
      <c r="B1202" t="str">
        <f>"603203"</f>
        <v>603203</v>
      </c>
      <c r="C1202" t="s">
        <v>2678</v>
      </c>
      <c r="D1202" t="s">
        <v>2423</v>
      </c>
      <c r="F1202">
        <v>188.62620000000001</v>
      </c>
      <c r="G1202">
        <v>141.3997</v>
      </c>
      <c r="H1202">
        <v>164.46690000000001</v>
      </c>
      <c r="I1202">
        <v>193.98570000000001</v>
      </c>
      <c r="J1202">
        <v>163.45519999999999</v>
      </c>
      <c r="K1202">
        <v>122.14400000000001</v>
      </c>
      <c r="L1202">
        <v>78.499099999999999</v>
      </c>
      <c r="P1202">
        <v>2649</v>
      </c>
      <c r="Q1202" t="s">
        <v>2679</v>
      </c>
    </row>
    <row r="1203" spans="1:17" x14ac:dyDescent="0.3">
      <c r="A1203" t="s">
        <v>17</v>
      </c>
      <c r="B1203" t="str">
        <f>"603208"</f>
        <v>603208</v>
      </c>
      <c r="C1203" t="s">
        <v>2680</v>
      </c>
      <c r="D1203" t="s">
        <v>2647</v>
      </c>
      <c r="F1203">
        <v>103.0984</v>
      </c>
      <c r="G1203">
        <v>115.26439999999999</v>
      </c>
      <c r="H1203">
        <v>130.1797</v>
      </c>
      <c r="I1203">
        <v>109.4415</v>
      </c>
      <c r="J1203">
        <v>96.301400000000001</v>
      </c>
      <c r="K1203">
        <v>49.999200000000002</v>
      </c>
      <c r="P1203">
        <v>493</v>
      </c>
      <c r="Q1203" t="s">
        <v>2681</v>
      </c>
    </row>
    <row r="1204" spans="1:17" x14ac:dyDescent="0.3">
      <c r="A1204" t="s">
        <v>17</v>
      </c>
      <c r="B1204" t="str">
        <f>"603212"</f>
        <v>603212</v>
      </c>
      <c r="C1204" t="s">
        <v>2682</v>
      </c>
      <c r="D1204" t="s">
        <v>478</v>
      </c>
      <c r="F1204">
        <v>95.312200000000004</v>
      </c>
      <c r="G1204">
        <v>66.559399999999997</v>
      </c>
      <c r="P1204">
        <v>129</v>
      </c>
      <c r="Q1204" t="s">
        <v>2683</v>
      </c>
    </row>
    <row r="1205" spans="1:17" x14ac:dyDescent="0.3">
      <c r="A1205" t="s">
        <v>17</v>
      </c>
      <c r="B1205" t="str">
        <f>"603213"</f>
        <v>603213</v>
      </c>
      <c r="C1205" t="s">
        <v>2684</v>
      </c>
      <c r="D1205" t="s">
        <v>175</v>
      </c>
      <c r="F1205">
        <v>25.2941</v>
      </c>
      <c r="G1205">
        <v>20.793099999999999</v>
      </c>
      <c r="P1205">
        <v>32</v>
      </c>
      <c r="Q1205" t="s">
        <v>2685</v>
      </c>
    </row>
    <row r="1206" spans="1:17" x14ac:dyDescent="0.3">
      <c r="A1206" t="s">
        <v>17</v>
      </c>
      <c r="B1206" t="str">
        <f>"603214"</f>
        <v>603214</v>
      </c>
      <c r="C1206" t="s">
        <v>2686</v>
      </c>
      <c r="D1206" t="s">
        <v>295</v>
      </c>
      <c r="F1206">
        <v>191.30869999999999</v>
      </c>
      <c r="G1206">
        <v>174.93729999999999</v>
      </c>
      <c r="H1206">
        <v>152.0506</v>
      </c>
      <c r="I1206">
        <v>144.74709999999999</v>
      </c>
      <c r="P1206">
        <v>290</v>
      </c>
      <c r="Q1206" t="s">
        <v>2687</v>
      </c>
    </row>
    <row r="1207" spans="1:17" x14ac:dyDescent="0.3">
      <c r="A1207" t="s">
        <v>17</v>
      </c>
      <c r="B1207" t="str">
        <f>"603215"</f>
        <v>603215</v>
      </c>
      <c r="C1207" t="s">
        <v>2688</v>
      </c>
      <c r="F1207">
        <v>80.264600000000002</v>
      </c>
      <c r="P1207">
        <v>13</v>
      </c>
      <c r="Q1207" t="s">
        <v>2689</v>
      </c>
    </row>
    <row r="1208" spans="1:17" x14ac:dyDescent="0.3">
      <c r="A1208" t="s">
        <v>17</v>
      </c>
      <c r="B1208" t="str">
        <f>"603216"</f>
        <v>603216</v>
      </c>
      <c r="C1208" t="s">
        <v>2690</v>
      </c>
      <c r="D1208" t="s">
        <v>2647</v>
      </c>
      <c r="F1208">
        <v>68.172799999999995</v>
      </c>
      <c r="P1208">
        <v>22</v>
      </c>
      <c r="Q1208" t="s">
        <v>2691</v>
      </c>
    </row>
    <row r="1209" spans="1:17" x14ac:dyDescent="0.3">
      <c r="A1209" t="s">
        <v>17</v>
      </c>
      <c r="B1209" t="str">
        <f>"603217"</f>
        <v>603217</v>
      </c>
      <c r="C1209" t="s">
        <v>2692</v>
      </c>
      <c r="D1209" t="s">
        <v>386</v>
      </c>
      <c r="F1209">
        <v>72.648899999999998</v>
      </c>
      <c r="G1209">
        <v>103.6285</v>
      </c>
      <c r="H1209">
        <v>96.226900000000001</v>
      </c>
      <c r="P1209">
        <v>71</v>
      </c>
      <c r="Q1209" t="s">
        <v>2693</v>
      </c>
    </row>
    <row r="1210" spans="1:17" x14ac:dyDescent="0.3">
      <c r="A1210" t="s">
        <v>17</v>
      </c>
      <c r="B1210" t="str">
        <f>"603218"</f>
        <v>603218</v>
      </c>
      <c r="C1210" t="s">
        <v>2694</v>
      </c>
      <c r="D1210" t="s">
        <v>950</v>
      </c>
      <c r="F1210">
        <v>83.975099999999998</v>
      </c>
      <c r="G1210">
        <v>64.199299999999994</v>
      </c>
      <c r="H1210">
        <v>83.464600000000004</v>
      </c>
      <c r="I1210">
        <v>89.394999999999996</v>
      </c>
      <c r="J1210">
        <v>96.278700000000001</v>
      </c>
      <c r="K1210">
        <v>46.5261</v>
      </c>
      <c r="P1210">
        <v>566</v>
      </c>
      <c r="Q1210" t="s">
        <v>2695</v>
      </c>
    </row>
    <row r="1211" spans="1:17" x14ac:dyDescent="0.3">
      <c r="A1211" t="s">
        <v>17</v>
      </c>
      <c r="B1211" t="str">
        <f>"603219"</f>
        <v>603219</v>
      </c>
      <c r="C1211" t="s">
        <v>2696</v>
      </c>
      <c r="D1211" t="s">
        <v>2697</v>
      </c>
      <c r="F1211">
        <v>89.025400000000005</v>
      </c>
      <c r="P1211">
        <v>23</v>
      </c>
      <c r="Q1211" t="s">
        <v>2698</v>
      </c>
    </row>
    <row r="1212" spans="1:17" x14ac:dyDescent="0.3">
      <c r="A1212" t="s">
        <v>17</v>
      </c>
      <c r="B1212" t="str">
        <f>"603220"</f>
        <v>603220</v>
      </c>
      <c r="C1212" t="s">
        <v>2699</v>
      </c>
      <c r="D1212" t="s">
        <v>654</v>
      </c>
      <c r="F1212">
        <v>90.033199999999994</v>
      </c>
      <c r="G1212">
        <v>105.3689</v>
      </c>
      <c r="H1212">
        <v>126.4406</v>
      </c>
      <c r="I1212">
        <v>146.9862</v>
      </c>
      <c r="P1212">
        <v>146</v>
      </c>
      <c r="Q1212" t="s">
        <v>2700</v>
      </c>
    </row>
    <row r="1213" spans="1:17" x14ac:dyDescent="0.3">
      <c r="A1213" t="s">
        <v>17</v>
      </c>
      <c r="B1213" t="str">
        <f>"603221"</f>
        <v>603221</v>
      </c>
      <c r="C1213" t="s">
        <v>2701</v>
      </c>
      <c r="D1213" t="s">
        <v>178</v>
      </c>
      <c r="F1213">
        <v>111.34869999999999</v>
      </c>
      <c r="G1213">
        <v>99.600800000000007</v>
      </c>
      <c r="P1213">
        <v>79</v>
      </c>
      <c r="Q1213" t="s">
        <v>2702</v>
      </c>
    </row>
    <row r="1214" spans="1:17" x14ac:dyDescent="0.3">
      <c r="A1214" t="s">
        <v>17</v>
      </c>
      <c r="B1214" t="str">
        <f>"603222"</f>
        <v>603222</v>
      </c>
      <c r="C1214" t="s">
        <v>2703</v>
      </c>
      <c r="D1214" t="s">
        <v>1077</v>
      </c>
      <c r="F1214">
        <v>107.0883</v>
      </c>
      <c r="G1214">
        <v>116.05410000000001</v>
      </c>
      <c r="H1214">
        <v>108.14190000000001</v>
      </c>
      <c r="I1214">
        <v>121.75920000000001</v>
      </c>
      <c r="J1214">
        <v>135.2893</v>
      </c>
      <c r="K1214">
        <v>170.02289999999999</v>
      </c>
      <c r="L1214">
        <v>163.9504</v>
      </c>
      <c r="M1214">
        <v>159.47630000000001</v>
      </c>
      <c r="P1214">
        <v>171</v>
      </c>
      <c r="Q1214" t="s">
        <v>2704</v>
      </c>
    </row>
    <row r="1215" spans="1:17" x14ac:dyDescent="0.3">
      <c r="A1215" t="s">
        <v>17</v>
      </c>
      <c r="B1215" t="str">
        <f>"603223"</f>
        <v>603223</v>
      </c>
      <c r="C1215" t="s">
        <v>2705</v>
      </c>
      <c r="D1215" t="s">
        <v>2492</v>
      </c>
      <c r="F1215">
        <v>0.40889999999999999</v>
      </c>
      <c r="G1215">
        <v>1.2184999999999999</v>
      </c>
      <c r="H1215">
        <v>2.4043000000000001</v>
      </c>
      <c r="I1215">
        <v>2.8774999999999999</v>
      </c>
      <c r="J1215">
        <v>2.8043999999999998</v>
      </c>
      <c r="K1215">
        <v>3.1263999999999998</v>
      </c>
      <c r="L1215">
        <v>3.7185999999999999</v>
      </c>
      <c r="M1215">
        <v>3.1469</v>
      </c>
      <c r="P1215">
        <v>98</v>
      </c>
      <c r="Q1215" t="s">
        <v>2706</v>
      </c>
    </row>
    <row r="1216" spans="1:17" x14ac:dyDescent="0.3">
      <c r="A1216" t="s">
        <v>17</v>
      </c>
      <c r="B1216" t="str">
        <f>"603225"</f>
        <v>603225</v>
      </c>
      <c r="C1216" t="s">
        <v>2707</v>
      </c>
      <c r="D1216" t="s">
        <v>2708</v>
      </c>
      <c r="F1216">
        <v>25.9787</v>
      </c>
      <c r="G1216">
        <v>28.7242</v>
      </c>
      <c r="H1216">
        <v>23.229099999999999</v>
      </c>
      <c r="I1216">
        <v>27.161100000000001</v>
      </c>
      <c r="J1216">
        <v>16.412299999999998</v>
      </c>
      <c r="K1216">
        <v>10.496</v>
      </c>
      <c r="P1216">
        <v>388</v>
      </c>
      <c r="Q1216" t="s">
        <v>2709</v>
      </c>
    </row>
    <row r="1217" spans="1:17" x14ac:dyDescent="0.3">
      <c r="A1217" t="s">
        <v>17</v>
      </c>
      <c r="B1217" t="str">
        <f>"603226"</f>
        <v>603226</v>
      </c>
      <c r="C1217" t="s">
        <v>2710</v>
      </c>
      <c r="D1217" t="s">
        <v>178</v>
      </c>
      <c r="F1217">
        <v>136.5188</v>
      </c>
      <c r="G1217">
        <v>168.45830000000001</v>
      </c>
      <c r="H1217">
        <v>115.73090000000001</v>
      </c>
      <c r="I1217">
        <v>112.7022</v>
      </c>
      <c r="J1217">
        <v>100.1052</v>
      </c>
      <c r="P1217">
        <v>113</v>
      </c>
      <c r="Q1217" t="s">
        <v>2711</v>
      </c>
    </row>
    <row r="1218" spans="1:17" x14ac:dyDescent="0.3">
      <c r="A1218" t="s">
        <v>17</v>
      </c>
      <c r="B1218" t="str">
        <f>"603227"</f>
        <v>603227</v>
      </c>
      <c r="C1218" t="s">
        <v>2712</v>
      </c>
      <c r="D1218" t="s">
        <v>2713</v>
      </c>
      <c r="F1218">
        <v>42.060200000000002</v>
      </c>
      <c r="G1218">
        <v>44.561</v>
      </c>
      <c r="H1218">
        <v>44.9893</v>
      </c>
      <c r="I1218">
        <v>31.070699999999999</v>
      </c>
      <c r="J1218">
        <v>52.284599999999998</v>
      </c>
      <c r="K1218">
        <v>63.274299999999997</v>
      </c>
      <c r="L1218">
        <v>89.380099999999999</v>
      </c>
      <c r="M1218">
        <v>40.555900000000001</v>
      </c>
      <c r="P1218">
        <v>80</v>
      </c>
      <c r="Q1218" t="s">
        <v>2714</v>
      </c>
    </row>
    <row r="1219" spans="1:17" x14ac:dyDescent="0.3">
      <c r="A1219" t="s">
        <v>17</v>
      </c>
      <c r="B1219" t="str">
        <f>"603228"</f>
        <v>603228</v>
      </c>
      <c r="C1219" t="s">
        <v>2715</v>
      </c>
      <c r="D1219" t="s">
        <v>425</v>
      </c>
      <c r="F1219">
        <v>97.921899999999994</v>
      </c>
      <c r="G1219">
        <v>89.462699999999998</v>
      </c>
      <c r="H1219">
        <v>82.512100000000004</v>
      </c>
      <c r="I1219">
        <v>80.993700000000004</v>
      </c>
      <c r="J1219">
        <v>71.7898</v>
      </c>
      <c r="K1219">
        <v>58.982799999999997</v>
      </c>
      <c r="L1219">
        <v>26.376899999999999</v>
      </c>
      <c r="P1219">
        <v>1624</v>
      </c>
      <c r="Q1219" t="s">
        <v>2716</v>
      </c>
    </row>
    <row r="1220" spans="1:17" x14ac:dyDescent="0.3">
      <c r="A1220" t="s">
        <v>17</v>
      </c>
      <c r="B1220" t="str">
        <f>"603229"</f>
        <v>603229</v>
      </c>
      <c r="C1220" t="s">
        <v>2717</v>
      </c>
      <c r="D1220" t="s">
        <v>496</v>
      </c>
      <c r="F1220">
        <v>372.24239999999998</v>
      </c>
      <c r="G1220">
        <v>514.80859999999996</v>
      </c>
      <c r="H1220">
        <v>586.87390000000005</v>
      </c>
      <c r="I1220">
        <v>540.16089999999997</v>
      </c>
      <c r="J1220">
        <v>592.73180000000002</v>
      </c>
      <c r="P1220">
        <v>164</v>
      </c>
      <c r="Q1220" t="s">
        <v>2718</v>
      </c>
    </row>
    <row r="1221" spans="1:17" x14ac:dyDescent="0.3">
      <c r="A1221" t="s">
        <v>17</v>
      </c>
      <c r="B1221" t="str">
        <f>"603230"</f>
        <v>603230</v>
      </c>
      <c r="C1221" t="s">
        <v>2719</v>
      </c>
      <c r="D1221" t="s">
        <v>1536</v>
      </c>
      <c r="F1221">
        <v>59.7393</v>
      </c>
      <c r="G1221">
        <v>58.5398</v>
      </c>
      <c r="P1221">
        <v>17</v>
      </c>
      <c r="Q1221" t="s">
        <v>2720</v>
      </c>
    </row>
    <row r="1222" spans="1:17" x14ac:dyDescent="0.3">
      <c r="A1222" t="s">
        <v>17</v>
      </c>
      <c r="B1222" t="str">
        <f>"603232"</f>
        <v>603232</v>
      </c>
      <c r="C1222" t="s">
        <v>2721</v>
      </c>
      <c r="D1222" t="s">
        <v>945</v>
      </c>
      <c r="F1222">
        <v>580.57470000000001</v>
      </c>
      <c r="G1222">
        <v>321.93970000000002</v>
      </c>
      <c r="H1222">
        <v>259.30169999999998</v>
      </c>
      <c r="I1222">
        <v>153.9324</v>
      </c>
      <c r="J1222">
        <v>193.53229999999999</v>
      </c>
      <c r="P1222">
        <v>159</v>
      </c>
      <c r="Q1222" t="s">
        <v>2722</v>
      </c>
    </row>
    <row r="1223" spans="1:17" x14ac:dyDescent="0.3">
      <c r="A1223" t="s">
        <v>17</v>
      </c>
      <c r="B1223" t="str">
        <f>"603233"</f>
        <v>603233</v>
      </c>
      <c r="C1223" t="s">
        <v>2723</v>
      </c>
      <c r="D1223" t="s">
        <v>1684</v>
      </c>
      <c r="F1223">
        <v>143.9468</v>
      </c>
      <c r="G1223">
        <v>127.224</v>
      </c>
      <c r="H1223">
        <v>143.79900000000001</v>
      </c>
      <c r="I1223">
        <v>179.70590000000001</v>
      </c>
      <c r="J1223">
        <v>163.55690000000001</v>
      </c>
      <c r="P1223">
        <v>1786</v>
      </c>
      <c r="Q1223" t="s">
        <v>2724</v>
      </c>
    </row>
    <row r="1224" spans="1:17" x14ac:dyDescent="0.3">
      <c r="A1224" t="s">
        <v>17</v>
      </c>
      <c r="B1224" t="str">
        <f>"603236"</f>
        <v>603236</v>
      </c>
      <c r="C1224" t="s">
        <v>2725</v>
      </c>
      <c r="D1224" t="s">
        <v>786</v>
      </c>
      <c r="F1224">
        <v>132.99119999999999</v>
      </c>
      <c r="G1224">
        <v>109.17659999999999</v>
      </c>
      <c r="H1224">
        <v>106.20699999999999</v>
      </c>
      <c r="I1224">
        <v>32.907800000000002</v>
      </c>
      <c r="P1224">
        <v>589</v>
      </c>
      <c r="Q1224" t="s">
        <v>2726</v>
      </c>
    </row>
    <row r="1225" spans="1:17" x14ac:dyDescent="0.3">
      <c r="A1225" t="s">
        <v>17</v>
      </c>
      <c r="B1225" t="str">
        <f>"603238"</f>
        <v>603238</v>
      </c>
      <c r="C1225" t="s">
        <v>2727</v>
      </c>
      <c r="D1225" t="s">
        <v>2728</v>
      </c>
      <c r="F1225">
        <v>101.0016</v>
      </c>
      <c r="G1225">
        <v>65.3215</v>
      </c>
      <c r="H1225">
        <v>95.806100000000001</v>
      </c>
      <c r="I1225">
        <v>89.648200000000003</v>
      </c>
      <c r="J1225">
        <v>75.880200000000002</v>
      </c>
      <c r="K1225">
        <v>29.7074</v>
      </c>
      <c r="L1225">
        <v>32.804299999999998</v>
      </c>
      <c r="P1225">
        <v>240</v>
      </c>
      <c r="Q1225" t="s">
        <v>2729</v>
      </c>
    </row>
    <row r="1226" spans="1:17" x14ac:dyDescent="0.3">
      <c r="A1226" t="s">
        <v>17</v>
      </c>
      <c r="B1226" t="str">
        <f>"603239"</f>
        <v>603239</v>
      </c>
      <c r="C1226" t="s">
        <v>2730</v>
      </c>
      <c r="D1226" t="s">
        <v>985</v>
      </c>
      <c r="F1226">
        <v>119.6403</v>
      </c>
      <c r="G1226">
        <v>145.8947</v>
      </c>
      <c r="H1226">
        <v>132.3587</v>
      </c>
      <c r="I1226">
        <v>117.1927</v>
      </c>
      <c r="J1226">
        <v>116.63209999999999</v>
      </c>
      <c r="K1226">
        <v>62.613399999999999</v>
      </c>
      <c r="P1226">
        <v>166</v>
      </c>
      <c r="Q1226" t="s">
        <v>2731</v>
      </c>
    </row>
    <row r="1227" spans="1:17" x14ac:dyDescent="0.3">
      <c r="A1227" t="s">
        <v>17</v>
      </c>
      <c r="B1227" t="str">
        <f>"603256"</f>
        <v>603256</v>
      </c>
      <c r="C1227" t="s">
        <v>2732</v>
      </c>
      <c r="D1227" t="s">
        <v>411</v>
      </c>
      <c r="F1227">
        <v>115.5954</v>
      </c>
      <c r="G1227">
        <v>125.4063</v>
      </c>
      <c r="H1227">
        <v>138.79069999999999</v>
      </c>
      <c r="P1227">
        <v>340</v>
      </c>
      <c r="Q1227" t="s">
        <v>2733</v>
      </c>
    </row>
    <row r="1228" spans="1:17" x14ac:dyDescent="0.3">
      <c r="A1228" t="s">
        <v>17</v>
      </c>
      <c r="B1228" t="str">
        <f>"603258"</f>
        <v>603258</v>
      </c>
      <c r="C1228" t="s">
        <v>2734</v>
      </c>
      <c r="D1228" t="s">
        <v>517</v>
      </c>
      <c r="F1228">
        <v>1.0065</v>
      </c>
      <c r="G1228">
        <v>2.0068999999999999</v>
      </c>
      <c r="H1228">
        <v>1.2323999999999999</v>
      </c>
      <c r="I1228">
        <v>8.1100000000000005E-2</v>
      </c>
      <c r="J1228">
        <v>0</v>
      </c>
      <c r="K1228">
        <v>0</v>
      </c>
      <c r="L1228">
        <v>0</v>
      </c>
      <c r="P1228">
        <v>770</v>
      </c>
      <c r="Q1228" t="s">
        <v>2735</v>
      </c>
    </row>
    <row r="1229" spans="1:17" x14ac:dyDescent="0.3">
      <c r="A1229" t="s">
        <v>17</v>
      </c>
      <c r="B1229" t="str">
        <f>"603259"</f>
        <v>603259</v>
      </c>
      <c r="C1229" t="s">
        <v>2736</v>
      </c>
      <c r="D1229" t="s">
        <v>1461</v>
      </c>
      <c r="F1229">
        <v>124.5941</v>
      </c>
      <c r="G1229">
        <v>100.18219999999999</v>
      </c>
      <c r="H1229">
        <v>71.061000000000007</v>
      </c>
      <c r="I1229">
        <v>70.989599999999996</v>
      </c>
      <c r="J1229">
        <v>65.197900000000004</v>
      </c>
      <c r="P1229">
        <v>3986</v>
      </c>
      <c r="Q1229" t="s">
        <v>2737</v>
      </c>
    </row>
    <row r="1230" spans="1:17" x14ac:dyDescent="0.3">
      <c r="A1230" t="s">
        <v>17</v>
      </c>
      <c r="B1230" t="str">
        <f>"603260"</f>
        <v>603260</v>
      </c>
      <c r="C1230" t="s">
        <v>2738</v>
      </c>
      <c r="D1230" t="s">
        <v>2739</v>
      </c>
      <c r="F1230">
        <v>143.08449999999999</v>
      </c>
      <c r="G1230">
        <v>181.74770000000001</v>
      </c>
      <c r="H1230">
        <v>184.49930000000001</v>
      </c>
      <c r="I1230">
        <v>111.944</v>
      </c>
      <c r="J1230">
        <v>85.653999999999996</v>
      </c>
      <c r="P1230">
        <v>700</v>
      </c>
      <c r="Q1230" t="s">
        <v>2740</v>
      </c>
    </row>
    <row r="1231" spans="1:17" x14ac:dyDescent="0.3">
      <c r="A1231" t="s">
        <v>17</v>
      </c>
      <c r="B1231" t="str">
        <f>"603266"</f>
        <v>603266</v>
      </c>
      <c r="C1231" t="s">
        <v>2741</v>
      </c>
      <c r="D1231" t="s">
        <v>1192</v>
      </c>
      <c r="F1231">
        <v>129.26859999999999</v>
      </c>
      <c r="G1231">
        <v>146.04660000000001</v>
      </c>
      <c r="H1231">
        <v>140.98859999999999</v>
      </c>
      <c r="I1231">
        <v>125.18470000000001</v>
      </c>
      <c r="J1231">
        <v>115.95440000000001</v>
      </c>
      <c r="K1231">
        <v>102.6833</v>
      </c>
      <c r="L1231">
        <v>48.14</v>
      </c>
      <c r="P1231">
        <v>95</v>
      </c>
      <c r="Q1231" t="s">
        <v>2742</v>
      </c>
    </row>
    <row r="1232" spans="1:17" x14ac:dyDescent="0.3">
      <c r="A1232" t="s">
        <v>17</v>
      </c>
      <c r="B1232" t="str">
        <f>"603267"</f>
        <v>603267</v>
      </c>
      <c r="C1232" t="s">
        <v>2743</v>
      </c>
      <c r="D1232" t="s">
        <v>1136</v>
      </c>
      <c r="F1232">
        <v>116.49979999999999</v>
      </c>
      <c r="G1232">
        <v>131.77869999999999</v>
      </c>
      <c r="H1232">
        <v>203.4597</v>
      </c>
      <c r="P1232">
        <v>469</v>
      </c>
      <c r="Q1232" t="s">
        <v>2744</v>
      </c>
    </row>
    <row r="1233" spans="1:17" x14ac:dyDescent="0.3">
      <c r="A1233" t="s">
        <v>17</v>
      </c>
      <c r="B1233" t="str">
        <f>"603268"</f>
        <v>603268</v>
      </c>
      <c r="C1233" t="s">
        <v>2745</v>
      </c>
      <c r="D1233" t="s">
        <v>2436</v>
      </c>
      <c r="F1233">
        <v>325.07369999999997</v>
      </c>
      <c r="G1233">
        <v>421.24250000000001</v>
      </c>
      <c r="H1233">
        <v>261.11790000000002</v>
      </c>
      <c r="I1233">
        <v>201.87</v>
      </c>
      <c r="J1233">
        <v>151.01169999999999</v>
      </c>
      <c r="K1233">
        <v>193.88030000000001</v>
      </c>
      <c r="L1233">
        <v>171.6806</v>
      </c>
      <c r="M1233">
        <v>65.313999999999993</v>
      </c>
      <c r="P1233">
        <v>70</v>
      </c>
      <c r="Q1233" t="s">
        <v>2746</v>
      </c>
    </row>
    <row r="1234" spans="1:17" x14ac:dyDescent="0.3">
      <c r="A1234" t="s">
        <v>17</v>
      </c>
      <c r="B1234" t="str">
        <f>"603269"</f>
        <v>603269</v>
      </c>
      <c r="C1234" t="s">
        <v>2747</v>
      </c>
      <c r="D1234" t="s">
        <v>560</v>
      </c>
      <c r="F1234">
        <v>562.91880000000003</v>
      </c>
      <c r="G1234">
        <v>783.178</v>
      </c>
      <c r="H1234">
        <v>567.58270000000005</v>
      </c>
      <c r="I1234">
        <v>537.93430000000001</v>
      </c>
      <c r="J1234">
        <v>425.24459999999999</v>
      </c>
      <c r="P1234">
        <v>63</v>
      </c>
      <c r="Q1234" t="s">
        <v>2748</v>
      </c>
    </row>
    <row r="1235" spans="1:17" x14ac:dyDescent="0.3">
      <c r="A1235" t="s">
        <v>17</v>
      </c>
      <c r="B1235" t="str">
        <f>"603277"</f>
        <v>603277</v>
      </c>
      <c r="C1235" t="s">
        <v>2749</v>
      </c>
      <c r="D1235" t="s">
        <v>988</v>
      </c>
      <c r="F1235">
        <v>239.58840000000001</v>
      </c>
      <c r="G1235">
        <v>283.61040000000003</v>
      </c>
      <c r="H1235">
        <v>226.8724</v>
      </c>
      <c r="I1235">
        <v>197.6009</v>
      </c>
      <c r="J1235">
        <v>182.65190000000001</v>
      </c>
      <c r="K1235">
        <v>72.161600000000007</v>
      </c>
      <c r="P1235">
        <v>136</v>
      </c>
      <c r="Q1235" t="s">
        <v>2750</v>
      </c>
    </row>
    <row r="1236" spans="1:17" x14ac:dyDescent="0.3">
      <c r="A1236" t="s">
        <v>17</v>
      </c>
      <c r="B1236" t="str">
        <f>"603278"</f>
        <v>603278</v>
      </c>
      <c r="C1236" t="s">
        <v>2751</v>
      </c>
      <c r="D1236" t="s">
        <v>274</v>
      </c>
      <c r="F1236">
        <v>63.415100000000002</v>
      </c>
      <c r="G1236">
        <v>74.879599999999996</v>
      </c>
      <c r="H1236">
        <v>80.989900000000006</v>
      </c>
      <c r="I1236">
        <v>63.814399999999999</v>
      </c>
      <c r="J1236">
        <v>68.113900000000001</v>
      </c>
      <c r="P1236">
        <v>122</v>
      </c>
      <c r="Q1236" t="s">
        <v>2752</v>
      </c>
    </row>
    <row r="1237" spans="1:17" x14ac:dyDescent="0.3">
      <c r="A1237" t="s">
        <v>17</v>
      </c>
      <c r="B1237" t="str">
        <f>"603279"</f>
        <v>603279</v>
      </c>
      <c r="C1237" t="s">
        <v>2753</v>
      </c>
      <c r="D1237" t="s">
        <v>1070</v>
      </c>
      <c r="F1237">
        <v>264.99279999999999</v>
      </c>
      <c r="G1237">
        <v>372.66480000000001</v>
      </c>
      <c r="H1237">
        <v>262.20620000000002</v>
      </c>
      <c r="I1237">
        <v>114.679</v>
      </c>
      <c r="P1237">
        <v>231</v>
      </c>
      <c r="Q1237" t="s">
        <v>2754</v>
      </c>
    </row>
    <row r="1238" spans="1:17" x14ac:dyDescent="0.3">
      <c r="A1238" t="s">
        <v>17</v>
      </c>
      <c r="B1238" t="str">
        <f>"603283"</f>
        <v>603283</v>
      </c>
      <c r="C1238" t="s">
        <v>2755</v>
      </c>
      <c r="D1238" t="s">
        <v>2423</v>
      </c>
      <c r="F1238">
        <v>255.85470000000001</v>
      </c>
      <c r="G1238">
        <v>252.03739999999999</v>
      </c>
      <c r="H1238">
        <v>344.68439999999998</v>
      </c>
      <c r="I1238">
        <v>241.11580000000001</v>
      </c>
      <c r="J1238">
        <v>229.4563</v>
      </c>
      <c r="P1238">
        <v>216</v>
      </c>
      <c r="Q1238" t="s">
        <v>2756</v>
      </c>
    </row>
    <row r="1239" spans="1:17" x14ac:dyDescent="0.3">
      <c r="A1239" t="s">
        <v>17</v>
      </c>
      <c r="B1239" t="str">
        <f>"603286"</f>
        <v>603286</v>
      </c>
      <c r="C1239" t="s">
        <v>2757</v>
      </c>
      <c r="D1239" t="s">
        <v>348</v>
      </c>
      <c r="F1239">
        <v>105.47580000000001</v>
      </c>
      <c r="G1239">
        <v>116.6713</v>
      </c>
      <c r="H1239">
        <v>148.11019999999999</v>
      </c>
      <c r="I1239">
        <v>144.5626</v>
      </c>
      <c r="J1239">
        <v>137.1113</v>
      </c>
      <c r="P1239">
        <v>66</v>
      </c>
      <c r="Q1239" t="s">
        <v>2758</v>
      </c>
    </row>
    <row r="1240" spans="1:17" x14ac:dyDescent="0.3">
      <c r="A1240" t="s">
        <v>17</v>
      </c>
      <c r="B1240" t="str">
        <f>"603288"</f>
        <v>603288</v>
      </c>
      <c r="C1240" t="s">
        <v>2759</v>
      </c>
      <c r="D1240" t="s">
        <v>433</v>
      </c>
      <c r="F1240">
        <v>58.219299999999997</v>
      </c>
      <c r="G1240">
        <v>57.857799999999997</v>
      </c>
      <c r="H1240">
        <v>48.642299999999999</v>
      </c>
      <c r="I1240">
        <v>47.897599999999997</v>
      </c>
      <c r="J1240">
        <v>52.756100000000004</v>
      </c>
      <c r="K1240">
        <v>64.435500000000005</v>
      </c>
      <c r="L1240">
        <v>78.033900000000003</v>
      </c>
      <c r="M1240">
        <v>74.839299999999994</v>
      </c>
      <c r="N1240">
        <v>76.124499999999998</v>
      </c>
      <c r="O1240">
        <v>37.528100000000002</v>
      </c>
      <c r="P1240">
        <v>54149</v>
      </c>
      <c r="Q1240" t="s">
        <v>2760</v>
      </c>
    </row>
    <row r="1241" spans="1:17" x14ac:dyDescent="0.3">
      <c r="A1241" t="s">
        <v>17</v>
      </c>
      <c r="B1241" t="str">
        <f>"603289"</f>
        <v>603289</v>
      </c>
      <c r="C1241" t="s">
        <v>2761</v>
      </c>
      <c r="D1241" t="s">
        <v>741</v>
      </c>
      <c r="F1241">
        <v>173.5581</v>
      </c>
      <c r="G1241">
        <v>229.7467</v>
      </c>
      <c r="H1241">
        <v>235.3956</v>
      </c>
      <c r="I1241">
        <v>200.82380000000001</v>
      </c>
      <c r="J1241">
        <v>176.6885</v>
      </c>
      <c r="P1241">
        <v>115</v>
      </c>
      <c r="Q1241" t="s">
        <v>2762</v>
      </c>
    </row>
    <row r="1242" spans="1:17" x14ac:dyDescent="0.3">
      <c r="A1242" t="s">
        <v>17</v>
      </c>
      <c r="B1242" t="str">
        <f>"603290"</f>
        <v>603290</v>
      </c>
      <c r="C1242" t="s">
        <v>2763</v>
      </c>
      <c r="D1242" t="s">
        <v>795</v>
      </c>
      <c r="F1242">
        <v>133.54400000000001</v>
      </c>
      <c r="G1242">
        <v>177.00149999999999</v>
      </c>
      <c r="P1242">
        <v>635</v>
      </c>
      <c r="Q1242" t="s">
        <v>2764</v>
      </c>
    </row>
    <row r="1243" spans="1:17" x14ac:dyDescent="0.3">
      <c r="A1243" t="s">
        <v>17</v>
      </c>
      <c r="B1243" t="str">
        <f>"603297"</f>
        <v>603297</v>
      </c>
      <c r="C1243" t="s">
        <v>2765</v>
      </c>
      <c r="D1243" t="s">
        <v>164</v>
      </c>
      <c r="F1243">
        <v>151.56909999999999</v>
      </c>
      <c r="G1243">
        <v>185.46080000000001</v>
      </c>
      <c r="H1243">
        <v>165.60759999999999</v>
      </c>
      <c r="I1243">
        <v>143.0498</v>
      </c>
      <c r="P1243">
        <v>238</v>
      </c>
      <c r="Q1243" t="s">
        <v>2766</v>
      </c>
    </row>
    <row r="1244" spans="1:17" x14ac:dyDescent="0.3">
      <c r="A1244" t="s">
        <v>17</v>
      </c>
      <c r="B1244" t="str">
        <f>"603298"</f>
        <v>603298</v>
      </c>
      <c r="C1244" t="s">
        <v>2767</v>
      </c>
      <c r="D1244" t="s">
        <v>83</v>
      </c>
      <c r="F1244">
        <v>59.364100000000001</v>
      </c>
      <c r="G1244">
        <v>56.869100000000003</v>
      </c>
      <c r="H1244">
        <v>67.683599999999998</v>
      </c>
      <c r="I1244">
        <v>64.884600000000006</v>
      </c>
      <c r="J1244">
        <v>69.253200000000007</v>
      </c>
      <c r="K1244">
        <v>39.921500000000002</v>
      </c>
      <c r="P1244">
        <v>451</v>
      </c>
      <c r="Q1244" t="s">
        <v>2768</v>
      </c>
    </row>
    <row r="1245" spans="1:17" x14ac:dyDescent="0.3">
      <c r="A1245" t="s">
        <v>17</v>
      </c>
      <c r="B1245" t="str">
        <f>"603299"</f>
        <v>603299</v>
      </c>
      <c r="C1245" t="s">
        <v>2769</v>
      </c>
      <c r="D1245" t="s">
        <v>736</v>
      </c>
      <c r="F1245">
        <v>85.8232</v>
      </c>
      <c r="G1245">
        <v>117.883</v>
      </c>
      <c r="H1245">
        <v>91.261700000000005</v>
      </c>
      <c r="I1245">
        <v>114.7595</v>
      </c>
      <c r="J1245">
        <v>113.07859999999999</v>
      </c>
      <c r="K1245">
        <v>150.5855</v>
      </c>
      <c r="L1245">
        <v>61.438899999999997</v>
      </c>
      <c r="P1245">
        <v>139</v>
      </c>
      <c r="Q1245" t="s">
        <v>2770</v>
      </c>
    </row>
    <row r="1246" spans="1:17" x14ac:dyDescent="0.3">
      <c r="A1246" t="s">
        <v>17</v>
      </c>
      <c r="B1246" t="str">
        <f>"603300"</f>
        <v>603300</v>
      </c>
      <c r="C1246" t="s">
        <v>2771</v>
      </c>
      <c r="D1246" t="s">
        <v>336</v>
      </c>
      <c r="F1246">
        <v>7.9802999999999997</v>
      </c>
      <c r="G1246">
        <v>13.83</v>
      </c>
      <c r="H1246">
        <v>13.737500000000001</v>
      </c>
      <c r="I1246">
        <v>5.4420999999999999</v>
      </c>
      <c r="J1246">
        <v>7.8112000000000004</v>
      </c>
      <c r="K1246">
        <v>4.9054000000000002</v>
      </c>
      <c r="L1246">
        <v>8.0892999999999997</v>
      </c>
      <c r="M1246">
        <v>10.0573</v>
      </c>
      <c r="P1246">
        <v>123</v>
      </c>
      <c r="Q1246" t="s">
        <v>2772</v>
      </c>
    </row>
    <row r="1247" spans="1:17" x14ac:dyDescent="0.3">
      <c r="A1247" t="s">
        <v>17</v>
      </c>
      <c r="B1247" t="str">
        <f>"603301"</f>
        <v>603301</v>
      </c>
      <c r="C1247" t="s">
        <v>2773</v>
      </c>
      <c r="D1247" t="s">
        <v>1077</v>
      </c>
      <c r="F1247">
        <v>136.17750000000001</v>
      </c>
      <c r="G1247">
        <v>54.215600000000002</v>
      </c>
      <c r="H1247">
        <v>167.2577</v>
      </c>
      <c r="I1247">
        <v>133.5951</v>
      </c>
      <c r="P1247">
        <v>1533</v>
      </c>
      <c r="Q1247" t="s">
        <v>2774</v>
      </c>
    </row>
    <row r="1248" spans="1:17" x14ac:dyDescent="0.3">
      <c r="A1248" t="s">
        <v>17</v>
      </c>
      <c r="B1248" t="str">
        <f>"603302"</f>
        <v>603302</v>
      </c>
      <c r="C1248" t="s">
        <v>2775</v>
      </c>
      <c r="J1248">
        <v>30.166399999999999</v>
      </c>
      <c r="P1248">
        <v>19</v>
      </c>
      <c r="Q1248" t="s">
        <v>2776</v>
      </c>
    </row>
    <row r="1249" spans="1:17" x14ac:dyDescent="0.3">
      <c r="A1249" t="s">
        <v>17</v>
      </c>
      <c r="B1249" t="str">
        <f>"603303"</f>
        <v>603303</v>
      </c>
      <c r="C1249" t="s">
        <v>2777</v>
      </c>
      <c r="D1249" t="s">
        <v>598</v>
      </c>
      <c r="F1249">
        <v>89.068899999999999</v>
      </c>
      <c r="G1249">
        <v>79.826899999999995</v>
      </c>
      <c r="H1249">
        <v>73.763400000000004</v>
      </c>
      <c r="I1249">
        <v>94.829800000000006</v>
      </c>
      <c r="J1249">
        <v>73.4696</v>
      </c>
      <c r="P1249">
        <v>180</v>
      </c>
      <c r="Q1249" t="s">
        <v>2778</v>
      </c>
    </row>
    <row r="1250" spans="1:17" x14ac:dyDescent="0.3">
      <c r="A1250" t="s">
        <v>17</v>
      </c>
      <c r="B1250" t="str">
        <f>"603305"</f>
        <v>603305</v>
      </c>
      <c r="C1250" t="s">
        <v>2779</v>
      </c>
      <c r="D1250" t="s">
        <v>348</v>
      </c>
      <c r="F1250">
        <v>151.32509999999999</v>
      </c>
      <c r="G1250">
        <v>155.37530000000001</v>
      </c>
      <c r="H1250">
        <v>172.0958</v>
      </c>
      <c r="I1250">
        <v>121.1155</v>
      </c>
      <c r="J1250">
        <v>125.05840000000001</v>
      </c>
      <c r="P1250">
        <v>506</v>
      </c>
      <c r="Q1250" t="s">
        <v>2780</v>
      </c>
    </row>
    <row r="1251" spans="1:17" x14ac:dyDescent="0.3">
      <c r="A1251" t="s">
        <v>17</v>
      </c>
      <c r="B1251" t="str">
        <f>"603306"</f>
        <v>603306</v>
      </c>
      <c r="C1251" t="s">
        <v>2781</v>
      </c>
      <c r="D1251" t="s">
        <v>191</v>
      </c>
      <c r="F1251">
        <v>104.08710000000001</v>
      </c>
      <c r="G1251">
        <v>111.996</v>
      </c>
      <c r="H1251">
        <v>100.74299999999999</v>
      </c>
      <c r="I1251">
        <v>84.318899999999999</v>
      </c>
      <c r="J1251">
        <v>83.860699999999994</v>
      </c>
      <c r="K1251">
        <v>74.450400000000002</v>
      </c>
      <c r="L1251">
        <v>78.575599999999994</v>
      </c>
      <c r="M1251">
        <v>82.989599999999996</v>
      </c>
      <c r="N1251">
        <v>41.266300000000001</v>
      </c>
      <c r="P1251">
        <v>631</v>
      </c>
      <c r="Q1251" t="s">
        <v>2782</v>
      </c>
    </row>
    <row r="1252" spans="1:17" x14ac:dyDescent="0.3">
      <c r="A1252" t="s">
        <v>17</v>
      </c>
      <c r="B1252" t="str">
        <f>"603308"</f>
        <v>603308</v>
      </c>
      <c r="C1252" t="s">
        <v>2783</v>
      </c>
      <c r="D1252" t="s">
        <v>274</v>
      </c>
      <c r="F1252">
        <v>488.95949999999999</v>
      </c>
      <c r="G1252">
        <v>517.98919999999998</v>
      </c>
      <c r="H1252">
        <v>489.97859999999997</v>
      </c>
      <c r="I1252">
        <v>507.88560000000001</v>
      </c>
      <c r="J1252">
        <v>528.73040000000003</v>
      </c>
      <c r="K1252">
        <v>460.33749999999998</v>
      </c>
      <c r="L1252">
        <v>429.12490000000003</v>
      </c>
      <c r="M1252">
        <v>366.51089999999999</v>
      </c>
      <c r="N1252">
        <v>145.64250000000001</v>
      </c>
      <c r="P1252">
        <v>233</v>
      </c>
      <c r="Q1252" t="s">
        <v>2784</v>
      </c>
    </row>
    <row r="1253" spans="1:17" x14ac:dyDescent="0.3">
      <c r="A1253" t="s">
        <v>17</v>
      </c>
      <c r="B1253" t="str">
        <f>"603309"</f>
        <v>603309</v>
      </c>
      <c r="C1253" t="s">
        <v>2785</v>
      </c>
      <c r="D1253" t="s">
        <v>1077</v>
      </c>
      <c r="F1253">
        <v>121.1268</v>
      </c>
      <c r="G1253">
        <v>93.298400000000001</v>
      </c>
      <c r="H1253">
        <v>96.384200000000007</v>
      </c>
      <c r="I1253">
        <v>95.282399999999996</v>
      </c>
      <c r="J1253">
        <v>109.9032</v>
      </c>
      <c r="K1253">
        <v>111.6123</v>
      </c>
      <c r="L1253">
        <v>89.369100000000003</v>
      </c>
      <c r="M1253">
        <v>51.378999999999998</v>
      </c>
      <c r="P1253">
        <v>147</v>
      </c>
      <c r="Q1253" t="s">
        <v>2786</v>
      </c>
    </row>
    <row r="1254" spans="1:17" x14ac:dyDescent="0.3">
      <c r="A1254" t="s">
        <v>17</v>
      </c>
      <c r="B1254" t="str">
        <f>"603311"</f>
        <v>603311</v>
      </c>
      <c r="C1254" t="s">
        <v>2787</v>
      </c>
      <c r="D1254" t="s">
        <v>1253</v>
      </c>
      <c r="F1254">
        <v>145.7739</v>
      </c>
      <c r="G1254">
        <v>142.34899999999999</v>
      </c>
      <c r="H1254">
        <v>138.30340000000001</v>
      </c>
      <c r="I1254">
        <v>133.26609999999999</v>
      </c>
      <c r="J1254">
        <v>117.08540000000001</v>
      </c>
      <c r="K1254">
        <v>126.2492</v>
      </c>
      <c r="L1254">
        <v>145.4648</v>
      </c>
      <c r="M1254">
        <v>74.512</v>
      </c>
      <c r="P1254">
        <v>96</v>
      </c>
      <c r="Q1254" t="s">
        <v>2788</v>
      </c>
    </row>
    <row r="1255" spans="1:17" x14ac:dyDescent="0.3">
      <c r="A1255" t="s">
        <v>17</v>
      </c>
      <c r="B1255" t="str">
        <f>"603313"</f>
        <v>603313</v>
      </c>
      <c r="C1255" t="s">
        <v>2789</v>
      </c>
      <c r="D1255" t="s">
        <v>757</v>
      </c>
      <c r="F1255">
        <v>132.50970000000001</v>
      </c>
      <c r="G1255">
        <v>127.6062</v>
      </c>
      <c r="H1255">
        <v>98.381600000000006</v>
      </c>
      <c r="I1255">
        <v>86.585099999999997</v>
      </c>
      <c r="J1255">
        <v>77.554400000000001</v>
      </c>
      <c r="K1255">
        <v>82.030699999999996</v>
      </c>
      <c r="L1255">
        <v>47.475700000000003</v>
      </c>
      <c r="P1255">
        <v>580</v>
      </c>
      <c r="Q1255" t="s">
        <v>2790</v>
      </c>
    </row>
    <row r="1256" spans="1:17" x14ac:dyDescent="0.3">
      <c r="A1256" t="s">
        <v>17</v>
      </c>
      <c r="B1256" t="str">
        <f>"603315"</f>
        <v>603315</v>
      </c>
      <c r="C1256" t="s">
        <v>2791</v>
      </c>
      <c r="D1256" t="s">
        <v>274</v>
      </c>
      <c r="F1256">
        <v>349.50170000000003</v>
      </c>
      <c r="G1256">
        <v>299.9126</v>
      </c>
      <c r="H1256">
        <v>250.3287</v>
      </c>
      <c r="I1256">
        <v>395.21300000000002</v>
      </c>
      <c r="J1256">
        <v>508.43810000000002</v>
      </c>
      <c r="K1256">
        <v>266.80340000000001</v>
      </c>
      <c r="L1256">
        <v>244.7158</v>
      </c>
      <c r="M1256">
        <v>112.6759</v>
      </c>
      <c r="P1256">
        <v>57</v>
      </c>
      <c r="Q1256" t="s">
        <v>2792</v>
      </c>
    </row>
    <row r="1257" spans="1:17" x14ac:dyDescent="0.3">
      <c r="A1257" t="s">
        <v>17</v>
      </c>
      <c r="B1257" t="str">
        <f>"603316"</f>
        <v>603316</v>
      </c>
      <c r="C1257" t="s">
        <v>2793</v>
      </c>
      <c r="D1257" t="s">
        <v>2408</v>
      </c>
      <c r="F1257">
        <v>0</v>
      </c>
      <c r="G1257">
        <v>156.63040000000001</v>
      </c>
      <c r="H1257">
        <v>453.40800000000002</v>
      </c>
      <c r="I1257">
        <v>499.68049999999999</v>
      </c>
      <c r="J1257">
        <v>435.57049999999998</v>
      </c>
      <c r="P1257">
        <v>59</v>
      </c>
      <c r="Q1257" t="s">
        <v>2794</v>
      </c>
    </row>
    <row r="1258" spans="1:17" x14ac:dyDescent="0.3">
      <c r="A1258" t="s">
        <v>17</v>
      </c>
      <c r="B1258" t="str">
        <f>"603317"</f>
        <v>603317</v>
      </c>
      <c r="C1258" t="s">
        <v>2795</v>
      </c>
      <c r="D1258" t="s">
        <v>433</v>
      </c>
      <c r="F1258">
        <v>78.041499999999999</v>
      </c>
      <c r="G1258">
        <v>72.346800000000002</v>
      </c>
      <c r="H1258">
        <v>64.284099999999995</v>
      </c>
      <c r="P1258">
        <v>1436</v>
      </c>
      <c r="Q1258" t="s">
        <v>2796</v>
      </c>
    </row>
    <row r="1259" spans="1:17" x14ac:dyDescent="0.3">
      <c r="A1259" t="s">
        <v>17</v>
      </c>
      <c r="B1259" t="str">
        <f>"603318"</f>
        <v>603318</v>
      </c>
      <c r="C1259" t="s">
        <v>2797</v>
      </c>
      <c r="D1259" t="s">
        <v>749</v>
      </c>
      <c r="F1259">
        <v>48.692</v>
      </c>
      <c r="G1259">
        <v>111.5184</v>
      </c>
      <c r="H1259">
        <v>239.0386</v>
      </c>
      <c r="I1259">
        <v>236.03280000000001</v>
      </c>
      <c r="J1259">
        <v>148.22900000000001</v>
      </c>
      <c r="K1259">
        <v>165.0428</v>
      </c>
      <c r="L1259">
        <v>240.4513</v>
      </c>
      <c r="M1259">
        <v>126.1039</v>
      </c>
      <c r="P1259">
        <v>63</v>
      </c>
      <c r="Q1259" t="s">
        <v>2798</v>
      </c>
    </row>
    <row r="1260" spans="1:17" x14ac:dyDescent="0.3">
      <c r="A1260" t="s">
        <v>17</v>
      </c>
      <c r="B1260" t="str">
        <f>"603319"</f>
        <v>603319</v>
      </c>
      <c r="C1260" t="s">
        <v>2799</v>
      </c>
      <c r="D1260" t="s">
        <v>348</v>
      </c>
      <c r="F1260">
        <v>118.5068</v>
      </c>
      <c r="G1260">
        <v>139.89699999999999</v>
      </c>
      <c r="H1260">
        <v>159.4948</v>
      </c>
      <c r="I1260">
        <v>147.64279999999999</v>
      </c>
      <c r="J1260">
        <v>118.3959</v>
      </c>
      <c r="K1260">
        <v>183.3391</v>
      </c>
      <c r="L1260">
        <v>109.9845</v>
      </c>
      <c r="P1260">
        <v>171</v>
      </c>
      <c r="Q1260" t="s">
        <v>2800</v>
      </c>
    </row>
    <row r="1261" spans="1:17" x14ac:dyDescent="0.3">
      <c r="A1261" t="s">
        <v>17</v>
      </c>
      <c r="B1261" t="str">
        <f>"603320"</f>
        <v>603320</v>
      </c>
      <c r="C1261" t="s">
        <v>2801</v>
      </c>
      <c r="D1261" t="s">
        <v>1171</v>
      </c>
      <c r="F1261">
        <v>78.641400000000004</v>
      </c>
      <c r="G1261">
        <v>90.404700000000005</v>
      </c>
      <c r="H1261">
        <v>101.4038</v>
      </c>
      <c r="I1261">
        <v>99.937899999999999</v>
      </c>
      <c r="J1261">
        <v>84.314899999999994</v>
      </c>
      <c r="P1261">
        <v>94</v>
      </c>
      <c r="Q1261" t="s">
        <v>2802</v>
      </c>
    </row>
    <row r="1262" spans="1:17" x14ac:dyDescent="0.3">
      <c r="A1262" t="s">
        <v>17</v>
      </c>
      <c r="B1262" t="str">
        <f>"603321"</f>
        <v>603321</v>
      </c>
      <c r="C1262" t="s">
        <v>2803</v>
      </c>
      <c r="D1262" t="s">
        <v>1689</v>
      </c>
      <c r="F1262">
        <v>194.14510000000001</v>
      </c>
      <c r="G1262">
        <v>131.7517</v>
      </c>
      <c r="H1262">
        <v>84.016599999999997</v>
      </c>
      <c r="I1262">
        <v>83.698300000000003</v>
      </c>
      <c r="J1262">
        <v>80.831500000000005</v>
      </c>
      <c r="P1262">
        <v>59</v>
      </c>
      <c r="Q1262" t="s">
        <v>2804</v>
      </c>
    </row>
    <row r="1263" spans="1:17" x14ac:dyDescent="0.3">
      <c r="A1263" t="s">
        <v>17</v>
      </c>
      <c r="B1263" t="str">
        <f>"603322"</f>
        <v>603322</v>
      </c>
      <c r="C1263" t="s">
        <v>2805</v>
      </c>
      <c r="D1263" t="s">
        <v>654</v>
      </c>
      <c r="F1263">
        <v>36.0458</v>
      </c>
      <c r="G1263">
        <v>45.249499999999998</v>
      </c>
      <c r="H1263">
        <v>54.241199999999999</v>
      </c>
      <c r="I1263">
        <v>32.2149</v>
      </c>
      <c r="J1263">
        <v>14.700699999999999</v>
      </c>
      <c r="K1263">
        <v>22.291699999999999</v>
      </c>
      <c r="L1263">
        <v>19.0166</v>
      </c>
      <c r="P1263">
        <v>184</v>
      </c>
      <c r="Q1263" t="s">
        <v>2806</v>
      </c>
    </row>
    <row r="1264" spans="1:17" x14ac:dyDescent="0.3">
      <c r="A1264" t="s">
        <v>17</v>
      </c>
      <c r="B1264" t="str">
        <f>"603323"</f>
        <v>603323</v>
      </c>
      <c r="C1264" t="s">
        <v>2807</v>
      </c>
      <c r="D1264" t="s">
        <v>1827</v>
      </c>
      <c r="P1264">
        <v>498</v>
      </c>
      <c r="Q1264" t="s">
        <v>2808</v>
      </c>
    </row>
    <row r="1265" spans="1:17" x14ac:dyDescent="0.3">
      <c r="A1265" t="s">
        <v>17</v>
      </c>
      <c r="B1265" t="str">
        <f>"603324"</f>
        <v>603324</v>
      </c>
      <c r="C1265" t="s">
        <v>2809</v>
      </c>
      <c r="D1265" t="s">
        <v>1070</v>
      </c>
      <c r="F1265">
        <v>112.6767</v>
      </c>
      <c r="P1265">
        <v>29</v>
      </c>
      <c r="Q1265" t="s">
        <v>2810</v>
      </c>
    </row>
    <row r="1266" spans="1:17" x14ac:dyDescent="0.3">
      <c r="A1266" t="s">
        <v>17</v>
      </c>
      <c r="B1266" t="str">
        <f>"603326"</f>
        <v>603326</v>
      </c>
      <c r="C1266" t="s">
        <v>2811</v>
      </c>
      <c r="D1266" t="s">
        <v>2647</v>
      </c>
      <c r="F1266">
        <v>49.507300000000001</v>
      </c>
      <c r="G1266">
        <v>64.463300000000004</v>
      </c>
      <c r="H1266">
        <v>60.9071</v>
      </c>
      <c r="I1266">
        <v>50.484999999999999</v>
      </c>
      <c r="J1266">
        <v>40.517800000000001</v>
      </c>
      <c r="P1266">
        <v>247</v>
      </c>
      <c r="Q1266" t="s">
        <v>2812</v>
      </c>
    </row>
    <row r="1267" spans="1:17" x14ac:dyDescent="0.3">
      <c r="A1267" t="s">
        <v>17</v>
      </c>
      <c r="B1267" t="str">
        <f>"603327"</f>
        <v>603327</v>
      </c>
      <c r="C1267" t="s">
        <v>2813</v>
      </c>
      <c r="D1267" t="s">
        <v>313</v>
      </c>
      <c r="F1267">
        <v>96.906899999999993</v>
      </c>
      <c r="G1267">
        <v>88.657899999999998</v>
      </c>
      <c r="H1267">
        <v>96.355900000000005</v>
      </c>
      <c r="P1267">
        <v>347</v>
      </c>
      <c r="Q1267" t="s">
        <v>2814</v>
      </c>
    </row>
    <row r="1268" spans="1:17" x14ac:dyDescent="0.3">
      <c r="A1268" t="s">
        <v>17</v>
      </c>
      <c r="B1268" t="str">
        <f>"603328"</f>
        <v>603328</v>
      </c>
      <c r="C1268" t="s">
        <v>2815</v>
      </c>
      <c r="D1268" t="s">
        <v>425</v>
      </c>
      <c r="F1268">
        <v>64.989199999999997</v>
      </c>
      <c r="G1268">
        <v>75.284000000000006</v>
      </c>
      <c r="H1268">
        <v>57.997199999999999</v>
      </c>
      <c r="I1268">
        <v>61.076000000000001</v>
      </c>
      <c r="J1268">
        <v>54.766199999999998</v>
      </c>
      <c r="K1268">
        <v>50.491999999999997</v>
      </c>
      <c r="L1268">
        <v>56.868200000000002</v>
      </c>
      <c r="M1268">
        <v>57.1526</v>
      </c>
      <c r="N1268">
        <v>28.174199999999999</v>
      </c>
      <c r="P1268">
        <v>590</v>
      </c>
      <c r="Q1268" t="s">
        <v>2816</v>
      </c>
    </row>
    <row r="1269" spans="1:17" x14ac:dyDescent="0.3">
      <c r="A1269" t="s">
        <v>17</v>
      </c>
      <c r="B1269" t="str">
        <f>"603329"</f>
        <v>603329</v>
      </c>
      <c r="C1269" t="s">
        <v>2817</v>
      </c>
      <c r="D1269" t="s">
        <v>128</v>
      </c>
      <c r="F1269">
        <v>39.080199999999998</v>
      </c>
      <c r="G1269">
        <v>46.167700000000004</v>
      </c>
      <c r="H1269">
        <v>62.199399999999997</v>
      </c>
      <c r="I1269">
        <v>39.79</v>
      </c>
      <c r="J1269">
        <v>3.0364</v>
      </c>
      <c r="P1269">
        <v>62</v>
      </c>
      <c r="Q1269" t="s">
        <v>2818</v>
      </c>
    </row>
    <row r="1270" spans="1:17" x14ac:dyDescent="0.3">
      <c r="A1270" t="s">
        <v>17</v>
      </c>
      <c r="B1270" t="str">
        <f>"603330"</f>
        <v>603330</v>
      </c>
      <c r="C1270" t="s">
        <v>2819</v>
      </c>
      <c r="D1270" t="s">
        <v>1192</v>
      </c>
      <c r="F1270">
        <v>138.67830000000001</v>
      </c>
      <c r="G1270">
        <v>172.90119999999999</v>
      </c>
      <c r="H1270">
        <v>134.8015</v>
      </c>
      <c r="I1270">
        <v>120.1703</v>
      </c>
      <c r="J1270">
        <v>102.90940000000001</v>
      </c>
      <c r="K1270">
        <v>49.989600000000003</v>
      </c>
      <c r="P1270">
        <v>136</v>
      </c>
      <c r="Q1270" t="s">
        <v>2820</v>
      </c>
    </row>
    <row r="1271" spans="1:17" x14ac:dyDescent="0.3">
      <c r="A1271" t="s">
        <v>17</v>
      </c>
      <c r="B1271" t="str">
        <f>"603331"</f>
        <v>603331</v>
      </c>
      <c r="C1271" t="s">
        <v>2821</v>
      </c>
      <c r="D1271" t="s">
        <v>560</v>
      </c>
      <c r="F1271">
        <v>152.17330000000001</v>
      </c>
      <c r="G1271">
        <v>167.5333</v>
      </c>
      <c r="H1271">
        <v>150.16839999999999</v>
      </c>
      <c r="I1271">
        <v>146.3596</v>
      </c>
      <c r="J1271">
        <v>153.97059999999999</v>
      </c>
      <c r="P1271">
        <v>83</v>
      </c>
      <c r="Q1271" t="s">
        <v>2822</v>
      </c>
    </row>
    <row r="1272" spans="1:17" x14ac:dyDescent="0.3">
      <c r="A1272" t="s">
        <v>17</v>
      </c>
      <c r="B1272" t="str">
        <f>"603332"</f>
        <v>603332</v>
      </c>
      <c r="C1272" t="s">
        <v>2823</v>
      </c>
      <c r="D1272" t="s">
        <v>2708</v>
      </c>
      <c r="F1272">
        <v>90.4358</v>
      </c>
      <c r="G1272">
        <v>128.4528</v>
      </c>
      <c r="H1272">
        <v>65.882599999999996</v>
      </c>
      <c r="P1272">
        <v>59</v>
      </c>
      <c r="Q1272" t="s">
        <v>2824</v>
      </c>
    </row>
    <row r="1273" spans="1:17" x14ac:dyDescent="0.3">
      <c r="A1273" t="s">
        <v>17</v>
      </c>
      <c r="B1273" t="str">
        <f>"603333"</f>
        <v>603333</v>
      </c>
      <c r="C1273" t="s">
        <v>2825</v>
      </c>
      <c r="D1273" t="s">
        <v>1164</v>
      </c>
      <c r="F1273">
        <v>75.560199999999995</v>
      </c>
      <c r="G1273">
        <v>68.686599999999999</v>
      </c>
      <c r="H1273">
        <v>70.020499999999998</v>
      </c>
      <c r="I1273">
        <v>57.573900000000002</v>
      </c>
      <c r="J1273">
        <v>77.351799999999997</v>
      </c>
      <c r="K1273">
        <v>116.833</v>
      </c>
      <c r="L1273">
        <v>83.807599999999994</v>
      </c>
      <c r="M1273">
        <v>111.5389</v>
      </c>
      <c r="N1273">
        <v>56.926099999999998</v>
      </c>
      <c r="O1273">
        <v>56.986499999999999</v>
      </c>
      <c r="P1273">
        <v>134</v>
      </c>
      <c r="Q1273" t="s">
        <v>2826</v>
      </c>
    </row>
    <row r="1274" spans="1:17" x14ac:dyDescent="0.3">
      <c r="A1274" t="s">
        <v>17</v>
      </c>
      <c r="B1274" t="str">
        <f>"603335"</f>
        <v>603335</v>
      </c>
      <c r="C1274" t="s">
        <v>2827</v>
      </c>
      <c r="D1274" t="s">
        <v>422</v>
      </c>
      <c r="F1274">
        <v>166.07</v>
      </c>
      <c r="G1274">
        <v>173.2062</v>
      </c>
      <c r="H1274">
        <v>251.75970000000001</v>
      </c>
      <c r="I1274">
        <v>288.59739999999999</v>
      </c>
      <c r="J1274">
        <v>333.30779999999999</v>
      </c>
      <c r="P1274">
        <v>66</v>
      </c>
      <c r="Q1274" t="s">
        <v>2828</v>
      </c>
    </row>
    <row r="1275" spans="1:17" x14ac:dyDescent="0.3">
      <c r="A1275" t="s">
        <v>17</v>
      </c>
      <c r="B1275" t="str">
        <f>"603336"</f>
        <v>603336</v>
      </c>
      <c r="C1275" t="s">
        <v>2829</v>
      </c>
      <c r="D1275" t="s">
        <v>258</v>
      </c>
      <c r="F1275">
        <v>193.7689</v>
      </c>
      <c r="G1275">
        <v>187.2483</v>
      </c>
      <c r="H1275">
        <v>204.11940000000001</v>
      </c>
      <c r="I1275">
        <v>205.61920000000001</v>
      </c>
      <c r="J1275">
        <v>152.05090000000001</v>
      </c>
      <c r="K1275">
        <v>171.07560000000001</v>
      </c>
      <c r="L1275">
        <v>81.326400000000007</v>
      </c>
      <c r="P1275">
        <v>179</v>
      </c>
      <c r="Q1275" t="s">
        <v>2830</v>
      </c>
    </row>
    <row r="1276" spans="1:17" x14ac:dyDescent="0.3">
      <c r="A1276" t="s">
        <v>17</v>
      </c>
      <c r="B1276" t="str">
        <f>"603337"</f>
        <v>603337</v>
      </c>
      <c r="C1276" t="s">
        <v>2831</v>
      </c>
      <c r="D1276" t="s">
        <v>534</v>
      </c>
      <c r="F1276">
        <v>148.80950000000001</v>
      </c>
      <c r="G1276">
        <v>161.9068</v>
      </c>
      <c r="H1276">
        <v>149.3587</v>
      </c>
      <c r="I1276">
        <v>113.15179999999999</v>
      </c>
      <c r="J1276">
        <v>95.877200000000002</v>
      </c>
      <c r="K1276">
        <v>112.2064</v>
      </c>
      <c r="L1276">
        <v>81.374899999999997</v>
      </c>
      <c r="P1276">
        <v>370</v>
      </c>
      <c r="Q1276" t="s">
        <v>2832</v>
      </c>
    </row>
    <row r="1277" spans="1:17" x14ac:dyDescent="0.3">
      <c r="A1277" t="s">
        <v>17</v>
      </c>
      <c r="B1277" t="str">
        <f>"603338"</f>
        <v>603338</v>
      </c>
      <c r="C1277" t="s">
        <v>2833</v>
      </c>
      <c r="D1277" t="s">
        <v>83</v>
      </c>
      <c r="F1277">
        <v>125.5087</v>
      </c>
      <c r="G1277">
        <v>134.88800000000001</v>
      </c>
      <c r="H1277">
        <v>195.5283</v>
      </c>
      <c r="I1277">
        <v>119.6523</v>
      </c>
      <c r="J1277">
        <v>140.28110000000001</v>
      </c>
      <c r="K1277">
        <v>187.92400000000001</v>
      </c>
      <c r="L1277">
        <v>185.25409999999999</v>
      </c>
      <c r="M1277">
        <v>98.019199999999998</v>
      </c>
      <c r="P1277">
        <v>12811</v>
      </c>
      <c r="Q1277" t="s">
        <v>2834</v>
      </c>
    </row>
    <row r="1278" spans="1:17" x14ac:dyDescent="0.3">
      <c r="A1278" t="s">
        <v>17</v>
      </c>
      <c r="B1278" t="str">
        <f>"603339"</f>
        <v>603339</v>
      </c>
      <c r="C1278" t="s">
        <v>2835</v>
      </c>
      <c r="D1278" t="s">
        <v>988</v>
      </c>
      <c r="F1278">
        <v>282.62639999999999</v>
      </c>
      <c r="G1278">
        <v>336.47449999999998</v>
      </c>
      <c r="H1278">
        <v>347.10719999999998</v>
      </c>
      <c r="I1278">
        <v>295.01799999999997</v>
      </c>
      <c r="J1278">
        <v>287.03300000000002</v>
      </c>
      <c r="K1278">
        <v>344.24610000000001</v>
      </c>
      <c r="L1278">
        <v>134.06549999999999</v>
      </c>
      <c r="P1278">
        <v>163</v>
      </c>
      <c r="Q1278" t="s">
        <v>2836</v>
      </c>
    </row>
    <row r="1279" spans="1:17" x14ac:dyDescent="0.3">
      <c r="A1279" t="s">
        <v>17</v>
      </c>
      <c r="B1279" t="str">
        <f>"603345"</f>
        <v>603345</v>
      </c>
      <c r="C1279" t="s">
        <v>2837</v>
      </c>
      <c r="D1279" t="s">
        <v>2838</v>
      </c>
      <c r="F1279">
        <v>151.0427</v>
      </c>
      <c r="G1279">
        <v>175.2354</v>
      </c>
      <c r="H1279">
        <v>167.81020000000001</v>
      </c>
      <c r="I1279">
        <v>139.60429999999999</v>
      </c>
      <c r="J1279">
        <v>139.72980000000001</v>
      </c>
      <c r="K1279">
        <v>140.625</v>
      </c>
      <c r="L1279">
        <v>76.677700000000002</v>
      </c>
      <c r="P1279">
        <v>1174</v>
      </c>
      <c r="Q1279" t="s">
        <v>2839</v>
      </c>
    </row>
    <row r="1280" spans="1:17" x14ac:dyDescent="0.3">
      <c r="A1280" t="s">
        <v>17</v>
      </c>
      <c r="B1280" t="str">
        <f>"603348"</f>
        <v>603348</v>
      </c>
      <c r="C1280" t="s">
        <v>2840</v>
      </c>
      <c r="D1280" t="s">
        <v>985</v>
      </c>
      <c r="F1280">
        <v>70.501999999999995</v>
      </c>
      <c r="G1280">
        <v>104.34</v>
      </c>
      <c r="H1280">
        <v>85.9358</v>
      </c>
      <c r="I1280">
        <v>80.252399999999994</v>
      </c>
      <c r="J1280">
        <v>33.2425</v>
      </c>
      <c r="P1280">
        <v>193</v>
      </c>
      <c r="Q1280" t="s">
        <v>2841</v>
      </c>
    </row>
    <row r="1281" spans="1:17" x14ac:dyDescent="0.3">
      <c r="A1281" t="s">
        <v>17</v>
      </c>
      <c r="B1281" t="str">
        <f>"603351"</f>
        <v>603351</v>
      </c>
      <c r="C1281" t="s">
        <v>2842</v>
      </c>
      <c r="D1281" t="s">
        <v>496</v>
      </c>
      <c r="F1281">
        <v>85.813800000000001</v>
      </c>
      <c r="G1281">
        <v>124.7701</v>
      </c>
      <c r="H1281">
        <v>87.968800000000002</v>
      </c>
      <c r="I1281">
        <v>81.652799999999999</v>
      </c>
      <c r="P1281">
        <v>87</v>
      </c>
      <c r="Q1281" t="s">
        <v>2843</v>
      </c>
    </row>
    <row r="1282" spans="1:17" x14ac:dyDescent="0.3">
      <c r="A1282" t="s">
        <v>17</v>
      </c>
      <c r="B1282" t="str">
        <f>"603353"</f>
        <v>603353</v>
      </c>
      <c r="C1282" t="s">
        <v>2844</v>
      </c>
      <c r="D1282" t="s">
        <v>584</v>
      </c>
      <c r="F1282">
        <v>26.343299999999999</v>
      </c>
      <c r="G1282">
        <v>43.047699999999999</v>
      </c>
      <c r="P1282">
        <v>103</v>
      </c>
      <c r="Q1282" t="s">
        <v>2845</v>
      </c>
    </row>
    <row r="1283" spans="1:17" x14ac:dyDescent="0.3">
      <c r="A1283" t="s">
        <v>17</v>
      </c>
      <c r="B1283" t="str">
        <f>"603355"</f>
        <v>603355</v>
      </c>
      <c r="C1283" t="s">
        <v>2846</v>
      </c>
      <c r="D1283" t="s">
        <v>2697</v>
      </c>
      <c r="F1283">
        <v>86.373500000000007</v>
      </c>
      <c r="G1283">
        <v>71.944999999999993</v>
      </c>
      <c r="H1283">
        <v>75.082099999999997</v>
      </c>
      <c r="I1283">
        <v>78.825199999999995</v>
      </c>
      <c r="J1283">
        <v>72.977999999999994</v>
      </c>
      <c r="K1283">
        <v>58.940899999999999</v>
      </c>
      <c r="L1283">
        <v>65.154399999999995</v>
      </c>
      <c r="M1283">
        <v>36.234499999999997</v>
      </c>
      <c r="P1283">
        <v>557</v>
      </c>
      <c r="Q1283" t="s">
        <v>2847</v>
      </c>
    </row>
    <row r="1284" spans="1:17" x14ac:dyDescent="0.3">
      <c r="A1284" t="s">
        <v>17</v>
      </c>
      <c r="B1284" t="str">
        <f>"603356"</f>
        <v>603356</v>
      </c>
      <c r="C1284" t="s">
        <v>2848</v>
      </c>
      <c r="D1284" t="s">
        <v>1689</v>
      </c>
      <c r="F1284">
        <v>47.491399999999999</v>
      </c>
      <c r="G1284">
        <v>50.453400000000002</v>
      </c>
      <c r="H1284">
        <v>49.204799999999999</v>
      </c>
      <c r="I1284">
        <v>55.219799999999999</v>
      </c>
      <c r="J1284">
        <v>19.414999999999999</v>
      </c>
      <c r="P1284">
        <v>65</v>
      </c>
      <c r="Q1284" t="s">
        <v>2849</v>
      </c>
    </row>
    <row r="1285" spans="1:17" x14ac:dyDescent="0.3">
      <c r="A1285" t="s">
        <v>17</v>
      </c>
      <c r="B1285" t="str">
        <f>"603357"</f>
        <v>603357</v>
      </c>
      <c r="C1285" t="s">
        <v>2850</v>
      </c>
      <c r="D1285" t="s">
        <v>1272</v>
      </c>
      <c r="F1285">
        <v>7.2499999999999995E-2</v>
      </c>
      <c r="G1285">
        <v>68.800600000000003</v>
      </c>
      <c r="H1285">
        <v>0.26889999999999997</v>
      </c>
      <c r="I1285">
        <v>0.1691</v>
      </c>
      <c r="J1285">
        <v>7.8200000000000006E-2</v>
      </c>
      <c r="P1285">
        <v>361</v>
      </c>
      <c r="Q1285" t="s">
        <v>2851</v>
      </c>
    </row>
    <row r="1286" spans="1:17" x14ac:dyDescent="0.3">
      <c r="A1286" t="s">
        <v>17</v>
      </c>
      <c r="B1286" t="str">
        <f>"603358"</f>
        <v>603358</v>
      </c>
      <c r="C1286" t="s">
        <v>2852</v>
      </c>
      <c r="D1286" t="s">
        <v>985</v>
      </c>
      <c r="F1286">
        <v>165.1088</v>
      </c>
      <c r="G1286">
        <v>188.90559999999999</v>
      </c>
      <c r="H1286">
        <v>176.66200000000001</v>
      </c>
      <c r="I1286">
        <v>188.636</v>
      </c>
      <c r="J1286">
        <v>169.09370000000001</v>
      </c>
      <c r="K1286">
        <v>155.66149999999999</v>
      </c>
      <c r="L1286">
        <v>86.5518</v>
      </c>
      <c r="P1286">
        <v>131</v>
      </c>
      <c r="Q1286" t="s">
        <v>2853</v>
      </c>
    </row>
    <row r="1287" spans="1:17" x14ac:dyDescent="0.3">
      <c r="A1287" t="s">
        <v>17</v>
      </c>
      <c r="B1287" t="str">
        <f>"603359"</f>
        <v>603359</v>
      </c>
      <c r="C1287" t="s">
        <v>2854</v>
      </c>
      <c r="D1287" t="s">
        <v>2408</v>
      </c>
      <c r="F1287">
        <v>2.6347</v>
      </c>
      <c r="G1287">
        <v>438.17630000000003</v>
      </c>
      <c r="H1287">
        <v>806.56920000000002</v>
      </c>
      <c r="I1287">
        <v>548.03290000000004</v>
      </c>
      <c r="J1287">
        <v>455.85649999999998</v>
      </c>
      <c r="P1287">
        <v>187</v>
      </c>
      <c r="Q1287" t="s">
        <v>2855</v>
      </c>
    </row>
    <row r="1288" spans="1:17" x14ac:dyDescent="0.3">
      <c r="A1288" t="s">
        <v>17</v>
      </c>
      <c r="B1288" t="str">
        <f>"603360"</f>
        <v>603360</v>
      </c>
      <c r="C1288" t="s">
        <v>2856</v>
      </c>
      <c r="D1288" t="s">
        <v>853</v>
      </c>
      <c r="F1288">
        <v>98.485299999999995</v>
      </c>
      <c r="G1288">
        <v>181.83330000000001</v>
      </c>
      <c r="H1288">
        <v>114.02849999999999</v>
      </c>
      <c r="I1288">
        <v>81.784700000000001</v>
      </c>
      <c r="J1288">
        <v>122.2786</v>
      </c>
      <c r="K1288">
        <v>122.3152</v>
      </c>
      <c r="L1288">
        <v>75.045500000000004</v>
      </c>
      <c r="P1288">
        <v>402</v>
      </c>
      <c r="Q1288" t="s">
        <v>2857</v>
      </c>
    </row>
    <row r="1289" spans="1:17" x14ac:dyDescent="0.3">
      <c r="A1289" t="s">
        <v>17</v>
      </c>
      <c r="B1289" t="str">
        <f>"603363"</f>
        <v>603363</v>
      </c>
      <c r="C1289" t="s">
        <v>2858</v>
      </c>
      <c r="D1289" t="s">
        <v>2859</v>
      </c>
      <c r="F1289">
        <v>65.152199999999993</v>
      </c>
      <c r="G1289">
        <v>61.951300000000003</v>
      </c>
      <c r="H1289">
        <v>45.287399999999998</v>
      </c>
      <c r="I1289">
        <v>38.8001</v>
      </c>
      <c r="J1289">
        <v>37.646900000000002</v>
      </c>
      <c r="P1289">
        <v>310</v>
      </c>
      <c r="Q1289" t="s">
        <v>2860</v>
      </c>
    </row>
    <row r="1290" spans="1:17" x14ac:dyDescent="0.3">
      <c r="A1290" t="s">
        <v>17</v>
      </c>
      <c r="B1290" t="str">
        <f>"603365"</f>
        <v>603365</v>
      </c>
      <c r="C1290" t="s">
        <v>2861</v>
      </c>
      <c r="D1290" t="s">
        <v>2862</v>
      </c>
      <c r="F1290">
        <v>218.7501</v>
      </c>
      <c r="G1290">
        <v>242.24700000000001</v>
      </c>
      <c r="H1290">
        <v>241.76320000000001</v>
      </c>
      <c r="I1290">
        <v>242.15639999999999</v>
      </c>
      <c r="J1290">
        <v>263.32470000000001</v>
      </c>
      <c r="P1290">
        <v>243</v>
      </c>
      <c r="Q1290" t="s">
        <v>2863</v>
      </c>
    </row>
    <row r="1291" spans="1:17" x14ac:dyDescent="0.3">
      <c r="A1291" t="s">
        <v>17</v>
      </c>
      <c r="B1291" t="str">
        <f>"603366"</f>
        <v>603366</v>
      </c>
      <c r="C1291" t="s">
        <v>2864</v>
      </c>
      <c r="D1291" t="s">
        <v>2865</v>
      </c>
      <c r="F1291">
        <v>109.0343</v>
      </c>
      <c r="G1291">
        <v>120.53619999999999</v>
      </c>
      <c r="H1291">
        <v>137.2544</v>
      </c>
      <c r="I1291">
        <v>114.9345</v>
      </c>
      <c r="J1291">
        <v>107.94710000000001</v>
      </c>
      <c r="K1291">
        <v>102.08759999999999</v>
      </c>
      <c r="L1291">
        <v>88.0779</v>
      </c>
      <c r="M1291">
        <v>65.817899999999995</v>
      </c>
      <c r="N1291">
        <v>54.333399999999997</v>
      </c>
      <c r="O1291">
        <v>41.651200000000003</v>
      </c>
      <c r="P1291">
        <v>121</v>
      </c>
      <c r="Q1291" t="s">
        <v>2866</v>
      </c>
    </row>
    <row r="1292" spans="1:17" x14ac:dyDescent="0.3">
      <c r="A1292" t="s">
        <v>17</v>
      </c>
      <c r="B1292" t="str">
        <f>"603367"</f>
        <v>603367</v>
      </c>
      <c r="C1292" t="s">
        <v>2867</v>
      </c>
      <c r="D1292" t="s">
        <v>143</v>
      </c>
      <c r="F1292">
        <v>185.4913</v>
      </c>
      <c r="G1292">
        <v>204.0153</v>
      </c>
      <c r="H1292">
        <v>176.09520000000001</v>
      </c>
      <c r="I1292">
        <v>197.4272</v>
      </c>
      <c r="J1292">
        <v>148.87889999999999</v>
      </c>
      <c r="P1292">
        <v>245</v>
      </c>
      <c r="Q1292" t="s">
        <v>2868</v>
      </c>
    </row>
    <row r="1293" spans="1:17" x14ac:dyDescent="0.3">
      <c r="A1293" t="s">
        <v>17</v>
      </c>
      <c r="B1293" t="str">
        <f>"603368"</f>
        <v>603368</v>
      </c>
      <c r="C1293" t="s">
        <v>2869</v>
      </c>
      <c r="D1293" t="s">
        <v>125</v>
      </c>
      <c r="F1293">
        <v>54.896799999999999</v>
      </c>
      <c r="G1293">
        <v>53.755099999999999</v>
      </c>
      <c r="H1293">
        <v>53.296799999999998</v>
      </c>
      <c r="I1293">
        <v>55.560600000000001</v>
      </c>
      <c r="J1293">
        <v>54.827399999999997</v>
      </c>
      <c r="K1293">
        <v>50.172600000000003</v>
      </c>
      <c r="L1293">
        <v>53.871499999999997</v>
      </c>
      <c r="M1293">
        <v>47.146500000000003</v>
      </c>
      <c r="N1293">
        <v>20.487100000000002</v>
      </c>
      <c r="P1293">
        <v>532</v>
      </c>
      <c r="Q1293" t="s">
        <v>2870</v>
      </c>
    </row>
    <row r="1294" spans="1:17" x14ac:dyDescent="0.3">
      <c r="A1294" t="s">
        <v>17</v>
      </c>
      <c r="B1294" t="str">
        <f>"603369"</f>
        <v>603369</v>
      </c>
      <c r="C1294" t="s">
        <v>2871</v>
      </c>
      <c r="D1294" t="s">
        <v>458</v>
      </c>
      <c r="F1294">
        <v>674.22339999999997</v>
      </c>
      <c r="G1294">
        <v>658.83569999999997</v>
      </c>
      <c r="H1294">
        <v>615.89440000000002</v>
      </c>
      <c r="I1294">
        <v>711.53549999999996</v>
      </c>
      <c r="J1294">
        <v>803.85990000000004</v>
      </c>
      <c r="K1294">
        <v>798.83600000000001</v>
      </c>
      <c r="L1294">
        <v>771.98040000000003</v>
      </c>
      <c r="M1294">
        <v>694.75210000000004</v>
      </c>
      <c r="N1294">
        <v>270.10919999999999</v>
      </c>
      <c r="P1294">
        <v>35436</v>
      </c>
      <c r="Q1294" t="s">
        <v>2872</v>
      </c>
    </row>
    <row r="1295" spans="1:17" x14ac:dyDescent="0.3">
      <c r="A1295" t="s">
        <v>17</v>
      </c>
      <c r="B1295" t="str">
        <f>"603377"</f>
        <v>603377</v>
      </c>
      <c r="C1295" t="s">
        <v>2873</v>
      </c>
      <c r="D1295" t="s">
        <v>1336</v>
      </c>
      <c r="F1295">
        <v>35.325600000000001</v>
      </c>
      <c r="G1295">
        <v>416.92790000000002</v>
      </c>
      <c r="H1295">
        <v>694.70659999999998</v>
      </c>
      <c r="I1295">
        <v>1.67E-2</v>
      </c>
      <c r="J1295">
        <v>8.8999999999999999E-3</v>
      </c>
      <c r="K1295">
        <v>0</v>
      </c>
      <c r="P1295">
        <v>171</v>
      </c>
      <c r="Q1295" t="s">
        <v>2874</v>
      </c>
    </row>
    <row r="1296" spans="1:17" x14ac:dyDescent="0.3">
      <c r="A1296" t="s">
        <v>17</v>
      </c>
      <c r="B1296" t="str">
        <f>"603378"</f>
        <v>603378</v>
      </c>
      <c r="C1296" t="s">
        <v>2875</v>
      </c>
      <c r="D1296" t="s">
        <v>2876</v>
      </c>
      <c r="F1296">
        <v>36.370199999999997</v>
      </c>
      <c r="G1296">
        <v>39.839300000000001</v>
      </c>
      <c r="H1296">
        <v>48.789000000000001</v>
      </c>
      <c r="I1296">
        <v>68.3553</v>
      </c>
      <c r="J1296">
        <v>64.302199999999999</v>
      </c>
      <c r="P1296">
        <v>203</v>
      </c>
      <c r="Q1296" t="s">
        <v>2877</v>
      </c>
    </row>
    <row r="1297" spans="1:17" x14ac:dyDescent="0.3">
      <c r="A1297" t="s">
        <v>17</v>
      </c>
      <c r="B1297" t="str">
        <f>"603379"</f>
        <v>603379</v>
      </c>
      <c r="C1297" t="s">
        <v>2878</v>
      </c>
      <c r="D1297" t="s">
        <v>375</v>
      </c>
      <c r="F1297">
        <v>56.008699999999997</v>
      </c>
      <c r="G1297">
        <v>52.125999999999998</v>
      </c>
      <c r="H1297">
        <v>54.009500000000003</v>
      </c>
      <c r="P1297">
        <v>140</v>
      </c>
      <c r="Q1297" t="s">
        <v>2879</v>
      </c>
    </row>
    <row r="1298" spans="1:17" x14ac:dyDescent="0.3">
      <c r="A1298" t="s">
        <v>17</v>
      </c>
      <c r="B1298" t="str">
        <f>"603380"</f>
        <v>603380</v>
      </c>
      <c r="C1298" t="s">
        <v>2880</v>
      </c>
      <c r="D1298" t="s">
        <v>313</v>
      </c>
      <c r="F1298">
        <v>127.1307</v>
      </c>
      <c r="G1298">
        <v>83.345100000000002</v>
      </c>
      <c r="H1298">
        <v>85.635300000000001</v>
      </c>
      <c r="I1298">
        <v>81.287400000000005</v>
      </c>
      <c r="J1298">
        <v>79.325900000000004</v>
      </c>
      <c r="P1298">
        <v>209</v>
      </c>
      <c r="Q1298" t="s">
        <v>2881</v>
      </c>
    </row>
    <row r="1299" spans="1:17" x14ac:dyDescent="0.3">
      <c r="A1299" t="s">
        <v>17</v>
      </c>
      <c r="B1299" t="str">
        <f>"603383"</f>
        <v>603383</v>
      </c>
      <c r="C1299" t="s">
        <v>2882</v>
      </c>
      <c r="D1299" t="s">
        <v>945</v>
      </c>
      <c r="F1299">
        <v>392.52910000000003</v>
      </c>
      <c r="G1299">
        <v>415.5718</v>
      </c>
      <c r="H1299">
        <v>381.07749999999999</v>
      </c>
      <c r="I1299">
        <v>504.96710000000002</v>
      </c>
      <c r="J1299">
        <v>635.54449999999997</v>
      </c>
      <c r="P1299">
        <v>190</v>
      </c>
      <c r="Q1299" t="s">
        <v>2883</v>
      </c>
    </row>
    <row r="1300" spans="1:17" x14ac:dyDescent="0.3">
      <c r="A1300" t="s">
        <v>17</v>
      </c>
      <c r="B1300" t="str">
        <f>"603385"</f>
        <v>603385</v>
      </c>
      <c r="C1300" t="s">
        <v>2884</v>
      </c>
      <c r="D1300" t="s">
        <v>2885</v>
      </c>
      <c r="F1300">
        <v>162.25919999999999</v>
      </c>
      <c r="G1300">
        <v>169.16200000000001</v>
      </c>
      <c r="H1300">
        <v>167.4838</v>
      </c>
      <c r="I1300">
        <v>167.57329999999999</v>
      </c>
      <c r="J1300">
        <v>156.15610000000001</v>
      </c>
      <c r="P1300">
        <v>192</v>
      </c>
      <c r="Q1300" t="s">
        <v>2886</v>
      </c>
    </row>
    <row r="1301" spans="1:17" x14ac:dyDescent="0.3">
      <c r="A1301" t="s">
        <v>17</v>
      </c>
      <c r="B1301" t="str">
        <f>"603386"</f>
        <v>603386</v>
      </c>
      <c r="C1301" t="s">
        <v>2887</v>
      </c>
      <c r="D1301" t="s">
        <v>425</v>
      </c>
      <c r="F1301">
        <v>95.847499999999997</v>
      </c>
      <c r="G1301">
        <v>100.27849999999999</v>
      </c>
      <c r="H1301">
        <v>114.8586</v>
      </c>
      <c r="I1301">
        <v>110.28319999999999</v>
      </c>
      <c r="J1301">
        <v>94.301599999999993</v>
      </c>
      <c r="P1301">
        <v>180</v>
      </c>
      <c r="Q1301" t="s">
        <v>2888</v>
      </c>
    </row>
    <row r="1302" spans="1:17" x14ac:dyDescent="0.3">
      <c r="A1302" t="s">
        <v>17</v>
      </c>
      <c r="B1302" t="str">
        <f>"603387"</f>
        <v>603387</v>
      </c>
      <c r="C1302" t="s">
        <v>2889</v>
      </c>
      <c r="D1302" t="s">
        <v>1305</v>
      </c>
      <c r="F1302">
        <v>257.15379999999999</v>
      </c>
      <c r="G1302">
        <v>241.20400000000001</v>
      </c>
      <c r="H1302">
        <v>288.64569999999998</v>
      </c>
      <c r="I1302">
        <v>366.91359999999997</v>
      </c>
      <c r="J1302">
        <v>407.00220000000002</v>
      </c>
      <c r="P1302">
        <v>1500</v>
      </c>
      <c r="Q1302" t="s">
        <v>2890</v>
      </c>
    </row>
    <row r="1303" spans="1:17" x14ac:dyDescent="0.3">
      <c r="A1303" t="s">
        <v>17</v>
      </c>
      <c r="B1303" t="str">
        <f>"603388"</f>
        <v>603388</v>
      </c>
      <c r="C1303" t="s">
        <v>2891</v>
      </c>
      <c r="D1303" t="s">
        <v>2408</v>
      </c>
      <c r="F1303">
        <v>51.320700000000002</v>
      </c>
      <c r="G1303">
        <v>741.76419999999996</v>
      </c>
      <c r="H1303">
        <v>894.23099999999999</v>
      </c>
      <c r="I1303">
        <v>790.76239999999996</v>
      </c>
      <c r="J1303">
        <v>656.42489999999998</v>
      </c>
      <c r="P1303">
        <v>63</v>
      </c>
      <c r="Q1303" t="s">
        <v>2892</v>
      </c>
    </row>
    <row r="1304" spans="1:17" x14ac:dyDescent="0.3">
      <c r="A1304" t="s">
        <v>17</v>
      </c>
      <c r="B1304" t="str">
        <f>"603389"</f>
        <v>603389</v>
      </c>
      <c r="C1304" t="s">
        <v>2893</v>
      </c>
      <c r="D1304" t="s">
        <v>757</v>
      </c>
      <c r="F1304">
        <v>797.19219999999996</v>
      </c>
      <c r="G1304">
        <v>803.85709999999995</v>
      </c>
      <c r="H1304">
        <v>702.59789999999998</v>
      </c>
      <c r="I1304">
        <v>742.69740000000002</v>
      </c>
      <c r="J1304">
        <v>550.79480000000001</v>
      </c>
      <c r="K1304">
        <v>496.43900000000002</v>
      </c>
      <c r="P1304">
        <v>80</v>
      </c>
      <c r="Q1304" t="s">
        <v>2894</v>
      </c>
    </row>
    <row r="1305" spans="1:17" x14ac:dyDescent="0.3">
      <c r="A1305" t="s">
        <v>17</v>
      </c>
      <c r="B1305" t="str">
        <f>"603390"</f>
        <v>603390</v>
      </c>
      <c r="C1305" t="s">
        <v>2895</v>
      </c>
      <c r="D1305" t="s">
        <v>1415</v>
      </c>
      <c r="F1305">
        <v>292.22219999999999</v>
      </c>
      <c r="G1305">
        <v>239.06870000000001</v>
      </c>
      <c r="H1305">
        <v>142.3586</v>
      </c>
      <c r="I1305">
        <v>148.9539</v>
      </c>
      <c r="P1305">
        <v>89</v>
      </c>
      <c r="Q1305" t="s">
        <v>2896</v>
      </c>
    </row>
    <row r="1306" spans="1:17" x14ac:dyDescent="0.3">
      <c r="A1306" t="s">
        <v>17</v>
      </c>
      <c r="B1306" t="str">
        <f>"603392"</f>
        <v>603392</v>
      </c>
      <c r="C1306" t="s">
        <v>2897</v>
      </c>
      <c r="D1306" t="s">
        <v>1305</v>
      </c>
      <c r="F1306">
        <v>338.39319999999998</v>
      </c>
      <c r="G1306">
        <v>345.55919999999998</v>
      </c>
      <c r="P1306">
        <v>552</v>
      </c>
      <c r="Q1306" t="s">
        <v>2898</v>
      </c>
    </row>
    <row r="1307" spans="1:17" x14ac:dyDescent="0.3">
      <c r="A1307" t="s">
        <v>17</v>
      </c>
      <c r="B1307" t="str">
        <f>"603393"</f>
        <v>603393</v>
      </c>
      <c r="C1307" t="s">
        <v>2899</v>
      </c>
      <c r="D1307" t="s">
        <v>749</v>
      </c>
      <c r="F1307">
        <v>14.447900000000001</v>
      </c>
      <c r="G1307">
        <v>11.8622</v>
      </c>
      <c r="H1307">
        <v>9.6127000000000002</v>
      </c>
      <c r="I1307">
        <v>15.352499999999999</v>
      </c>
      <c r="J1307">
        <v>25.174900000000001</v>
      </c>
      <c r="K1307">
        <v>12.1631</v>
      </c>
      <c r="L1307">
        <v>7.0004</v>
      </c>
      <c r="P1307">
        <v>498</v>
      </c>
      <c r="Q1307" t="s">
        <v>2900</v>
      </c>
    </row>
    <row r="1308" spans="1:17" x14ac:dyDescent="0.3">
      <c r="A1308" t="s">
        <v>17</v>
      </c>
      <c r="B1308" t="str">
        <f>"603396"</f>
        <v>603396</v>
      </c>
      <c r="C1308" t="s">
        <v>2901</v>
      </c>
      <c r="D1308" t="s">
        <v>2654</v>
      </c>
      <c r="F1308">
        <v>436.55529999999999</v>
      </c>
      <c r="G1308">
        <v>407.0034</v>
      </c>
      <c r="H1308">
        <v>482.96280000000002</v>
      </c>
      <c r="I1308">
        <v>548.16079999999999</v>
      </c>
      <c r="J1308">
        <v>512.76729999999998</v>
      </c>
      <c r="P1308">
        <v>217</v>
      </c>
      <c r="Q1308" t="s">
        <v>2902</v>
      </c>
    </row>
    <row r="1309" spans="1:17" x14ac:dyDescent="0.3">
      <c r="A1309" t="s">
        <v>17</v>
      </c>
      <c r="B1309" t="str">
        <f>"603398"</f>
        <v>603398</v>
      </c>
      <c r="C1309" t="s">
        <v>2903</v>
      </c>
      <c r="D1309" t="s">
        <v>2904</v>
      </c>
      <c r="F1309">
        <v>342.57740000000001</v>
      </c>
      <c r="G1309">
        <v>230.38929999999999</v>
      </c>
      <c r="H1309">
        <v>194.39099999999999</v>
      </c>
      <c r="I1309">
        <v>198.2056</v>
      </c>
      <c r="J1309">
        <v>109.17870000000001</v>
      </c>
      <c r="K1309">
        <v>124.0586</v>
      </c>
      <c r="L1309">
        <v>103.5844</v>
      </c>
      <c r="M1309">
        <v>53.112900000000003</v>
      </c>
      <c r="P1309">
        <v>89</v>
      </c>
      <c r="Q1309" t="s">
        <v>2905</v>
      </c>
    </row>
    <row r="1310" spans="1:17" x14ac:dyDescent="0.3">
      <c r="A1310" t="s">
        <v>17</v>
      </c>
      <c r="B1310" t="str">
        <f>"603399"</f>
        <v>603399</v>
      </c>
      <c r="C1310" t="s">
        <v>2906</v>
      </c>
      <c r="D1310" t="s">
        <v>2354</v>
      </c>
      <c r="F1310">
        <v>78.510800000000003</v>
      </c>
      <c r="G1310">
        <v>134.42259999999999</v>
      </c>
      <c r="H1310">
        <v>188.58160000000001</v>
      </c>
      <c r="I1310">
        <v>212.9752</v>
      </c>
      <c r="J1310">
        <v>205.5308</v>
      </c>
      <c r="K1310">
        <v>174.51050000000001</v>
      </c>
      <c r="L1310">
        <v>180.4058</v>
      </c>
      <c r="M1310">
        <v>151.53829999999999</v>
      </c>
      <c r="N1310">
        <v>112.7193</v>
      </c>
      <c r="O1310">
        <v>61.340200000000003</v>
      </c>
      <c r="P1310">
        <v>72</v>
      </c>
      <c r="Q1310" t="s">
        <v>2907</v>
      </c>
    </row>
    <row r="1311" spans="1:17" x14ac:dyDescent="0.3">
      <c r="A1311" t="s">
        <v>17</v>
      </c>
      <c r="B1311" t="str">
        <f>"603408"</f>
        <v>603408</v>
      </c>
      <c r="C1311" t="s">
        <v>2908</v>
      </c>
      <c r="D1311" t="s">
        <v>2885</v>
      </c>
      <c r="F1311">
        <v>86.57</v>
      </c>
      <c r="G1311">
        <v>79.485699999999994</v>
      </c>
      <c r="P1311">
        <v>98</v>
      </c>
      <c r="Q1311" t="s">
        <v>2909</v>
      </c>
    </row>
    <row r="1312" spans="1:17" x14ac:dyDescent="0.3">
      <c r="A1312" t="s">
        <v>17</v>
      </c>
      <c r="B1312" t="str">
        <f>"603416"</f>
        <v>603416</v>
      </c>
      <c r="C1312" t="s">
        <v>2910</v>
      </c>
      <c r="D1312" t="s">
        <v>2911</v>
      </c>
      <c r="F1312">
        <v>354.70190000000002</v>
      </c>
      <c r="G1312">
        <v>302.91399999999999</v>
      </c>
      <c r="H1312">
        <v>234.77269999999999</v>
      </c>
      <c r="I1312">
        <v>249.99510000000001</v>
      </c>
      <c r="J1312">
        <v>202.9495</v>
      </c>
      <c r="K1312">
        <v>91.049499999999995</v>
      </c>
      <c r="P1312">
        <v>325</v>
      </c>
      <c r="Q1312" t="s">
        <v>2912</v>
      </c>
    </row>
    <row r="1313" spans="1:17" x14ac:dyDescent="0.3">
      <c r="A1313" t="s">
        <v>17</v>
      </c>
      <c r="B1313" t="str">
        <f>"603421"</f>
        <v>603421</v>
      </c>
      <c r="C1313" t="s">
        <v>2913</v>
      </c>
      <c r="D1313" t="s">
        <v>1019</v>
      </c>
      <c r="F1313">
        <v>521.33569999999997</v>
      </c>
      <c r="G1313">
        <v>456.89330000000001</v>
      </c>
      <c r="H1313">
        <v>440.17570000000001</v>
      </c>
      <c r="I1313">
        <v>380.58589999999998</v>
      </c>
      <c r="J1313">
        <v>346.60579999999999</v>
      </c>
      <c r="K1313">
        <v>166.1952</v>
      </c>
      <c r="L1313">
        <v>77.401600000000002</v>
      </c>
      <c r="P1313">
        <v>138</v>
      </c>
      <c r="Q1313" t="s">
        <v>2914</v>
      </c>
    </row>
    <row r="1314" spans="1:17" x14ac:dyDescent="0.3">
      <c r="A1314" t="s">
        <v>17</v>
      </c>
      <c r="B1314" t="str">
        <f>"603429"</f>
        <v>603429</v>
      </c>
      <c r="C1314" t="s">
        <v>2915</v>
      </c>
      <c r="D1314" t="s">
        <v>2156</v>
      </c>
      <c r="F1314">
        <v>168.43709999999999</v>
      </c>
      <c r="G1314">
        <v>194.33699999999999</v>
      </c>
      <c r="H1314">
        <v>177.29769999999999</v>
      </c>
      <c r="I1314">
        <v>163.94370000000001</v>
      </c>
      <c r="J1314">
        <v>193.685</v>
      </c>
      <c r="K1314">
        <v>231.2784</v>
      </c>
      <c r="P1314">
        <v>368</v>
      </c>
      <c r="Q1314" t="s">
        <v>2916</v>
      </c>
    </row>
    <row r="1315" spans="1:17" x14ac:dyDescent="0.3">
      <c r="A1315" t="s">
        <v>17</v>
      </c>
      <c r="B1315" t="str">
        <f>"603439"</f>
        <v>603439</v>
      </c>
      <c r="C1315" t="s">
        <v>2917</v>
      </c>
      <c r="D1315" t="s">
        <v>188</v>
      </c>
      <c r="F1315">
        <v>132.33349999999999</v>
      </c>
      <c r="G1315">
        <v>185.7979</v>
      </c>
      <c r="H1315">
        <v>49.127899999999997</v>
      </c>
      <c r="P1315">
        <v>293</v>
      </c>
      <c r="Q1315" t="s">
        <v>2918</v>
      </c>
    </row>
    <row r="1316" spans="1:17" x14ac:dyDescent="0.3">
      <c r="A1316" t="s">
        <v>17</v>
      </c>
      <c r="B1316" t="str">
        <f>"603444"</f>
        <v>603444</v>
      </c>
      <c r="C1316" t="s">
        <v>2919</v>
      </c>
      <c r="D1316" t="s">
        <v>517</v>
      </c>
      <c r="F1316">
        <v>0</v>
      </c>
      <c r="G1316">
        <v>0.79730000000000001</v>
      </c>
      <c r="H1316">
        <v>1.2155</v>
      </c>
      <c r="I1316">
        <v>1.9839</v>
      </c>
      <c r="J1316">
        <v>0</v>
      </c>
      <c r="K1316">
        <v>0</v>
      </c>
      <c r="L1316">
        <v>0</v>
      </c>
      <c r="P1316">
        <v>4237</v>
      </c>
      <c r="Q1316" t="s">
        <v>2920</v>
      </c>
    </row>
    <row r="1317" spans="1:17" x14ac:dyDescent="0.3">
      <c r="A1317" t="s">
        <v>17</v>
      </c>
      <c r="B1317" t="str">
        <f>"603456"</f>
        <v>603456</v>
      </c>
      <c r="C1317" t="s">
        <v>2921</v>
      </c>
      <c r="D1317" t="s">
        <v>1461</v>
      </c>
      <c r="F1317">
        <v>229.71610000000001</v>
      </c>
      <c r="G1317">
        <v>309.9391</v>
      </c>
      <c r="H1317">
        <v>226.03469999999999</v>
      </c>
      <c r="I1317">
        <v>226.89490000000001</v>
      </c>
      <c r="J1317">
        <v>213.2988</v>
      </c>
      <c r="K1317">
        <v>217.83080000000001</v>
      </c>
      <c r="L1317">
        <v>255.59649999999999</v>
      </c>
      <c r="M1317">
        <v>202.483</v>
      </c>
      <c r="N1317">
        <v>76.219499999999996</v>
      </c>
      <c r="P1317">
        <v>453</v>
      </c>
      <c r="Q1317" t="s">
        <v>2922</v>
      </c>
    </row>
    <row r="1318" spans="1:17" x14ac:dyDescent="0.3">
      <c r="A1318" t="s">
        <v>17</v>
      </c>
      <c r="B1318" t="str">
        <f>"603458"</f>
        <v>603458</v>
      </c>
      <c r="C1318" t="s">
        <v>2923</v>
      </c>
      <c r="D1318" t="s">
        <v>1272</v>
      </c>
      <c r="F1318">
        <v>72.050299999999993</v>
      </c>
      <c r="G1318">
        <v>162.6755</v>
      </c>
      <c r="H1318">
        <v>69.603099999999998</v>
      </c>
      <c r="I1318">
        <v>66.580100000000002</v>
      </c>
      <c r="J1318">
        <v>47.351500000000001</v>
      </c>
      <c r="P1318">
        <v>474</v>
      </c>
      <c r="Q1318" t="s">
        <v>2924</v>
      </c>
    </row>
    <row r="1319" spans="1:17" x14ac:dyDescent="0.3">
      <c r="A1319" t="s">
        <v>17</v>
      </c>
      <c r="B1319" t="str">
        <f>"603466"</f>
        <v>603466</v>
      </c>
      <c r="C1319" t="s">
        <v>2925</v>
      </c>
      <c r="D1319" t="s">
        <v>2926</v>
      </c>
      <c r="F1319">
        <v>191.9239</v>
      </c>
      <c r="G1319">
        <v>277.6361</v>
      </c>
      <c r="H1319">
        <v>319.53359999999998</v>
      </c>
      <c r="I1319">
        <v>304.29169999999999</v>
      </c>
      <c r="J1319">
        <v>235.06809999999999</v>
      </c>
      <c r="P1319">
        <v>406</v>
      </c>
      <c r="Q1319" t="s">
        <v>2927</v>
      </c>
    </row>
    <row r="1320" spans="1:17" x14ac:dyDescent="0.3">
      <c r="A1320" t="s">
        <v>17</v>
      </c>
      <c r="B1320" t="str">
        <f>"603477"</f>
        <v>603477</v>
      </c>
      <c r="C1320" t="s">
        <v>2928</v>
      </c>
      <c r="D1320" t="s">
        <v>2929</v>
      </c>
      <c r="F1320">
        <v>226.59569999999999</v>
      </c>
      <c r="G1320">
        <v>387.93779999999998</v>
      </c>
      <c r="H1320">
        <v>494.55059999999997</v>
      </c>
      <c r="I1320">
        <v>325.01830000000001</v>
      </c>
      <c r="J1320">
        <v>316.02789999999999</v>
      </c>
      <c r="P1320">
        <v>134</v>
      </c>
      <c r="Q1320" t="s">
        <v>2930</v>
      </c>
    </row>
    <row r="1321" spans="1:17" x14ac:dyDescent="0.3">
      <c r="A1321" t="s">
        <v>17</v>
      </c>
      <c r="B1321" t="str">
        <f>"603486"</f>
        <v>603486</v>
      </c>
      <c r="C1321" t="s">
        <v>2931</v>
      </c>
      <c r="D1321" t="s">
        <v>2697</v>
      </c>
      <c r="F1321">
        <v>166.2336</v>
      </c>
      <c r="G1321">
        <v>177.21960000000001</v>
      </c>
      <c r="H1321">
        <v>204.36529999999999</v>
      </c>
      <c r="I1321">
        <v>159.80099999999999</v>
      </c>
      <c r="P1321">
        <v>833</v>
      </c>
      <c r="Q1321" t="s">
        <v>2932</v>
      </c>
    </row>
    <row r="1322" spans="1:17" x14ac:dyDescent="0.3">
      <c r="A1322" t="s">
        <v>17</v>
      </c>
      <c r="B1322" t="str">
        <f>"603488"</f>
        <v>603488</v>
      </c>
      <c r="C1322" t="s">
        <v>2933</v>
      </c>
      <c r="D1322" t="s">
        <v>1689</v>
      </c>
      <c r="F1322">
        <v>81.722700000000003</v>
      </c>
      <c r="G1322">
        <v>95.120199999999997</v>
      </c>
      <c r="H1322">
        <v>85.341800000000006</v>
      </c>
      <c r="I1322">
        <v>89.567099999999996</v>
      </c>
      <c r="J1322">
        <v>96.866399999999999</v>
      </c>
      <c r="P1322">
        <v>64</v>
      </c>
      <c r="Q1322" t="s">
        <v>2934</v>
      </c>
    </row>
    <row r="1323" spans="1:17" x14ac:dyDescent="0.3">
      <c r="A1323" t="s">
        <v>17</v>
      </c>
      <c r="B1323" t="str">
        <f>"603489"</f>
        <v>603489</v>
      </c>
      <c r="C1323" t="s">
        <v>2935</v>
      </c>
      <c r="D1323" t="s">
        <v>1171</v>
      </c>
      <c r="F1323">
        <v>89.129400000000004</v>
      </c>
      <c r="G1323">
        <v>138.94540000000001</v>
      </c>
      <c r="H1323">
        <v>91.886600000000001</v>
      </c>
      <c r="P1323">
        <v>490</v>
      </c>
      <c r="Q1323" t="s">
        <v>2936</v>
      </c>
    </row>
    <row r="1324" spans="1:17" x14ac:dyDescent="0.3">
      <c r="A1324" t="s">
        <v>17</v>
      </c>
      <c r="B1324" t="str">
        <f>"603496"</f>
        <v>603496</v>
      </c>
      <c r="C1324" t="s">
        <v>2937</v>
      </c>
      <c r="D1324" t="s">
        <v>236</v>
      </c>
      <c r="F1324">
        <v>504.90320000000003</v>
      </c>
      <c r="G1324">
        <v>638.07659999999998</v>
      </c>
      <c r="H1324">
        <v>510.7174</v>
      </c>
      <c r="I1324">
        <v>417.27449999999999</v>
      </c>
      <c r="J1324">
        <v>512.26229999999998</v>
      </c>
      <c r="P1324">
        <v>194</v>
      </c>
      <c r="Q1324" t="s">
        <v>2938</v>
      </c>
    </row>
    <row r="1325" spans="1:17" x14ac:dyDescent="0.3">
      <c r="A1325" t="s">
        <v>17</v>
      </c>
      <c r="B1325" t="str">
        <f>"603499"</f>
        <v>603499</v>
      </c>
      <c r="C1325" t="s">
        <v>2939</v>
      </c>
      <c r="D1325" t="s">
        <v>2156</v>
      </c>
      <c r="F1325">
        <v>88.419899999999998</v>
      </c>
      <c r="G1325">
        <v>98.906800000000004</v>
      </c>
      <c r="H1325">
        <v>90.231700000000004</v>
      </c>
      <c r="I1325">
        <v>69.424999999999997</v>
      </c>
      <c r="J1325">
        <v>61.452300000000001</v>
      </c>
      <c r="P1325">
        <v>83</v>
      </c>
      <c r="Q1325" t="s">
        <v>2940</v>
      </c>
    </row>
    <row r="1326" spans="1:17" x14ac:dyDescent="0.3">
      <c r="A1326" t="s">
        <v>17</v>
      </c>
      <c r="B1326" t="str">
        <f>"603500"</f>
        <v>603500</v>
      </c>
      <c r="C1326" t="s">
        <v>2941</v>
      </c>
      <c r="D1326" t="s">
        <v>1012</v>
      </c>
      <c r="F1326">
        <v>134.5831</v>
      </c>
      <c r="G1326">
        <v>233.47210000000001</v>
      </c>
      <c r="H1326">
        <v>170.16550000000001</v>
      </c>
      <c r="I1326">
        <v>160.41229999999999</v>
      </c>
      <c r="J1326">
        <v>132.48740000000001</v>
      </c>
      <c r="P1326">
        <v>91</v>
      </c>
      <c r="Q1326" t="s">
        <v>2942</v>
      </c>
    </row>
    <row r="1327" spans="1:17" x14ac:dyDescent="0.3">
      <c r="A1327" t="s">
        <v>17</v>
      </c>
      <c r="B1327" t="str">
        <f>"603501"</f>
        <v>603501</v>
      </c>
      <c r="C1327" t="s">
        <v>2943</v>
      </c>
      <c r="D1327" t="s">
        <v>461</v>
      </c>
      <c r="F1327">
        <v>185.04669999999999</v>
      </c>
      <c r="G1327">
        <v>184.56360000000001</v>
      </c>
      <c r="H1327">
        <v>130.51990000000001</v>
      </c>
      <c r="I1327">
        <v>129.1498</v>
      </c>
      <c r="J1327">
        <v>103.1336</v>
      </c>
      <c r="P1327">
        <v>2200</v>
      </c>
      <c r="Q1327" t="s">
        <v>2944</v>
      </c>
    </row>
    <row r="1328" spans="1:17" x14ac:dyDescent="0.3">
      <c r="A1328" t="s">
        <v>17</v>
      </c>
      <c r="B1328" t="str">
        <f>"603505"</f>
        <v>603505</v>
      </c>
      <c r="C1328" t="s">
        <v>2945</v>
      </c>
      <c r="D1328" t="s">
        <v>375</v>
      </c>
      <c r="F1328">
        <v>148.91040000000001</v>
      </c>
      <c r="G1328">
        <v>165.5239</v>
      </c>
      <c r="H1328">
        <v>155.12110000000001</v>
      </c>
      <c r="I1328">
        <v>121.87479999999999</v>
      </c>
      <c r="J1328">
        <v>78.274900000000002</v>
      </c>
      <c r="P1328">
        <v>325</v>
      </c>
      <c r="Q1328" t="s">
        <v>2946</v>
      </c>
    </row>
    <row r="1329" spans="1:17" x14ac:dyDescent="0.3">
      <c r="A1329" t="s">
        <v>17</v>
      </c>
      <c r="B1329" t="str">
        <f>"603506"</f>
        <v>603506</v>
      </c>
      <c r="C1329" t="s">
        <v>2947</v>
      </c>
      <c r="D1329" t="s">
        <v>2948</v>
      </c>
      <c r="F1329">
        <v>4.6228999999999996</v>
      </c>
      <c r="G1329">
        <v>5.3517000000000001</v>
      </c>
      <c r="H1329">
        <v>0.67010000000000003</v>
      </c>
      <c r="I1329">
        <v>1.0509999999999999</v>
      </c>
      <c r="J1329">
        <v>0.1411</v>
      </c>
      <c r="P1329">
        <v>355</v>
      </c>
      <c r="Q1329" t="s">
        <v>2949</v>
      </c>
    </row>
    <row r="1330" spans="1:17" x14ac:dyDescent="0.3">
      <c r="A1330" t="s">
        <v>17</v>
      </c>
      <c r="B1330" t="str">
        <f>"603507"</f>
        <v>603507</v>
      </c>
      <c r="C1330" t="s">
        <v>2950</v>
      </c>
      <c r="D1330" t="s">
        <v>950</v>
      </c>
      <c r="F1330">
        <v>168.09700000000001</v>
      </c>
      <c r="G1330">
        <v>165.5162</v>
      </c>
      <c r="H1330">
        <v>202.0369</v>
      </c>
      <c r="I1330">
        <v>202.54</v>
      </c>
      <c r="J1330">
        <v>130.2901</v>
      </c>
      <c r="P1330">
        <v>135</v>
      </c>
      <c r="Q1330" t="s">
        <v>2951</v>
      </c>
    </row>
    <row r="1331" spans="1:17" x14ac:dyDescent="0.3">
      <c r="A1331" t="s">
        <v>17</v>
      </c>
      <c r="B1331" t="str">
        <f>"603508"</f>
        <v>603508</v>
      </c>
      <c r="C1331" t="s">
        <v>2952</v>
      </c>
      <c r="D1331" t="s">
        <v>2953</v>
      </c>
      <c r="F1331">
        <v>405.1884</v>
      </c>
      <c r="G1331">
        <v>595.67650000000003</v>
      </c>
      <c r="H1331">
        <v>396.45080000000002</v>
      </c>
      <c r="I1331">
        <v>525.84990000000005</v>
      </c>
      <c r="J1331">
        <v>563.81970000000001</v>
      </c>
      <c r="K1331">
        <v>426.94799999999998</v>
      </c>
      <c r="P1331">
        <v>219</v>
      </c>
      <c r="Q1331" t="s">
        <v>2954</v>
      </c>
    </row>
    <row r="1332" spans="1:17" x14ac:dyDescent="0.3">
      <c r="A1332" t="s">
        <v>17</v>
      </c>
      <c r="B1332" t="str">
        <f>"603511"</f>
        <v>603511</v>
      </c>
      <c r="C1332" t="s">
        <v>2955</v>
      </c>
      <c r="D1332" t="s">
        <v>330</v>
      </c>
      <c r="F1332">
        <v>491.67989999999998</v>
      </c>
      <c r="P1332">
        <v>47</v>
      </c>
      <c r="Q1332" t="s">
        <v>2956</v>
      </c>
    </row>
    <row r="1333" spans="1:17" x14ac:dyDescent="0.3">
      <c r="A1333" t="s">
        <v>17</v>
      </c>
      <c r="B1333" t="str">
        <f>"603515"</f>
        <v>603515</v>
      </c>
      <c r="C1333" t="s">
        <v>2957</v>
      </c>
      <c r="D1333" t="s">
        <v>598</v>
      </c>
      <c r="F1333">
        <v>79.514300000000006</v>
      </c>
      <c r="G1333">
        <v>86.343500000000006</v>
      </c>
      <c r="H1333">
        <v>82.454899999999995</v>
      </c>
      <c r="I1333">
        <v>82.798599999999993</v>
      </c>
      <c r="J1333">
        <v>73.073499999999996</v>
      </c>
      <c r="K1333">
        <v>77.771699999999996</v>
      </c>
      <c r="L1333">
        <v>46.065600000000003</v>
      </c>
      <c r="P1333">
        <v>2557</v>
      </c>
      <c r="Q1333" t="s">
        <v>2958</v>
      </c>
    </row>
    <row r="1334" spans="1:17" x14ac:dyDescent="0.3">
      <c r="A1334" t="s">
        <v>17</v>
      </c>
      <c r="B1334" t="str">
        <f>"603516"</f>
        <v>603516</v>
      </c>
      <c r="C1334" t="s">
        <v>2959</v>
      </c>
      <c r="D1334" t="s">
        <v>236</v>
      </c>
      <c r="F1334">
        <v>251.15010000000001</v>
      </c>
      <c r="G1334">
        <v>192.98390000000001</v>
      </c>
      <c r="H1334">
        <v>283.63889999999998</v>
      </c>
      <c r="I1334">
        <v>296.3852</v>
      </c>
      <c r="J1334">
        <v>109.0459</v>
      </c>
      <c r="P1334">
        <v>202</v>
      </c>
      <c r="Q1334" t="s">
        <v>2960</v>
      </c>
    </row>
    <row r="1335" spans="1:17" x14ac:dyDescent="0.3">
      <c r="A1335" t="s">
        <v>17</v>
      </c>
      <c r="B1335" t="str">
        <f>"603517"</f>
        <v>603517</v>
      </c>
      <c r="C1335" t="s">
        <v>2961</v>
      </c>
      <c r="D1335" t="s">
        <v>2962</v>
      </c>
      <c r="F1335">
        <v>85.432599999999994</v>
      </c>
      <c r="G1335">
        <v>92.141300000000001</v>
      </c>
      <c r="H1335">
        <v>73.925299999999993</v>
      </c>
      <c r="I1335">
        <v>69.884600000000006</v>
      </c>
      <c r="J1335">
        <v>71.832899999999995</v>
      </c>
      <c r="K1335">
        <v>71.361500000000007</v>
      </c>
      <c r="P1335">
        <v>2367</v>
      </c>
      <c r="Q1335" t="s">
        <v>2963</v>
      </c>
    </row>
    <row r="1336" spans="1:17" x14ac:dyDescent="0.3">
      <c r="A1336" t="s">
        <v>17</v>
      </c>
      <c r="B1336" t="str">
        <f>"603518"</f>
        <v>603518</v>
      </c>
      <c r="C1336" t="s">
        <v>2964</v>
      </c>
      <c r="D1336" t="s">
        <v>255</v>
      </c>
      <c r="F1336">
        <v>402.75779999999997</v>
      </c>
      <c r="G1336">
        <v>565.9049</v>
      </c>
      <c r="H1336">
        <v>604.95809999999994</v>
      </c>
      <c r="I1336">
        <v>468.88209999999998</v>
      </c>
      <c r="J1336">
        <v>388.23270000000002</v>
      </c>
      <c r="K1336">
        <v>598.52750000000003</v>
      </c>
      <c r="L1336">
        <v>451.04680000000002</v>
      </c>
      <c r="M1336">
        <v>360.81290000000001</v>
      </c>
      <c r="N1336">
        <v>185.1842</v>
      </c>
      <c r="P1336">
        <v>204</v>
      </c>
      <c r="Q1336" t="s">
        <v>2965</v>
      </c>
    </row>
    <row r="1337" spans="1:17" x14ac:dyDescent="0.3">
      <c r="A1337" t="s">
        <v>17</v>
      </c>
      <c r="B1337" t="str">
        <f>"603519"</f>
        <v>603519</v>
      </c>
      <c r="C1337" t="s">
        <v>2966</v>
      </c>
      <c r="D1337" t="s">
        <v>1253</v>
      </c>
      <c r="F1337">
        <v>50.808999999999997</v>
      </c>
      <c r="G1337">
        <v>49.244700000000002</v>
      </c>
      <c r="H1337">
        <v>65.583100000000002</v>
      </c>
      <c r="I1337">
        <v>78.254400000000004</v>
      </c>
      <c r="J1337">
        <v>75.778199999999998</v>
      </c>
      <c r="K1337">
        <v>85.819000000000003</v>
      </c>
      <c r="L1337">
        <v>83.0471</v>
      </c>
      <c r="M1337">
        <v>76.757400000000004</v>
      </c>
      <c r="P1337">
        <v>148</v>
      </c>
      <c r="Q1337" t="s">
        <v>2967</v>
      </c>
    </row>
    <row r="1338" spans="1:17" x14ac:dyDescent="0.3">
      <c r="A1338" t="s">
        <v>17</v>
      </c>
      <c r="B1338" t="str">
        <f>"603520"</f>
        <v>603520</v>
      </c>
      <c r="C1338" t="s">
        <v>2968</v>
      </c>
      <c r="D1338" t="s">
        <v>496</v>
      </c>
      <c r="F1338">
        <v>238.84110000000001</v>
      </c>
      <c r="G1338">
        <v>294.73289999999997</v>
      </c>
      <c r="H1338">
        <v>260.96899999999999</v>
      </c>
      <c r="I1338">
        <v>280.04410000000001</v>
      </c>
      <c r="J1338">
        <v>307.048</v>
      </c>
      <c r="K1338">
        <v>274.05329999999998</v>
      </c>
      <c r="L1338">
        <v>242.85730000000001</v>
      </c>
      <c r="P1338">
        <v>382</v>
      </c>
      <c r="Q1338" t="s">
        <v>2969</v>
      </c>
    </row>
    <row r="1339" spans="1:17" x14ac:dyDescent="0.3">
      <c r="A1339" t="s">
        <v>17</v>
      </c>
      <c r="B1339" t="str">
        <f>"603527"</f>
        <v>603527</v>
      </c>
      <c r="C1339" t="s">
        <v>2970</v>
      </c>
      <c r="D1339" t="s">
        <v>263</v>
      </c>
      <c r="F1339">
        <v>37.855800000000002</v>
      </c>
      <c r="G1339">
        <v>44.060699999999997</v>
      </c>
      <c r="H1339">
        <v>37.5199</v>
      </c>
      <c r="I1339">
        <v>34.360700000000001</v>
      </c>
      <c r="J1339">
        <v>32.352600000000002</v>
      </c>
      <c r="K1339">
        <v>13.1213</v>
      </c>
      <c r="P1339">
        <v>53</v>
      </c>
      <c r="Q1339" t="s">
        <v>2971</v>
      </c>
    </row>
    <row r="1340" spans="1:17" x14ac:dyDescent="0.3">
      <c r="A1340" t="s">
        <v>17</v>
      </c>
      <c r="B1340" t="str">
        <f>"603528"</f>
        <v>603528</v>
      </c>
      <c r="C1340" t="s">
        <v>2972</v>
      </c>
      <c r="D1340" t="s">
        <v>945</v>
      </c>
      <c r="F1340">
        <v>277.01889999999997</v>
      </c>
      <c r="G1340">
        <v>546.08360000000005</v>
      </c>
      <c r="H1340">
        <v>656.16390000000001</v>
      </c>
      <c r="I1340">
        <v>857.08180000000004</v>
      </c>
      <c r="J1340">
        <v>637.79480000000001</v>
      </c>
      <c r="K1340">
        <v>509.97329999999999</v>
      </c>
      <c r="L1340">
        <v>371.85129999999998</v>
      </c>
      <c r="P1340">
        <v>195</v>
      </c>
      <c r="Q1340" t="s">
        <v>2973</v>
      </c>
    </row>
    <row r="1341" spans="1:17" x14ac:dyDescent="0.3">
      <c r="A1341" t="s">
        <v>17</v>
      </c>
      <c r="B1341" t="str">
        <f>"603529"</f>
        <v>603529</v>
      </c>
      <c r="C1341" t="s">
        <v>2974</v>
      </c>
      <c r="D1341" t="s">
        <v>233</v>
      </c>
      <c r="F1341">
        <v>17.797699999999999</v>
      </c>
      <c r="P1341">
        <v>73</v>
      </c>
      <c r="Q1341" t="s">
        <v>2975</v>
      </c>
    </row>
    <row r="1342" spans="1:17" x14ac:dyDescent="0.3">
      <c r="A1342" t="s">
        <v>17</v>
      </c>
      <c r="B1342" t="str">
        <f>"603530"</f>
        <v>603530</v>
      </c>
      <c r="C1342" t="s">
        <v>2976</v>
      </c>
      <c r="D1342" t="s">
        <v>1164</v>
      </c>
      <c r="F1342">
        <v>139.80160000000001</v>
      </c>
      <c r="G1342">
        <v>119.86879999999999</v>
      </c>
      <c r="H1342">
        <v>127.5134</v>
      </c>
      <c r="P1342">
        <v>88</v>
      </c>
      <c r="Q1342" t="s">
        <v>2977</v>
      </c>
    </row>
    <row r="1343" spans="1:17" x14ac:dyDescent="0.3">
      <c r="A1343" t="s">
        <v>17</v>
      </c>
      <c r="B1343" t="str">
        <f>"603533"</f>
        <v>603533</v>
      </c>
      <c r="C1343" t="s">
        <v>2978</v>
      </c>
      <c r="D1343" t="s">
        <v>2979</v>
      </c>
      <c r="F1343">
        <v>0.35899999999999999</v>
      </c>
      <c r="G1343">
        <v>0.1578</v>
      </c>
      <c r="H1343">
        <v>9.8673999999999999</v>
      </c>
      <c r="I1343">
        <v>10.968</v>
      </c>
      <c r="J1343">
        <v>2.7881</v>
      </c>
      <c r="P1343">
        <v>872</v>
      </c>
      <c r="Q1343" t="s">
        <v>2980</v>
      </c>
    </row>
    <row r="1344" spans="1:17" x14ac:dyDescent="0.3">
      <c r="A1344" t="s">
        <v>17</v>
      </c>
      <c r="B1344" t="str">
        <f>"603535"</f>
        <v>603535</v>
      </c>
      <c r="C1344" t="s">
        <v>2981</v>
      </c>
      <c r="D1344" t="s">
        <v>287</v>
      </c>
      <c r="F1344">
        <v>118.98869999999999</v>
      </c>
      <c r="G1344">
        <v>103.1962</v>
      </c>
      <c r="H1344">
        <v>116.0818</v>
      </c>
      <c r="I1344">
        <v>67.366600000000005</v>
      </c>
      <c r="J1344">
        <v>53.276299999999999</v>
      </c>
      <c r="P1344">
        <v>85</v>
      </c>
      <c r="Q1344" t="s">
        <v>2982</v>
      </c>
    </row>
    <row r="1345" spans="1:17" x14ac:dyDescent="0.3">
      <c r="A1345" t="s">
        <v>17</v>
      </c>
      <c r="B1345" t="str">
        <f>"603536"</f>
        <v>603536</v>
      </c>
      <c r="C1345" t="s">
        <v>2983</v>
      </c>
      <c r="D1345" t="s">
        <v>2838</v>
      </c>
      <c r="F1345">
        <v>77.957599999999999</v>
      </c>
      <c r="G1345">
        <v>104.4893</v>
      </c>
      <c r="H1345">
        <v>93.505399999999995</v>
      </c>
      <c r="I1345">
        <v>92.096900000000005</v>
      </c>
      <c r="J1345">
        <v>101.2534</v>
      </c>
      <c r="P1345">
        <v>125</v>
      </c>
      <c r="Q1345" t="s">
        <v>2984</v>
      </c>
    </row>
    <row r="1346" spans="1:17" x14ac:dyDescent="0.3">
      <c r="A1346" t="s">
        <v>17</v>
      </c>
      <c r="B1346" t="str">
        <f>"603538"</f>
        <v>603538</v>
      </c>
      <c r="C1346" t="s">
        <v>2985</v>
      </c>
      <c r="D1346" t="s">
        <v>496</v>
      </c>
      <c r="F1346">
        <v>306.6927</v>
      </c>
      <c r="G1346">
        <v>254.00720000000001</v>
      </c>
      <c r="H1346">
        <v>246.9308</v>
      </c>
      <c r="I1346">
        <v>201.35499999999999</v>
      </c>
      <c r="J1346">
        <v>184.17699999999999</v>
      </c>
      <c r="P1346">
        <v>265</v>
      </c>
      <c r="Q1346" t="s">
        <v>2986</v>
      </c>
    </row>
    <row r="1347" spans="1:17" x14ac:dyDescent="0.3">
      <c r="A1347" t="s">
        <v>17</v>
      </c>
      <c r="B1347" t="str">
        <f>"603551"</f>
        <v>603551</v>
      </c>
      <c r="C1347" t="s">
        <v>2987</v>
      </c>
      <c r="D1347" t="s">
        <v>2865</v>
      </c>
      <c r="F1347">
        <v>115.6559</v>
      </c>
      <c r="G1347">
        <v>126.2902</v>
      </c>
      <c r="H1347">
        <v>115.3844</v>
      </c>
      <c r="P1347">
        <v>116</v>
      </c>
      <c r="Q1347" t="s">
        <v>2988</v>
      </c>
    </row>
    <row r="1348" spans="1:17" x14ac:dyDescent="0.3">
      <c r="A1348" t="s">
        <v>17</v>
      </c>
      <c r="B1348" t="str">
        <f>"603555"</f>
        <v>603555</v>
      </c>
      <c r="C1348" t="s">
        <v>2989</v>
      </c>
      <c r="D1348" t="s">
        <v>2990</v>
      </c>
      <c r="F1348">
        <v>145.40639999999999</v>
      </c>
      <c r="G1348">
        <v>210.67269999999999</v>
      </c>
      <c r="H1348">
        <v>252.91499999999999</v>
      </c>
      <c r="I1348">
        <v>126.3849</v>
      </c>
      <c r="J1348">
        <v>141.0342</v>
      </c>
      <c r="K1348">
        <v>72.112499999999997</v>
      </c>
      <c r="L1348">
        <v>92.724500000000006</v>
      </c>
      <c r="M1348">
        <v>69.148799999999994</v>
      </c>
      <c r="N1348">
        <v>28.588799999999999</v>
      </c>
      <c r="P1348">
        <v>81</v>
      </c>
      <c r="Q1348" t="s">
        <v>2991</v>
      </c>
    </row>
    <row r="1349" spans="1:17" x14ac:dyDescent="0.3">
      <c r="A1349" t="s">
        <v>17</v>
      </c>
      <c r="B1349" t="str">
        <f>"603556"</f>
        <v>603556</v>
      </c>
      <c r="C1349" t="s">
        <v>2992</v>
      </c>
      <c r="D1349" t="s">
        <v>2171</v>
      </c>
      <c r="F1349">
        <v>176.0283</v>
      </c>
      <c r="G1349">
        <v>135.8732</v>
      </c>
      <c r="H1349">
        <v>136.16239999999999</v>
      </c>
      <c r="I1349">
        <v>123.53189999999999</v>
      </c>
      <c r="J1349">
        <v>133.80289999999999</v>
      </c>
      <c r="K1349">
        <v>169.98429999999999</v>
      </c>
      <c r="L1349">
        <v>66.434700000000007</v>
      </c>
      <c r="P1349">
        <v>218</v>
      </c>
      <c r="Q1349" t="s">
        <v>2993</v>
      </c>
    </row>
    <row r="1350" spans="1:17" x14ac:dyDescent="0.3">
      <c r="A1350" t="s">
        <v>17</v>
      </c>
      <c r="B1350" t="str">
        <f>"603557"</f>
        <v>603557</v>
      </c>
      <c r="C1350" t="s">
        <v>2994</v>
      </c>
      <c r="D1350" t="s">
        <v>330</v>
      </c>
      <c r="F1350">
        <v>164.59880000000001</v>
      </c>
      <c r="G1350">
        <v>180.08519999999999</v>
      </c>
      <c r="H1350">
        <v>119.9663</v>
      </c>
      <c r="I1350">
        <v>118.7796</v>
      </c>
      <c r="J1350">
        <v>83.352800000000002</v>
      </c>
      <c r="P1350">
        <v>118</v>
      </c>
      <c r="Q1350" t="s">
        <v>2995</v>
      </c>
    </row>
    <row r="1351" spans="1:17" x14ac:dyDescent="0.3">
      <c r="A1351" t="s">
        <v>17</v>
      </c>
      <c r="B1351" t="str">
        <f>"603558"</f>
        <v>603558</v>
      </c>
      <c r="C1351" t="s">
        <v>2996</v>
      </c>
      <c r="D1351" t="s">
        <v>1009</v>
      </c>
      <c r="F1351">
        <v>161.81110000000001</v>
      </c>
      <c r="G1351">
        <v>168.8853</v>
      </c>
      <c r="H1351">
        <v>162.52330000000001</v>
      </c>
      <c r="I1351">
        <v>163.5635</v>
      </c>
      <c r="J1351">
        <v>191.33269999999999</v>
      </c>
      <c r="K1351">
        <v>210.5615</v>
      </c>
      <c r="L1351">
        <v>143.6217</v>
      </c>
      <c r="M1351">
        <v>123.7131</v>
      </c>
      <c r="N1351">
        <v>50.265300000000003</v>
      </c>
      <c r="P1351">
        <v>136</v>
      </c>
      <c r="Q1351" t="s">
        <v>2997</v>
      </c>
    </row>
    <row r="1352" spans="1:17" x14ac:dyDescent="0.3">
      <c r="A1352" t="s">
        <v>17</v>
      </c>
      <c r="B1352" t="str">
        <f>"603559"</f>
        <v>603559</v>
      </c>
      <c r="C1352" t="s">
        <v>2998</v>
      </c>
      <c r="D1352" t="s">
        <v>654</v>
      </c>
      <c r="F1352">
        <v>499.47640000000001</v>
      </c>
      <c r="G1352">
        <v>289.47410000000002</v>
      </c>
      <c r="H1352">
        <v>229.44110000000001</v>
      </c>
      <c r="I1352">
        <v>239.02</v>
      </c>
      <c r="J1352">
        <v>209.369</v>
      </c>
      <c r="K1352">
        <v>189.8014</v>
      </c>
      <c r="L1352">
        <v>52.977400000000003</v>
      </c>
      <c r="P1352">
        <v>159</v>
      </c>
      <c r="Q1352" t="s">
        <v>2999</v>
      </c>
    </row>
    <row r="1353" spans="1:17" x14ac:dyDescent="0.3">
      <c r="A1353" t="s">
        <v>17</v>
      </c>
      <c r="B1353" t="str">
        <f>"603565"</f>
        <v>603565</v>
      </c>
      <c r="C1353" t="s">
        <v>3000</v>
      </c>
      <c r="D1353" t="s">
        <v>69</v>
      </c>
      <c r="F1353">
        <v>4.2218</v>
      </c>
      <c r="G1353">
        <v>4.7123999999999997</v>
      </c>
      <c r="H1353">
        <v>2.0871</v>
      </c>
      <c r="P1353">
        <v>225</v>
      </c>
      <c r="Q1353" t="s">
        <v>3001</v>
      </c>
    </row>
    <row r="1354" spans="1:17" x14ac:dyDescent="0.3">
      <c r="A1354" t="s">
        <v>17</v>
      </c>
      <c r="B1354" t="str">
        <f>"603566"</f>
        <v>603566</v>
      </c>
      <c r="C1354" t="s">
        <v>3002</v>
      </c>
      <c r="D1354" t="s">
        <v>453</v>
      </c>
      <c r="F1354">
        <v>225.70509999999999</v>
      </c>
      <c r="G1354">
        <v>202.2945</v>
      </c>
      <c r="H1354">
        <v>218.8896</v>
      </c>
      <c r="I1354">
        <v>206.8879</v>
      </c>
      <c r="J1354">
        <v>203.41589999999999</v>
      </c>
      <c r="K1354">
        <v>178.23509999999999</v>
      </c>
      <c r="L1354">
        <v>214.5078</v>
      </c>
      <c r="M1354">
        <v>108.2488</v>
      </c>
      <c r="P1354">
        <v>233</v>
      </c>
      <c r="Q1354" t="s">
        <v>3003</v>
      </c>
    </row>
    <row r="1355" spans="1:17" x14ac:dyDescent="0.3">
      <c r="A1355" t="s">
        <v>17</v>
      </c>
      <c r="B1355" t="str">
        <f>"603567"</f>
        <v>603567</v>
      </c>
      <c r="C1355" t="s">
        <v>3004</v>
      </c>
      <c r="D1355" t="s">
        <v>188</v>
      </c>
      <c r="F1355">
        <v>251.11779999999999</v>
      </c>
      <c r="G1355">
        <v>452.08789999999999</v>
      </c>
      <c r="H1355">
        <v>590.84190000000001</v>
      </c>
      <c r="I1355">
        <v>958.55070000000001</v>
      </c>
      <c r="J1355">
        <v>620.1816</v>
      </c>
      <c r="K1355">
        <v>1016.1943</v>
      </c>
      <c r="L1355">
        <v>1071.3941</v>
      </c>
      <c r="M1355">
        <v>383.8861</v>
      </c>
      <c r="P1355">
        <v>134</v>
      </c>
      <c r="Q1355" t="s">
        <v>3005</v>
      </c>
    </row>
    <row r="1356" spans="1:17" x14ac:dyDescent="0.3">
      <c r="A1356" t="s">
        <v>17</v>
      </c>
      <c r="B1356" t="str">
        <f>"603568"</f>
        <v>603568</v>
      </c>
      <c r="C1356" t="s">
        <v>3006</v>
      </c>
      <c r="D1356" t="s">
        <v>499</v>
      </c>
      <c r="F1356">
        <v>30.575399999999998</v>
      </c>
      <c r="G1356">
        <v>55.578400000000002</v>
      </c>
      <c r="H1356">
        <v>61.070599999999999</v>
      </c>
      <c r="I1356">
        <v>75.471299999999999</v>
      </c>
      <c r="J1356">
        <v>99.563400000000001</v>
      </c>
      <c r="K1356">
        <v>93.868600000000001</v>
      </c>
      <c r="L1356">
        <v>91.941800000000001</v>
      </c>
      <c r="M1356">
        <v>25.610600000000002</v>
      </c>
      <c r="P1356">
        <v>16270</v>
      </c>
      <c r="Q1356" t="s">
        <v>3007</v>
      </c>
    </row>
    <row r="1357" spans="1:17" x14ac:dyDescent="0.3">
      <c r="A1357" t="s">
        <v>17</v>
      </c>
      <c r="B1357" t="str">
        <f>"603569"</f>
        <v>603569</v>
      </c>
      <c r="C1357" t="s">
        <v>3008</v>
      </c>
      <c r="D1357" t="s">
        <v>2492</v>
      </c>
      <c r="F1357">
        <v>1.2714000000000001</v>
      </c>
      <c r="G1357">
        <v>0.3745</v>
      </c>
      <c r="H1357">
        <v>0.73919999999999997</v>
      </c>
      <c r="I1357">
        <v>0.2828</v>
      </c>
      <c r="J1357">
        <v>8.1900000000000001E-2</v>
      </c>
      <c r="K1357">
        <v>8.1900000000000001E-2</v>
      </c>
      <c r="L1357">
        <v>5.04E-2</v>
      </c>
      <c r="P1357">
        <v>198</v>
      </c>
      <c r="Q1357" t="s">
        <v>3009</v>
      </c>
    </row>
    <row r="1358" spans="1:17" x14ac:dyDescent="0.3">
      <c r="A1358" t="s">
        <v>17</v>
      </c>
      <c r="B1358" t="str">
        <f>"603577"</f>
        <v>603577</v>
      </c>
      <c r="C1358" t="s">
        <v>3010</v>
      </c>
      <c r="D1358" t="s">
        <v>1164</v>
      </c>
      <c r="F1358">
        <v>234.09479999999999</v>
      </c>
      <c r="G1358">
        <v>267.86829999999998</v>
      </c>
      <c r="H1358">
        <v>386.34800000000001</v>
      </c>
      <c r="I1358">
        <v>458.72030000000001</v>
      </c>
      <c r="J1358">
        <v>441.38839999999999</v>
      </c>
      <c r="K1358">
        <v>332.92410000000001</v>
      </c>
      <c r="L1358">
        <v>171.81970000000001</v>
      </c>
      <c r="P1358">
        <v>90</v>
      </c>
      <c r="Q1358" t="s">
        <v>3011</v>
      </c>
    </row>
    <row r="1359" spans="1:17" x14ac:dyDescent="0.3">
      <c r="A1359" t="s">
        <v>17</v>
      </c>
      <c r="B1359" t="str">
        <f>"603578"</f>
        <v>603578</v>
      </c>
      <c r="C1359" t="s">
        <v>3012</v>
      </c>
      <c r="D1359" t="s">
        <v>1253</v>
      </c>
      <c r="F1359">
        <v>58.178400000000003</v>
      </c>
      <c r="G1359">
        <v>71.675899999999999</v>
      </c>
      <c r="H1359">
        <v>94.572900000000004</v>
      </c>
      <c r="I1359">
        <v>77.2928</v>
      </c>
      <c r="J1359">
        <v>79.220200000000006</v>
      </c>
      <c r="K1359">
        <v>41.294400000000003</v>
      </c>
      <c r="P1359">
        <v>131</v>
      </c>
      <c r="Q1359" t="s">
        <v>3013</v>
      </c>
    </row>
    <row r="1360" spans="1:17" x14ac:dyDescent="0.3">
      <c r="A1360" t="s">
        <v>17</v>
      </c>
      <c r="B1360" t="str">
        <f>"603579"</f>
        <v>603579</v>
      </c>
      <c r="C1360" t="s">
        <v>3014</v>
      </c>
      <c r="D1360" t="s">
        <v>3015</v>
      </c>
      <c r="F1360">
        <v>75.032899999999998</v>
      </c>
      <c r="G1360">
        <v>90.0578</v>
      </c>
      <c r="H1360">
        <v>53.011699999999998</v>
      </c>
      <c r="I1360">
        <v>57.495600000000003</v>
      </c>
      <c r="J1360">
        <v>57.609699999999997</v>
      </c>
      <c r="K1360">
        <v>73.048500000000004</v>
      </c>
      <c r="L1360">
        <v>27.4589</v>
      </c>
      <c r="P1360">
        <v>597</v>
      </c>
      <c r="Q1360" t="s">
        <v>3016</v>
      </c>
    </row>
    <row r="1361" spans="1:17" x14ac:dyDescent="0.3">
      <c r="A1361" t="s">
        <v>17</v>
      </c>
      <c r="B1361" t="str">
        <f>"603580"</f>
        <v>603580</v>
      </c>
      <c r="C1361" t="s">
        <v>3017</v>
      </c>
      <c r="D1361" t="s">
        <v>1192</v>
      </c>
      <c r="F1361">
        <v>231.36859999999999</v>
      </c>
      <c r="G1361">
        <v>277.69299999999998</v>
      </c>
      <c r="H1361">
        <v>273.56819999999999</v>
      </c>
      <c r="I1361">
        <v>259.80840000000001</v>
      </c>
      <c r="J1361">
        <v>273.79520000000002</v>
      </c>
      <c r="K1361">
        <v>123.3779</v>
      </c>
      <c r="P1361">
        <v>57</v>
      </c>
      <c r="Q1361" t="s">
        <v>3018</v>
      </c>
    </row>
    <row r="1362" spans="1:17" x14ac:dyDescent="0.3">
      <c r="A1362" t="s">
        <v>17</v>
      </c>
      <c r="B1362" t="str">
        <f>"603583"</f>
        <v>603583</v>
      </c>
      <c r="C1362" t="s">
        <v>3019</v>
      </c>
      <c r="D1362" t="s">
        <v>2423</v>
      </c>
      <c r="F1362">
        <v>161.98599999999999</v>
      </c>
      <c r="G1362">
        <v>143.38149999999999</v>
      </c>
      <c r="H1362">
        <v>121.749</v>
      </c>
      <c r="I1362">
        <v>115.21210000000001</v>
      </c>
      <c r="J1362">
        <v>37.063299999999998</v>
      </c>
      <c r="P1362">
        <v>704</v>
      </c>
      <c r="Q1362" t="s">
        <v>3020</v>
      </c>
    </row>
    <row r="1363" spans="1:17" x14ac:dyDescent="0.3">
      <c r="A1363" t="s">
        <v>17</v>
      </c>
      <c r="B1363" t="str">
        <f>"603585"</f>
        <v>603585</v>
      </c>
      <c r="C1363" t="s">
        <v>3021</v>
      </c>
      <c r="D1363" t="s">
        <v>853</v>
      </c>
      <c r="F1363">
        <v>66.104399999999998</v>
      </c>
      <c r="G1363">
        <v>88.999899999999997</v>
      </c>
      <c r="H1363">
        <v>96.960999999999999</v>
      </c>
      <c r="I1363">
        <v>93.722399999999993</v>
      </c>
      <c r="J1363">
        <v>82.5321</v>
      </c>
      <c r="K1363">
        <v>70.190299999999993</v>
      </c>
      <c r="P1363">
        <v>546</v>
      </c>
      <c r="Q1363" t="s">
        <v>3022</v>
      </c>
    </row>
    <row r="1364" spans="1:17" x14ac:dyDescent="0.3">
      <c r="A1364" t="s">
        <v>17</v>
      </c>
      <c r="B1364" t="str">
        <f>"603586"</f>
        <v>603586</v>
      </c>
      <c r="C1364" t="s">
        <v>3023</v>
      </c>
      <c r="D1364" t="s">
        <v>348</v>
      </c>
      <c r="F1364">
        <v>120.5598</v>
      </c>
      <c r="G1364">
        <v>140.12280000000001</v>
      </c>
      <c r="H1364">
        <v>125.2426</v>
      </c>
      <c r="I1364">
        <v>118.10299999999999</v>
      </c>
      <c r="J1364">
        <v>116.9354</v>
      </c>
      <c r="P1364">
        <v>109</v>
      </c>
      <c r="Q1364" t="s">
        <v>3024</v>
      </c>
    </row>
    <row r="1365" spans="1:17" x14ac:dyDescent="0.3">
      <c r="A1365" t="s">
        <v>17</v>
      </c>
      <c r="B1365" t="str">
        <f>"603587"</f>
        <v>603587</v>
      </c>
      <c r="C1365" t="s">
        <v>3025</v>
      </c>
      <c r="D1365" t="s">
        <v>255</v>
      </c>
      <c r="F1365">
        <v>240.02510000000001</v>
      </c>
      <c r="G1365">
        <v>302.89269999999999</v>
      </c>
      <c r="H1365">
        <v>242.8613</v>
      </c>
      <c r="I1365">
        <v>268.42439999999999</v>
      </c>
      <c r="J1365">
        <v>122.8105</v>
      </c>
      <c r="P1365">
        <v>1011</v>
      </c>
      <c r="Q1365" t="s">
        <v>3026</v>
      </c>
    </row>
    <row r="1366" spans="1:17" x14ac:dyDescent="0.3">
      <c r="A1366" t="s">
        <v>17</v>
      </c>
      <c r="B1366" t="str">
        <f>"603588"</f>
        <v>603588</v>
      </c>
      <c r="C1366" t="s">
        <v>3027</v>
      </c>
      <c r="D1366" t="s">
        <v>499</v>
      </c>
      <c r="F1366">
        <v>128.14709999999999</v>
      </c>
      <c r="G1366">
        <v>175.36770000000001</v>
      </c>
      <c r="H1366">
        <v>333.18529999999998</v>
      </c>
      <c r="I1366">
        <v>420.73329999999999</v>
      </c>
      <c r="J1366">
        <v>520.96119999999996</v>
      </c>
      <c r="K1366">
        <v>646.08180000000004</v>
      </c>
      <c r="L1366">
        <v>813.80679999999995</v>
      </c>
      <c r="M1366">
        <v>744.92859999999996</v>
      </c>
      <c r="P1366">
        <v>580</v>
      </c>
      <c r="Q1366" t="s">
        <v>3028</v>
      </c>
    </row>
    <row r="1367" spans="1:17" x14ac:dyDescent="0.3">
      <c r="A1367" t="s">
        <v>17</v>
      </c>
      <c r="B1367" t="str">
        <f>"603589"</f>
        <v>603589</v>
      </c>
      <c r="C1367" t="s">
        <v>3029</v>
      </c>
      <c r="D1367" t="s">
        <v>458</v>
      </c>
      <c r="F1367">
        <v>1211.8478</v>
      </c>
      <c r="G1367">
        <v>1420.9599000000001</v>
      </c>
      <c r="H1367">
        <v>838.17430000000002</v>
      </c>
      <c r="I1367">
        <v>813.02</v>
      </c>
      <c r="J1367">
        <v>796.4769</v>
      </c>
      <c r="K1367">
        <v>855.27020000000005</v>
      </c>
      <c r="L1367">
        <v>760.16930000000002</v>
      </c>
      <c r="M1367">
        <v>346.61329999999998</v>
      </c>
      <c r="P1367">
        <v>6961</v>
      </c>
      <c r="Q1367" t="s">
        <v>3030</v>
      </c>
    </row>
    <row r="1368" spans="1:17" x14ac:dyDescent="0.3">
      <c r="A1368" t="s">
        <v>17</v>
      </c>
      <c r="B1368" t="str">
        <f>"603590"</f>
        <v>603590</v>
      </c>
      <c r="C1368" t="s">
        <v>3031</v>
      </c>
      <c r="D1368" t="s">
        <v>1379</v>
      </c>
      <c r="F1368">
        <v>191.99180000000001</v>
      </c>
      <c r="G1368">
        <v>228.58320000000001</v>
      </c>
      <c r="H1368">
        <v>109.3124</v>
      </c>
      <c r="I1368">
        <v>153.4068</v>
      </c>
      <c r="P1368">
        <v>158</v>
      </c>
      <c r="Q1368" t="s">
        <v>3032</v>
      </c>
    </row>
    <row r="1369" spans="1:17" x14ac:dyDescent="0.3">
      <c r="A1369" t="s">
        <v>17</v>
      </c>
      <c r="B1369" t="str">
        <f>"603595"</f>
        <v>603595</v>
      </c>
      <c r="C1369" t="s">
        <v>3033</v>
      </c>
      <c r="D1369" t="s">
        <v>313</v>
      </c>
      <c r="F1369">
        <v>130.47210000000001</v>
      </c>
      <c r="G1369">
        <v>150.30789999999999</v>
      </c>
      <c r="H1369">
        <v>153.0992</v>
      </c>
      <c r="I1369">
        <v>103.6127</v>
      </c>
      <c r="J1369">
        <v>86.583100000000002</v>
      </c>
      <c r="P1369">
        <v>184</v>
      </c>
      <c r="Q1369" t="s">
        <v>3034</v>
      </c>
    </row>
    <row r="1370" spans="1:17" x14ac:dyDescent="0.3">
      <c r="A1370" t="s">
        <v>17</v>
      </c>
      <c r="B1370" t="str">
        <f>"603596"</f>
        <v>603596</v>
      </c>
      <c r="C1370" t="s">
        <v>3035</v>
      </c>
      <c r="D1370" t="s">
        <v>348</v>
      </c>
      <c r="F1370">
        <v>75.094899999999996</v>
      </c>
      <c r="G1370">
        <v>76.673599999999993</v>
      </c>
      <c r="H1370">
        <v>77.257199999999997</v>
      </c>
      <c r="I1370">
        <v>84.351600000000005</v>
      </c>
      <c r="J1370">
        <v>28.6797</v>
      </c>
      <c r="P1370">
        <v>369</v>
      </c>
      <c r="Q1370" t="s">
        <v>3036</v>
      </c>
    </row>
    <row r="1371" spans="1:17" x14ac:dyDescent="0.3">
      <c r="A1371" t="s">
        <v>17</v>
      </c>
      <c r="B1371" t="str">
        <f>"603598"</f>
        <v>603598</v>
      </c>
      <c r="C1371" t="s">
        <v>3037</v>
      </c>
      <c r="D1371" t="s">
        <v>207</v>
      </c>
      <c r="F1371">
        <v>6.9999999999999999E-4</v>
      </c>
      <c r="G1371">
        <v>0</v>
      </c>
      <c r="H1371">
        <v>0</v>
      </c>
      <c r="I1371">
        <v>3.5000000000000001E-3</v>
      </c>
      <c r="J1371">
        <v>9.5799999999999996E-2</v>
      </c>
      <c r="K1371">
        <v>4.5100000000000001E-2</v>
      </c>
      <c r="L1371">
        <v>0</v>
      </c>
      <c r="M1371">
        <v>0</v>
      </c>
      <c r="P1371">
        <v>113</v>
      </c>
      <c r="Q1371" t="s">
        <v>3038</v>
      </c>
    </row>
    <row r="1372" spans="1:17" x14ac:dyDescent="0.3">
      <c r="A1372" t="s">
        <v>17</v>
      </c>
      <c r="B1372" t="str">
        <f>"603599"</f>
        <v>603599</v>
      </c>
      <c r="C1372" t="s">
        <v>3039</v>
      </c>
      <c r="D1372" t="s">
        <v>853</v>
      </c>
      <c r="F1372">
        <v>126.9787</v>
      </c>
      <c r="G1372">
        <v>99.608599999999996</v>
      </c>
      <c r="H1372">
        <v>97.033000000000001</v>
      </c>
      <c r="I1372">
        <v>113.5519</v>
      </c>
      <c r="J1372">
        <v>153.24359999999999</v>
      </c>
      <c r="K1372">
        <v>211.84960000000001</v>
      </c>
      <c r="L1372">
        <v>155.99029999999999</v>
      </c>
      <c r="M1372">
        <v>39.075600000000001</v>
      </c>
      <c r="P1372">
        <v>304</v>
      </c>
      <c r="Q1372" t="s">
        <v>3040</v>
      </c>
    </row>
    <row r="1373" spans="1:17" x14ac:dyDescent="0.3">
      <c r="A1373" t="s">
        <v>17</v>
      </c>
      <c r="B1373" t="str">
        <f>"603600"</f>
        <v>603600</v>
      </c>
      <c r="C1373" t="s">
        <v>3041</v>
      </c>
      <c r="D1373" t="s">
        <v>757</v>
      </c>
      <c r="F1373">
        <v>92.233800000000002</v>
      </c>
      <c r="G1373">
        <v>82.313000000000002</v>
      </c>
      <c r="H1373">
        <v>64.639499999999998</v>
      </c>
      <c r="I1373">
        <v>66.397800000000004</v>
      </c>
      <c r="J1373">
        <v>58.826599999999999</v>
      </c>
      <c r="K1373">
        <v>50.1721</v>
      </c>
      <c r="L1373">
        <v>52.660699999999999</v>
      </c>
      <c r="M1373">
        <v>62.000900000000001</v>
      </c>
      <c r="P1373">
        <v>290</v>
      </c>
      <c r="Q1373" t="s">
        <v>3042</v>
      </c>
    </row>
    <row r="1374" spans="1:17" x14ac:dyDescent="0.3">
      <c r="A1374" t="s">
        <v>17</v>
      </c>
      <c r="B1374" t="str">
        <f>"603601"</f>
        <v>603601</v>
      </c>
      <c r="C1374" t="s">
        <v>3043</v>
      </c>
      <c r="D1374" t="s">
        <v>411</v>
      </c>
      <c r="F1374">
        <v>83.520399999999995</v>
      </c>
      <c r="G1374">
        <v>84.340599999999995</v>
      </c>
      <c r="H1374">
        <v>105.78440000000001</v>
      </c>
      <c r="I1374">
        <v>85.077699999999993</v>
      </c>
      <c r="J1374">
        <v>122.4209</v>
      </c>
      <c r="K1374">
        <v>89.9</v>
      </c>
      <c r="L1374">
        <v>104.3434</v>
      </c>
      <c r="M1374">
        <v>102.7638</v>
      </c>
      <c r="P1374">
        <v>500</v>
      </c>
      <c r="Q1374" t="s">
        <v>3044</v>
      </c>
    </row>
    <row r="1375" spans="1:17" x14ac:dyDescent="0.3">
      <c r="A1375" t="s">
        <v>17</v>
      </c>
      <c r="B1375" t="str">
        <f>"603602"</f>
        <v>603602</v>
      </c>
      <c r="C1375" t="s">
        <v>3045</v>
      </c>
      <c r="D1375" t="s">
        <v>654</v>
      </c>
      <c r="F1375">
        <v>255.93299999999999</v>
      </c>
      <c r="G1375">
        <v>389.20600000000002</v>
      </c>
      <c r="H1375">
        <v>227.48509999999999</v>
      </c>
      <c r="I1375">
        <v>352.0856</v>
      </c>
      <c r="J1375">
        <v>446.83100000000002</v>
      </c>
      <c r="P1375">
        <v>193</v>
      </c>
      <c r="Q1375" t="s">
        <v>3046</v>
      </c>
    </row>
    <row r="1376" spans="1:17" x14ac:dyDescent="0.3">
      <c r="A1376" t="s">
        <v>17</v>
      </c>
      <c r="B1376" t="str">
        <f>"603603"</f>
        <v>603603</v>
      </c>
      <c r="C1376" t="s">
        <v>3047</v>
      </c>
      <c r="D1376" t="s">
        <v>33</v>
      </c>
      <c r="F1376">
        <v>93.543999999999997</v>
      </c>
      <c r="G1376">
        <v>170.1404</v>
      </c>
      <c r="H1376">
        <v>198.43020000000001</v>
      </c>
      <c r="I1376">
        <v>131.4727</v>
      </c>
      <c r="J1376">
        <v>334.7602</v>
      </c>
      <c r="K1376">
        <v>83.527100000000004</v>
      </c>
      <c r="L1376">
        <v>98.609399999999994</v>
      </c>
      <c r="P1376">
        <v>118</v>
      </c>
      <c r="Q1376" t="s">
        <v>3048</v>
      </c>
    </row>
    <row r="1377" spans="1:17" x14ac:dyDescent="0.3">
      <c r="A1377" t="s">
        <v>17</v>
      </c>
      <c r="B1377" t="str">
        <f>"603605"</f>
        <v>603605</v>
      </c>
      <c r="C1377" t="s">
        <v>3049</v>
      </c>
      <c r="D1377" t="s">
        <v>709</v>
      </c>
      <c r="F1377">
        <v>159.7724</v>
      </c>
      <c r="G1377">
        <v>139.69739999999999</v>
      </c>
      <c r="H1377">
        <v>122.94929999999999</v>
      </c>
      <c r="I1377">
        <v>138.87139999999999</v>
      </c>
      <c r="J1377">
        <v>175.3484</v>
      </c>
      <c r="P1377">
        <v>1725</v>
      </c>
      <c r="Q1377" t="s">
        <v>3050</v>
      </c>
    </row>
    <row r="1378" spans="1:17" x14ac:dyDescent="0.3">
      <c r="A1378" t="s">
        <v>17</v>
      </c>
      <c r="B1378" t="str">
        <f>"603606"</f>
        <v>603606</v>
      </c>
      <c r="C1378" t="s">
        <v>3051</v>
      </c>
      <c r="D1378" t="s">
        <v>1164</v>
      </c>
      <c r="F1378">
        <v>102.6237</v>
      </c>
      <c r="G1378">
        <v>101.3639</v>
      </c>
      <c r="H1378">
        <v>109.6948</v>
      </c>
      <c r="I1378">
        <v>134.02090000000001</v>
      </c>
      <c r="J1378">
        <v>127.1918</v>
      </c>
      <c r="K1378">
        <v>153.0138</v>
      </c>
      <c r="L1378">
        <v>113.9675</v>
      </c>
      <c r="M1378">
        <v>134.96350000000001</v>
      </c>
      <c r="N1378">
        <v>72.509500000000003</v>
      </c>
      <c r="P1378">
        <v>1568</v>
      </c>
      <c r="Q1378" t="s">
        <v>3052</v>
      </c>
    </row>
    <row r="1379" spans="1:17" x14ac:dyDescent="0.3">
      <c r="A1379" t="s">
        <v>17</v>
      </c>
      <c r="B1379" t="str">
        <f>"603607"</f>
        <v>603607</v>
      </c>
      <c r="C1379" t="s">
        <v>3053</v>
      </c>
      <c r="D1379" t="s">
        <v>2439</v>
      </c>
      <c r="F1379">
        <v>100.995</v>
      </c>
      <c r="G1379">
        <v>105.99769999999999</v>
      </c>
      <c r="H1379">
        <v>109.52079999999999</v>
      </c>
      <c r="I1379">
        <v>129.1677</v>
      </c>
      <c r="J1379">
        <v>120.392</v>
      </c>
      <c r="P1379">
        <v>109</v>
      </c>
      <c r="Q1379" t="s">
        <v>3054</v>
      </c>
    </row>
    <row r="1380" spans="1:17" x14ac:dyDescent="0.3">
      <c r="A1380" t="s">
        <v>17</v>
      </c>
      <c r="B1380" t="str">
        <f>"603608"</f>
        <v>603608</v>
      </c>
      <c r="C1380" t="s">
        <v>3055</v>
      </c>
      <c r="D1380" t="s">
        <v>330</v>
      </c>
      <c r="F1380">
        <v>254.40690000000001</v>
      </c>
      <c r="G1380">
        <v>287.2072</v>
      </c>
      <c r="H1380">
        <v>251.72980000000001</v>
      </c>
      <c r="I1380">
        <v>257.50709999999998</v>
      </c>
      <c r="J1380">
        <v>299.00470000000001</v>
      </c>
      <c r="K1380">
        <v>363.72859999999997</v>
      </c>
      <c r="P1380">
        <v>138</v>
      </c>
      <c r="Q1380" t="s">
        <v>3056</v>
      </c>
    </row>
    <row r="1381" spans="1:17" x14ac:dyDescent="0.3">
      <c r="A1381" t="s">
        <v>17</v>
      </c>
      <c r="B1381" t="str">
        <f>"603609"</f>
        <v>603609</v>
      </c>
      <c r="C1381" t="s">
        <v>3057</v>
      </c>
      <c r="D1381" t="s">
        <v>2859</v>
      </c>
      <c r="F1381">
        <v>43.070300000000003</v>
      </c>
      <c r="G1381">
        <v>41.680700000000002</v>
      </c>
      <c r="H1381">
        <v>43.212800000000001</v>
      </c>
      <c r="I1381">
        <v>44.028700000000001</v>
      </c>
      <c r="J1381">
        <v>47.071199999999997</v>
      </c>
      <c r="K1381">
        <v>47.297400000000003</v>
      </c>
      <c r="L1381">
        <v>49.2102</v>
      </c>
      <c r="M1381">
        <v>56.401499999999999</v>
      </c>
      <c r="N1381">
        <v>30.2331</v>
      </c>
      <c r="P1381">
        <v>507</v>
      </c>
      <c r="Q1381" t="s">
        <v>3058</v>
      </c>
    </row>
    <row r="1382" spans="1:17" x14ac:dyDescent="0.3">
      <c r="A1382" t="s">
        <v>17</v>
      </c>
      <c r="B1382" t="str">
        <f>"603610"</f>
        <v>603610</v>
      </c>
      <c r="C1382" t="s">
        <v>3059</v>
      </c>
      <c r="D1382" t="s">
        <v>757</v>
      </c>
      <c r="F1382">
        <v>152.74510000000001</v>
      </c>
      <c r="G1382">
        <v>123.3297</v>
      </c>
      <c r="H1382">
        <v>74.884399999999999</v>
      </c>
      <c r="P1382">
        <v>230</v>
      </c>
      <c r="Q1382" t="s">
        <v>3060</v>
      </c>
    </row>
    <row r="1383" spans="1:17" x14ac:dyDescent="0.3">
      <c r="A1383" t="s">
        <v>17</v>
      </c>
      <c r="B1383" t="str">
        <f>"603611"</f>
        <v>603611</v>
      </c>
      <c r="C1383" t="s">
        <v>3061</v>
      </c>
      <c r="D1383" t="s">
        <v>83</v>
      </c>
      <c r="F1383">
        <v>195.9376</v>
      </c>
      <c r="G1383">
        <v>238.9308</v>
      </c>
      <c r="H1383">
        <v>243.6559</v>
      </c>
      <c r="I1383">
        <v>201.5522</v>
      </c>
      <c r="J1383">
        <v>160.96619999999999</v>
      </c>
      <c r="K1383">
        <v>75.752099999999999</v>
      </c>
      <c r="L1383">
        <v>96.385400000000004</v>
      </c>
      <c r="M1383">
        <v>101.1161</v>
      </c>
      <c r="N1383">
        <v>45.005699999999997</v>
      </c>
      <c r="P1383">
        <v>315</v>
      </c>
      <c r="Q1383" t="s">
        <v>3062</v>
      </c>
    </row>
    <row r="1384" spans="1:17" x14ac:dyDescent="0.3">
      <c r="A1384" t="s">
        <v>17</v>
      </c>
      <c r="B1384" t="str">
        <f>"603612"</f>
        <v>603612</v>
      </c>
      <c r="C1384" t="s">
        <v>3063</v>
      </c>
      <c r="D1384" t="s">
        <v>2739</v>
      </c>
      <c r="F1384">
        <v>106.8772</v>
      </c>
      <c r="G1384">
        <v>121.90309999999999</v>
      </c>
      <c r="H1384">
        <v>149.98849999999999</v>
      </c>
      <c r="I1384">
        <v>132.07599999999999</v>
      </c>
      <c r="J1384">
        <v>116.88039999999999</v>
      </c>
      <c r="P1384">
        <v>162</v>
      </c>
      <c r="Q1384" t="s">
        <v>3064</v>
      </c>
    </row>
    <row r="1385" spans="1:17" x14ac:dyDescent="0.3">
      <c r="A1385" t="s">
        <v>17</v>
      </c>
      <c r="B1385" t="str">
        <f>"603613"</f>
        <v>603613</v>
      </c>
      <c r="C1385" t="s">
        <v>3065</v>
      </c>
      <c r="D1385" t="s">
        <v>3066</v>
      </c>
      <c r="F1385">
        <v>0.95820000000000005</v>
      </c>
      <c r="G1385">
        <v>0.86950000000000005</v>
      </c>
      <c r="H1385">
        <v>3.016</v>
      </c>
      <c r="I1385">
        <v>1.7222999999999999</v>
      </c>
      <c r="P1385">
        <v>827</v>
      </c>
      <c r="Q1385" t="s">
        <v>3067</v>
      </c>
    </row>
    <row r="1386" spans="1:17" x14ac:dyDescent="0.3">
      <c r="A1386" t="s">
        <v>17</v>
      </c>
      <c r="B1386" t="str">
        <f>"603615"</f>
        <v>603615</v>
      </c>
      <c r="C1386" t="s">
        <v>3068</v>
      </c>
      <c r="D1386" t="s">
        <v>2436</v>
      </c>
      <c r="F1386">
        <v>179.2757</v>
      </c>
      <c r="G1386">
        <v>204.24780000000001</v>
      </c>
      <c r="H1386">
        <v>138.13079999999999</v>
      </c>
      <c r="I1386">
        <v>133.01849999999999</v>
      </c>
      <c r="J1386">
        <v>130.98560000000001</v>
      </c>
      <c r="K1386">
        <v>81.623500000000007</v>
      </c>
      <c r="P1386">
        <v>107</v>
      </c>
      <c r="Q1386" t="s">
        <v>3069</v>
      </c>
    </row>
    <row r="1387" spans="1:17" x14ac:dyDescent="0.3">
      <c r="A1387" t="s">
        <v>17</v>
      </c>
      <c r="B1387" t="str">
        <f>"603616"</f>
        <v>603616</v>
      </c>
      <c r="C1387" t="s">
        <v>3070</v>
      </c>
      <c r="D1387" t="s">
        <v>3071</v>
      </c>
      <c r="F1387">
        <v>179.44149999999999</v>
      </c>
      <c r="G1387">
        <v>330.45600000000002</v>
      </c>
      <c r="H1387">
        <v>200.02610000000001</v>
      </c>
      <c r="I1387">
        <v>205.25129999999999</v>
      </c>
      <c r="J1387">
        <v>244.52969999999999</v>
      </c>
      <c r="K1387">
        <v>185.4186</v>
      </c>
      <c r="L1387">
        <v>212.4084</v>
      </c>
      <c r="M1387">
        <v>66.797899999999998</v>
      </c>
      <c r="P1387">
        <v>71</v>
      </c>
      <c r="Q1387" t="s">
        <v>3072</v>
      </c>
    </row>
    <row r="1388" spans="1:17" x14ac:dyDescent="0.3">
      <c r="A1388" t="s">
        <v>17</v>
      </c>
      <c r="B1388" t="str">
        <f>"603617"</f>
        <v>603617</v>
      </c>
      <c r="C1388" t="s">
        <v>3073</v>
      </c>
      <c r="D1388" t="s">
        <v>560</v>
      </c>
      <c r="F1388">
        <v>176.3229</v>
      </c>
      <c r="G1388">
        <v>147.4419</v>
      </c>
      <c r="H1388">
        <v>143.8665</v>
      </c>
      <c r="I1388">
        <v>130.67429999999999</v>
      </c>
      <c r="J1388">
        <v>123.316</v>
      </c>
      <c r="P1388">
        <v>104</v>
      </c>
      <c r="Q1388" t="s">
        <v>3074</v>
      </c>
    </row>
    <row r="1389" spans="1:17" x14ac:dyDescent="0.3">
      <c r="A1389" t="s">
        <v>17</v>
      </c>
      <c r="B1389" t="str">
        <f>"603618"</f>
        <v>603618</v>
      </c>
      <c r="C1389" t="s">
        <v>3075</v>
      </c>
      <c r="D1389" t="s">
        <v>1164</v>
      </c>
      <c r="F1389">
        <v>126.96550000000001</v>
      </c>
      <c r="G1389">
        <v>129.53749999999999</v>
      </c>
      <c r="H1389">
        <v>153.62520000000001</v>
      </c>
      <c r="I1389">
        <v>160.31319999999999</v>
      </c>
      <c r="J1389">
        <v>157.64279999999999</v>
      </c>
      <c r="K1389">
        <v>150.93039999999999</v>
      </c>
      <c r="L1389">
        <v>163.1019</v>
      </c>
      <c r="M1389">
        <v>89.165599999999998</v>
      </c>
      <c r="P1389">
        <v>169</v>
      </c>
      <c r="Q1389" t="s">
        <v>3076</v>
      </c>
    </row>
    <row r="1390" spans="1:17" x14ac:dyDescent="0.3">
      <c r="A1390" t="s">
        <v>17</v>
      </c>
      <c r="B1390" t="str">
        <f>"603619"</f>
        <v>603619</v>
      </c>
      <c r="C1390" t="s">
        <v>3077</v>
      </c>
      <c r="D1390" t="s">
        <v>1758</v>
      </c>
      <c r="F1390">
        <v>190.30840000000001</v>
      </c>
      <c r="G1390">
        <v>148.82400000000001</v>
      </c>
      <c r="H1390">
        <v>112.9575</v>
      </c>
      <c r="I1390">
        <v>159.06280000000001</v>
      </c>
      <c r="J1390">
        <v>126.43640000000001</v>
      </c>
      <c r="P1390">
        <v>74</v>
      </c>
      <c r="Q1390" t="s">
        <v>3078</v>
      </c>
    </row>
    <row r="1391" spans="1:17" x14ac:dyDescent="0.3">
      <c r="A1391" t="s">
        <v>17</v>
      </c>
      <c r="B1391" t="str">
        <f>"603626"</f>
        <v>603626</v>
      </c>
      <c r="C1391" t="s">
        <v>3079</v>
      </c>
      <c r="D1391" t="s">
        <v>313</v>
      </c>
      <c r="F1391">
        <v>74.8459</v>
      </c>
      <c r="G1391">
        <v>50.791200000000003</v>
      </c>
      <c r="H1391">
        <v>112.5766</v>
      </c>
      <c r="I1391">
        <v>73.785300000000007</v>
      </c>
      <c r="J1391">
        <v>46.042000000000002</v>
      </c>
      <c r="K1391">
        <v>39.909300000000002</v>
      </c>
      <c r="L1391">
        <v>15.206799999999999</v>
      </c>
      <c r="P1391">
        <v>173</v>
      </c>
      <c r="Q1391" t="s">
        <v>3080</v>
      </c>
    </row>
    <row r="1392" spans="1:17" x14ac:dyDescent="0.3">
      <c r="A1392" t="s">
        <v>17</v>
      </c>
      <c r="B1392" t="str">
        <f>"603628"</f>
        <v>603628</v>
      </c>
      <c r="C1392" t="s">
        <v>3081</v>
      </c>
      <c r="D1392" t="s">
        <v>478</v>
      </c>
      <c r="F1392">
        <v>87.51</v>
      </c>
      <c r="G1392">
        <v>242.84520000000001</v>
      </c>
      <c r="H1392">
        <v>475.57940000000002</v>
      </c>
      <c r="I1392">
        <v>426.83089999999999</v>
      </c>
      <c r="J1392">
        <v>264.44490000000002</v>
      </c>
      <c r="K1392">
        <v>342.64089999999999</v>
      </c>
      <c r="P1392">
        <v>80</v>
      </c>
      <c r="Q1392" t="s">
        <v>3082</v>
      </c>
    </row>
    <row r="1393" spans="1:17" x14ac:dyDescent="0.3">
      <c r="A1393" t="s">
        <v>17</v>
      </c>
      <c r="B1393" t="str">
        <f>"603629"</f>
        <v>603629</v>
      </c>
      <c r="C1393" t="s">
        <v>3083</v>
      </c>
      <c r="D1393" t="s">
        <v>313</v>
      </c>
      <c r="F1393">
        <v>123.0376</v>
      </c>
      <c r="G1393">
        <v>135.0335</v>
      </c>
      <c r="H1393">
        <v>153.6354</v>
      </c>
      <c r="I1393">
        <v>139.4983</v>
      </c>
      <c r="P1393">
        <v>51</v>
      </c>
      <c r="Q1393" t="s">
        <v>3084</v>
      </c>
    </row>
    <row r="1394" spans="1:17" x14ac:dyDescent="0.3">
      <c r="A1394" t="s">
        <v>17</v>
      </c>
      <c r="B1394" t="str">
        <f>"603630"</f>
        <v>603630</v>
      </c>
      <c r="C1394" t="s">
        <v>3085</v>
      </c>
      <c r="D1394" t="s">
        <v>709</v>
      </c>
      <c r="F1394">
        <v>203.9572</v>
      </c>
      <c r="G1394">
        <v>261.59519999999998</v>
      </c>
      <c r="H1394">
        <v>361.76089999999999</v>
      </c>
      <c r="I1394">
        <v>382.67079999999999</v>
      </c>
      <c r="J1394">
        <v>286.86099999999999</v>
      </c>
      <c r="P1394">
        <v>148</v>
      </c>
      <c r="Q1394" t="s">
        <v>3086</v>
      </c>
    </row>
    <row r="1395" spans="1:17" x14ac:dyDescent="0.3">
      <c r="A1395" t="s">
        <v>17</v>
      </c>
      <c r="B1395" t="str">
        <f>"603633"</f>
        <v>603633</v>
      </c>
      <c r="C1395" t="s">
        <v>3087</v>
      </c>
      <c r="D1395" t="s">
        <v>313</v>
      </c>
      <c r="F1395">
        <v>407.11649999999997</v>
      </c>
      <c r="G1395">
        <v>431.6198</v>
      </c>
      <c r="H1395">
        <v>421.21690000000001</v>
      </c>
      <c r="I1395">
        <v>359.0711</v>
      </c>
      <c r="J1395">
        <v>415.94490000000002</v>
      </c>
      <c r="K1395">
        <v>225.15260000000001</v>
      </c>
      <c r="P1395">
        <v>90</v>
      </c>
      <c r="Q1395" t="s">
        <v>3088</v>
      </c>
    </row>
    <row r="1396" spans="1:17" x14ac:dyDescent="0.3">
      <c r="A1396" t="s">
        <v>17</v>
      </c>
      <c r="B1396" t="str">
        <f>"603636"</f>
        <v>603636</v>
      </c>
      <c r="C1396" t="s">
        <v>3089</v>
      </c>
      <c r="D1396" t="s">
        <v>316</v>
      </c>
      <c r="F1396">
        <v>476.06880000000001</v>
      </c>
      <c r="G1396">
        <v>521.05650000000003</v>
      </c>
      <c r="H1396">
        <v>339.11869999999999</v>
      </c>
      <c r="I1396">
        <v>395.3569</v>
      </c>
      <c r="J1396">
        <v>490.10570000000001</v>
      </c>
      <c r="K1396">
        <v>481.42320000000001</v>
      </c>
      <c r="L1396">
        <v>523.50199999999995</v>
      </c>
      <c r="P1396">
        <v>202</v>
      </c>
      <c r="Q1396" t="s">
        <v>3090</v>
      </c>
    </row>
    <row r="1397" spans="1:17" x14ac:dyDescent="0.3">
      <c r="A1397" t="s">
        <v>17</v>
      </c>
      <c r="B1397" t="str">
        <f>"603637"</f>
        <v>603637</v>
      </c>
      <c r="C1397" t="s">
        <v>3091</v>
      </c>
      <c r="D1397" t="s">
        <v>2019</v>
      </c>
      <c r="F1397">
        <v>4.6734999999999998</v>
      </c>
      <c r="G1397">
        <v>49.469900000000003</v>
      </c>
      <c r="H1397">
        <v>75.1815</v>
      </c>
      <c r="I1397">
        <v>149.7996</v>
      </c>
      <c r="J1397">
        <v>391.14299999999997</v>
      </c>
      <c r="K1397">
        <v>198.03569999999999</v>
      </c>
      <c r="L1397">
        <v>31.023700000000002</v>
      </c>
      <c r="P1397">
        <v>70</v>
      </c>
      <c r="Q1397" t="s">
        <v>3092</v>
      </c>
    </row>
    <row r="1398" spans="1:17" x14ac:dyDescent="0.3">
      <c r="A1398" t="s">
        <v>17</v>
      </c>
      <c r="B1398" t="str">
        <f>"603638"</f>
        <v>603638</v>
      </c>
      <c r="C1398" t="s">
        <v>3093</v>
      </c>
      <c r="D1398" t="s">
        <v>2001</v>
      </c>
      <c r="F1398">
        <v>190.39349999999999</v>
      </c>
      <c r="G1398">
        <v>206.2089</v>
      </c>
      <c r="H1398">
        <v>238.90969999999999</v>
      </c>
      <c r="I1398">
        <v>205.07</v>
      </c>
      <c r="J1398">
        <v>185.7963</v>
      </c>
      <c r="K1398">
        <v>93.929199999999994</v>
      </c>
      <c r="L1398">
        <v>117.8844</v>
      </c>
      <c r="P1398">
        <v>665</v>
      </c>
      <c r="Q1398" t="s">
        <v>3094</v>
      </c>
    </row>
    <row r="1399" spans="1:17" x14ac:dyDescent="0.3">
      <c r="A1399" t="s">
        <v>17</v>
      </c>
      <c r="B1399" t="str">
        <f>"603639"</f>
        <v>603639</v>
      </c>
      <c r="C1399" t="s">
        <v>3095</v>
      </c>
      <c r="D1399" t="s">
        <v>853</v>
      </c>
      <c r="F1399">
        <v>138.47970000000001</v>
      </c>
      <c r="G1399">
        <v>138.71870000000001</v>
      </c>
      <c r="H1399">
        <v>176.6977</v>
      </c>
      <c r="I1399">
        <v>147.78049999999999</v>
      </c>
      <c r="J1399">
        <v>95.236999999999995</v>
      </c>
      <c r="K1399">
        <v>98.921599999999998</v>
      </c>
      <c r="L1399">
        <v>95.194999999999993</v>
      </c>
      <c r="P1399">
        <v>1565</v>
      </c>
      <c r="Q1399" t="s">
        <v>3096</v>
      </c>
    </row>
    <row r="1400" spans="1:17" x14ac:dyDescent="0.3">
      <c r="A1400" t="s">
        <v>17</v>
      </c>
      <c r="B1400" t="str">
        <f>"603648"</f>
        <v>603648</v>
      </c>
      <c r="C1400" t="s">
        <v>3097</v>
      </c>
      <c r="D1400" t="s">
        <v>3098</v>
      </c>
      <c r="F1400">
        <v>15.148899999999999</v>
      </c>
      <c r="G1400">
        <v>14.226900000000001</v>
      </c>
      <c r="H1400">
        <v>10.4345</v>
      </c>
      <c r="I1400">
        <v>5.6062000000000003</v>
      </c>
      <c r="J1400">
        <v>0.8821</v>
      </c>
      <c r="P1400">
        <v>72</v>
      </c>
      <c r="Q1400" t="s">
        <v>3099</v>
      </c>
    </row>
    <row r="1401" spans="1:17" x14ac:dyDescent="0.3">
      <c r="A1401" t="s">
        <v>17</v>
      </c>
      <c r="B1401" t="str">
        <f>"603650"</f>
        <v>603650</v>
      </c>
      <c r="C1401" t="s">
        <v>3100</v>
      </c>
      <c r="D1401" t="s">
        <v>3101</v>
      </c>
      <c r="F1401">
        <v>53.892099999999999</v>
      </c>
      <c r="G1401">
        <v>61.638199999999998</v>
      </c>
      <c r="H1401">
        <v>58.205300000000001</v>
      </c>
      <c r="I1401">
        <v>50.845799999999997</v>
      </c>
      <c r="P1401">
        <v>258</v>
      </c>
      <c r="Q1401" t="s">
        <v>3102</v>
      </c>
    </row>
    <row r="1402" spans="1:17" x14ac:dyDescent="0.3">
      <c r="A1402" t="s">
        <v>17</v>
      </c>
      <c r="B1402" t="str">
        <f>"603655"</f>
        <v>603655</v>
      </c>
      <c r="C1402" t="s">
        <v>3103</v>
      </c>
      <c r="D1402" t="s">
        <v>985</v>
      </c>
      <c r="F1402">
        <v>96.129599999999996</v>
      </c>
      <c r="G1402">
        <v>103.999</v>
      </c>
      <c r="H1402">
        <v>109.93389999999999</v>
      </c>
      <c r="I1402">
        <v>93.263999999999996</v>
      </c>
      <c r="J1402">
        <v>99.226399999999998</v>
      </c>
      <c r="P1402">
        <v>88</v>
      </c>
      <c r="Q1402" t="s">
        <v>3104</v>
      </c>
    </row>
    <row r="1403" spans="1:17" x14ac:dyDescent="0.3">
      <c r="A1403" t="s">
        <v>17</v>
      </c>
      <c r="B1403" t="str">
        <f>"603656"</f>
        <v>603656</v>
      </c>
      <c r="C1403" t="s">
        <v>3105</v>
      </c>
      <c r="D1403" t="s">
        <v>741</v>
      </c>
      <c r="F1403">
        <v>319.72730000000001</v>
      </c>
      <c r="G1403">
        <v>231.1969</v>
      </c>
      <c r="H1403">
        <v>253.73179999999999</v>
      </c>
      <c r="I1403">
        <v>228.60579999999999</v>
      </c>
      <c r="J1403">
        <v>223.9093</v>
      </c>
      <c r="K1403">
        <v>187.44929999999999</v>
      </c>
      <c r="P1403">
        <v>80</v>
      </c>
      <c r="Q1403" t="s">
        <v>3106</v>
      </c>
    </row>
    <row r="1404" spans="1:17" x14ac:dyDescent="0.3">
      <c r="A1404" t="s">
        <v>17</v>
      </c>
      <c r="B1404" t="str">
        <f>"603657"</f>
        <v>603657</v>
      </c>
      <c r="C1404" t="s">
        <v>3107</v>
      </c>
      <c r="D1404" t="s">
        <v>1253</v>
      </c>
      <c r="F1404">
        <v>93.582700000000003</v>
      </c>
      <c r="G1404">
        <v>66.563599999999994</v>
      </c>
      <c r="H1404">
        <v>59.524700000000003</v>
      </c>
      <c r="I1404">
        <v>64.650999999999996</v>
      </c>
      <c r="P1404">
        <v>152</v>
      </c>
      <c r="Q1404" t="s">
        <v>3108</v>
      </c>
    </row>
    <row r="1405" spans="1:17" x14ac:dyDescent="0.3">
      <c r="A1405" t="s">
        <v>17</v>
      </c>
      <c r="B1405" t="str">
        <f>"603658"</f>
        <v>603658</v>
      </c>
      <c r="C1405" t="s">
        <v>3109</v>
      </c>
      <c r="D1405" t="s">
        <v>1305</v>
      </c>
      <c r="F1405">
        <v>176.41919999999999</v>
      </c>
      <c r="G1405">
        <v>191.2379</v>
      </c>
      <c r="H1405">
        <v>164.17189999999999</v>
      </c>
      <c r="I1405">
        <v>181.2877</v>
      </c>
      <c r="J1405">
        <v>139.70949999999999</v>
      </c>
      <c r="K1405">
        <v>179.20230000000001</v>
      </c>
      <c r="L1405">
        <v>84.141999999999996</v>
      </c>
      <c r="P1405">
        <v>2606</v>
      </c>
      <c r="Q1405" t="s">
        <v>3110</v>
      </c>
    </row>
    <row r="1406" spans="1:17" x14ac:dyDescent="0.3">
      <c r="A1406" t="s">
        <v>17</v>
      </c>
      <c r="B1406" t="str">
        <f>"603659"</f>
        <v>603659</v>
      </c>
      <c r="C1406" t="s">
        <v>3111</v>
      </c>
      <c r="D1406" t="s">
        <v>1786</v>
      </c>
      <c r="F1406">
        <v>272.8211</v>
      </c>
      <c r="G1406">
        <v>367.80689999999998</v>
      </c>
      <c r="H1406">
        <v>306.93720000000002</v>
      </c>
      <c r="I1406">
        <v>335.97579999999999</v>
      </c>
      <c r="J1406">
        <v>323.55579999999998</v>
      </c>
      <c r="P1406">
        <v>1047</v>
      </c>
      <c r="Q1406" t="s">
        <v>3112</v>
      </c>
    </row>
    <row r="1407" spans="1:17" x14ac:dyDescent="0.3">
      <c r="A1407" t="s">
        <v>17</v>
      </c>
      <c r="B1407" t="str">
        <f>"603660"</f>
        <v>603660</v>
      </c>
      <c r="C1407" t="s">
        <v>3113</v>
      </c>
      <c r="D1407" t="s">
        <v>236</v>
      </c>
      <c r="F1407">
        <v>417.51819999999998</v>
      </c>
      <c r="G1407">
        <v>387.79180000000002</v>
      </c>
      <c r="H1407">
        <v>285.6601</v>
      </c>
      <c r="I1407">
        <v>385.40030000000002</v>
      </c>
      <c r="J1407">
        <v>426.07459999999998</v>
      </c>
      <c r="K1407">
        <v>333.6508</v>
      </c>
      <c r="P1407">
        <v>291</v>
      </c>
      <c r="Q1407" t="s">
        <v>3114</v>
      </c>
    </row>
    <row r="1408" spans="1:17" x14ac:dyDescent="0.3">
      <c r="A1408" t="s">
        <v>17</v>
      </c>
      <c r="B1408" t="str">
        <f>"603661"</f>
        <v>603661</v>
      </c>
      <c r="C1408" t="s">
        <v>3115</v>
      </c>
      <c r="D1408" t="s">
        <v>757</v>
      </c>
      <c r="F1408">
        <v>149.6233</v>
      </c>
      <c r="G1408">
        <v>90.471299999999999</v>
      </c>
      <c r="H1408">
        <v>81.180499999999995</v>
      </c>
      <c r="I1408">
        <v>55.023699999999998</v>
      </c>
      <c r="J1408">
        <v>56.908499999999997</v>
      </c>
      <c r="P1408">
        <v>148</v>
      </c>
      <c r="Q1408" t="s">
        <v>3116</v>
      </c>
    </row>
    <row r="1409" spans="1:17" x14ac:dyDescent="0.3">
      <c r="A1409" t="s">
        <v>17</v>
      </c>
      <c r="B1409" t="str">
        <f>"603662"</f>
        <v>603662</v>
      </c>
      <c r="C1409" t="s">
        <v>3117</v>
      </c>
      <c r="D1409" t="s">
        <v>2551</v>
      </c>
      <c r="F1409">
        <v>192.1414</v>
      </c>
      <c r="G1409">
        <v>221.65260000000001</v>
      </c>
      <c r="H1409">
        <v>212.71799999999999</v>
      </c>
      <c r="P1409">
        <v>125</v>
      </c>
      <c r="Q1409" t="s">
        <v>3118</v>
      </c>
    </row>
    <row r="1410" spans="1:17" x14ac:dyDescent="0.3">
      <c r="A1410" t="s">
        <v>17</v>
      </c>
      <c r="B1410" t="str">
        <f>"603663"</f>
        <v>603663</v>
      </c>
      <c r="C1410" t="s">
        <v>3119</v>
      </c>
      <c r="D1410" t="s">
        <v>736</v>
      </c>
      <c r="F1410">
        <v>128.6129</v>
      </c>
      <c r="G1410">
        <v>219.53980000000001</v>
      </c>
      <c r="H1410">
        <v>144.34219999999999</v>
      </c>
      <c r="I1410">
        <v>149.46029999999999</v>
      </c>
      <c r="J1410">
        <v>124.3625</v>
      </c>
      <c r="K1410">
        <v>146.21449999999999</v>
      </c>
      <c r="L1410">
        <v>78.1524</v>
      </c>
      <c r="P1410">
        <v>143</v>
      </c>
      <c r="Q1410" t="s">
        <v>3120</v>
      </c>
    </row>
    <row r="1411" spans="1:17" x14ac:dyDescent="0.3">
      <c r="A1411" t="s">
        <v>17</v>
      </c>
      <c r="B1411" t="str">
        <f>"603665"</f>
        <v>603665</v>
      </c>
      <c r="C1411" t="s">
        <v>3121</v>
      </c>
      <c r="D1411" t="s">
        <v>330</v>
      </c>
      <c r="F1411">
        <v>360.5403</v>
      </c>
      <c r="G1411">
        <v>203.30680000000001</v>
      </c>
      <c r="H1411">
        <v>197.06819999999999</v>
      </c>
      <c r="I1411">
        <v>195.72110000000001</v>
      </c>
      <c r="J1411">
        <v>168.83799999999999</v>
      </c>
      <c r="P1411">
        <v>89</v>
      </c>
      <c r="Q1411" t="s">
        <v>3122</v>
      </c>
    </row>
    <row r="1412" spans="1:17" x14ac:dyDescent="0.3">
      <c r="A1412" t="s">
        <v>17</v>
      </c>
      <c r="B1412" t="str">
        <f>"603666"</f>
        <v>603666</v>
      </c>
      <c r="C1412" t="s">
        <v>3123</v>
      </c>
      <c r="D1412" t="s">
        <v>2911</v>
      </c>
      <c r="F1412">
        <v>313.3399</v>
      </c>
      <c r="G1412">
        <v>385.2792</v>
      </c>
      <c r="H1412">
        <v>360.56529999999998</v>
      </c>
      <c r="I1412">
        <v>296.06</v>
      </c>
      <c r="P1412">
        <v>449</v>
      </c>
      <c r="Q1412" t="s">
        <v>3124</v>
      </c>
    </row>
    <row r="1413" spans="1:17" x14ac:dyDescent="0.3">
      <c r="A1413" t="s">
        <v>17</v>
      </c>
      <c r="B1413" t="str">
        <f>"603667"</f>
        <v>603667</v>
      </c>
      <c r="C1413" t="s">
        <v>3125</v>
      </c>
      <c r="D1413" t="s">
        <v>274</v>
      </c>
      <c r="F1413">
        <v>164.17920000000001</v>
      </c>
      <c r="G1413">
        <v>213.2433</v>
      </c>
      <c r="H1413">
        <v>209.21119999999999</v>
      </c>
      <c r="I1413">
        <v>241.7373</v>
      </c>
      <c r="J1413">
        <v>236.0061</v>
      </c>
      <c r="K1413">
        <v>220.41460000000001</v>
      </c>
      <c r="L1413">
        <v>118.22499999999999</v>
      </c>
      <c r="P1413">
        <v>115</v>
      </c>
      <c r="Q1413" t="s">
        <v>3126</v>
      </c>
    </row>
    <row r="1414" spans="1:17" x14ac:dyDescent="0.3">
      <c r="A1414" t="s">
        <v>17</v>
      </c>
      <c r="B1414" t="str">
        <f>"603668"</f>
        <v>603668</v>
      </c>
      <c r="C1414" t="s">
        <v>3127</v>
      </c>
      <c r="D1414" t="s">
        <v>3128</v>
      </c>
      <c r="F1414">
        <v>79.947900000000004</v>
      </c>
      <c r="G1414">
        <v>105.9391</v>
      </c>
      <c r="H1414">
        <v>139.49199999999999</v>
      </c>
      <c r="I1414">
        <v>189.34280000000001</v>
      </c>
      <c r="J1414">
        <v>193.4598</v>
      </c>
      <c r="K1414">
        <v>87.505399999999995</v>
      </c>
      <c r="L1414">
        <v>45.113700000000001</v>
      </c>
      <c r="P1414">
        <v>126</v>
      </c>
      <c r="Q1414" t="s">
        <v>3129</v>
      </c>
    </row>
    <row r="1415" spans="1:17" x14ac:dyDescent="0.3">
      <c r="A1415" t="s">
        <v>17</v>
      </c>
      <c r="B1415" t="str">
        <f>"603669"</f>
        <v>603669</v>
      </c>
      <c r="C1415" t="s">
        <v>3130</v>
      </c>
      <c r="D1415" t="s">
        <v>143</v>
      </c>
      <c r="F1415">
        <v>199.0924</v>
      </c>
      <c r="G1415">
        <v>299.4846</v>
      </c>
      <c r="H1415">
        <v>162.2354</v>
      </c>
      <c r="I1415">
        <v>195.32939999999999</v>
      </c>
      <c r="J1415">
        <v>255.05690000000001</v>
      </c>
      <c r="K1415">
        <v>237.47290000000001</v>
      </c>
      <c r="L1415">
        <v>211.38740000000001</v>
      </c>
      <c r="M1415">
        <v>86.933899999999994</v>
      </c>
      <c r="P1415">
        <v>194</v>
      </c>
      <c r="Q1415" t="s">
        <v>3131</v>
      </c>
    </row>
    <row r="1416" spans="1:17" x14ac:dyDescent="0.3">
      <c r="A1416" t="s">
        <v>17</v>
      </c>
      <c r="B1416" t="str">
        <f>"603676"</f>
        <v>603676</v>
      </c>
      <c r="C1416" t="s">
        <v>3132</v>
      </c>
      <c r="D1416" t="s">
        <v>143</v>
      </c>
      <c r="F1416">
        <v>21.381799999999998</v>
      </c>
      <c r="G1416">
        <v>26.354900000000001</v>
      </c>
      <c r="H1416">
        <v>13.0448</v>
      </c>
      <c r="I1416">
        <v>41.7958</v>
      </c>
      <c r="J1416">
        <v>155.39959999999999</v>
      </c>
      <c r="P1416">
        <v>108</v>
      </c>
      <c r="Q1416" t="s">
        <v>3133</v>
      </c>
    </row>
    <row r="1417" spans="1:17" x14ac:dyDescent="0.3">
      <c r="A1417" t="s">
        <v>17</v>
      </c>
      <c r="B1417" t="str">
        <f>"603677"</f>
        <v>603677</v>
      </c>
      <c r="C1417" t="s">
        <v>3134</v>
      </c>
      <c r="D1417" t="s">
        <v>1253</v>
      </c>
      <c r="F1417">
        <v>109.6788</v>
      </c>
      <c r="G1417">
        <v>131.31790000000001</v>
      </c>
      <c r="H1417">
        <v>142.15989999999999</v>
      </c>
      <c r="I1417">
        <v>153.06870000000001</v>
      </c>
      <c r="J1417">
        <v>123.4366</v>
      </c>
      <c r="K1417">
        <v>99.638099999999994</v>
      </c>
      <c r="L1417">
        <v>56.115299999999998</v>
      </c>
      <c r="P1417">
        <v>124</v>
      </c>
      <c r="Q1417" t="s">
        <v>3135</v>
      </c>
    </row>
    <row r="1418" spans="1:17" x14ac:dyDescent="0.3">
      <c r="A1418" t="s">
        <v>17</v>
      </c>
      <c r="B1418" t="str">
        <f>"603678"</f>
        <v>603678</v>
      </c>
      <c r="C1418" t="s">
        <v>3136</v>
      </c>
      <c r="D1418" t="s">
        <v>1136</v>
      </c>
      <c r="F1418">
        <v>159.2303</v>
      </c>
      <c r="G1418">
        <v>163.3715</v>
      </c>
      <c r="H1418">
        <v>203.27780000000001</v>
      </c>
      <c r="I1418">
        <v>171.06610000000001</v>
      </c>
      <c r="J1418">
        <v>118.4717</v>
      </c>
      <c r="K1418">
        <v>122.1123</v>
      </c>
      <c r="L1418">
        <v>125.1067</v>
      </c>
      <c r="M1418">
        <v>102.616</v>
      </c>
      <c r="N1418">
        <v>57.021299999999997</v>
      </c>
      <c r="P1418">
        <v>639</v>
      </c>
      <c r="Q1418" t="s">
        <v>3137</v>
      </c>
    </row>
    <row r="1419" spans="1:17" x14ac:dyDescent="0.3">
      <c r="A1419" t="s">
        <v>17</v>
      </c>
      <c r="B1419" t="str">
        <f>"603679"</f>
        <v>603679</v>
      </c>
      <c r="C1419" t="s">
        <v>3138</v>
      </c>
      <c r="D1419" t="s">
        <v>803</v>
      </c>
      <c r="F1419">
        <v>154.99889999999999</v>
      </c>
      <c r="G1419">
        <v>84.888000000000005</v>
      </c>
      <c r="H1419">
        <v>91.725200000000001</v>
      </c>
      <c r="I1419">
        <v>86.541200000000003</v>
      </c>
      <c r="J1419">
        <v>133.29089999999999</v>
      </c>
      <c r="P1419">
        <v>164</v>
      </c>
      <c r="Q1419" t="s">
        <v>3139</v>
      </c>
    </row>
    <row r="1420" spans="1:17" x14ac:dyDescent="0.3">
      <c r="A1420" t="s">
        <v>17</v>
      </c>
      <c r="B1420" t="str">
        <f>"603680"</f>
        <v>603680</v>
      </c>
      <c r="C1420" t="s">
        <v>3140</v>
      </c>
      <c r="D1420" t="s">
        <v>1012</v>
      </c>
      <c r="F1420">
        <v>310.19450000000001</v>
      </c>
      <c r="G1420">
        <v>307.18860000000001</v>
      </c>
      <c r="H1420">
        <v>294.88279999999997</v>
      </c>
      <c r="I1420">
        <v>359.9282</v>
      </c>
      <c r="J1420">
        <v>275.24970000000002</v>
      </c>
      <c r="P1420">
        <v>81</v>
      </c>
      <c r="Q1420" t="s">
        <v>3141</v>
      </c>
    </row>
    <row r="1421" spans="1:17" x14ac:dyDescent="0.3">
      <c r="A1421" t="s">
        <v>17</v>
      </c>
      <c r="B1421" t="str">
        <f>"603681"</f>
        <v>603681</v>
      </c>
      <c r="C1421" t="s">
        <v>3142</v>
      </c>
      <c r="D1421" t="s">
        <v>3143</v>
      </c>
      <c r="F1421">
        <v>80.083299999999994</v>
      </c>
      <c r="G1421">
        <v>73.510400000000004</v>
      </c>
      <c r="H1421">
        <v>78.0578</v>
      </c>
      <c r="I1421">
        <v>80.717600000000004</v>
      </c>
      <c r="P1421">
        <v>113</v>
      </c>
      <c r="Q1421" t="s">
        <v>3144</v>
      </c>
    </row>
    <row r="1422" spans="1:17" x14ac:dyDescent="0.3">
      <c r="A1422" t="s">
        <v>17</v>
      </c>
      <c r="B1422" t="str">
        <f>"603682"</f>
        <v>603682</v>
      </c>
      <c r="C1422" t="s">
        <v>3145</v>
      </c>
      <c r="D1422" t="s">
        <v>271</v>
      </c>
      <c r="F1422">
        <v>0</v>
      </c>
      <c r="G1422">
        <v>0</v>
      </c>
      <c r="H1422">
        <v>0</v>
      </c>
      <c r="P1422">
        <v>156</v>
      </c>
      <c r="Q1422" t="s">
        <v>3146</v>
      </c>
    </row>
    <row r="1423" spans="1:17" x14ac:dyDescent="0.3">
      <c r="A1423" t="s">
        <v>17</v>
      </c>
      <c r="B1423" t="str">
        <f>"603683"</f>
        <v>603683</v>
      </c>
      <c r="C1423" t="s">
        <v>3147</v>
      </c>
      <c r="D1423" t="s">
        <v>3143</v>
      </c>
      <c r="F1423">
        <v>96.721199999999996</v>
      </c>
      <c r="G1423">
        <v>122.962</v>
      </c>
      <c r="H1423">
        <v>124.29430000000001</v>
      </c>
      <c r="I1423">
        <v>146.36879999999999</v>
      </c>
      <c r="J1423">
        <v>122.2688</v>
      </c>
      <c r="P1423">
        <v>58</v>
      </c>
      <c r="Q1423" t="s">
        <v>3148</v>
      </c>
    </row>
    <row r="1424" spans="1:17" x14ac:dyDescent="0.3">
      <c r="A1424" t="s">
        <v>17</v>
      </c>
      <c r="B1424" t="str">
        <f>"603685"</f>
        <v>603685</v>
      </c>
      <c r="C1424" t="s">
        <v>3149</v>
      </c>
      <c r="D1424" t="s">
        <v>803</v>
      </c>
      <c r="F1424">
        <v>129.25380000000001</v>
      </c>
      <c r="G1424">
        <v>119.9128</v>
      </c>
      <c r="H1424">
        <v>94.365799999999993</v>
      </c>
      <c r="I1424">
        <v>109.57769999999999</v>
      </c>
      <c r="J1424">
        <v>96.924999999999997</v>
      </c>
      <c r="P1424">
        <v>102</v>
      </c>
      <c r="Q1424" t="s">
        <v>3150</v>
      </c>
    </row>
    <row r="1425" spans="1:17" x14ac:dyDescent="0.3">
      <c r="A1425" t="s">
        <v>17</v>
      </c>
      <c r="B1425" t="str">
        <f>"603686"</f>
        <v>603686</v>
      </c>
      <c r="C1425" t="s">
        <v>3151</v>
      </c>
      <c r="D1425" t="s">
        <v>1070</v>
      </c>
      <c r="F1425">
        <v>57.952300000000001</v>
      </c>
      <c r="G1425">
        <v>73.025300000000001</v>
      </c>
      <c r="H1425">
        <v>84.355699999999999</v>
      </c>
      <c r="I1425">
        <v>79.376999999999995</v>
      </c>
      <c r="J1425">
        <v>87.464699999999993</v>
      </c>
      <c r="K1425">
        <v>116.9109</v>
      </c>
      <c r="L1425">
        <v>114.1524</v>
      </c>
      <c r="M1425">
        <v>95.530500000000004</v>
      </c>
      <c r="P1425">
        <v>760</v>
      </c>
      <c r="Q1425" t="s">
        <v>3152</v>
      </c>
    </row>
    <row r="1426" spans="1:17" x14ac:dyDescent="0.3">
      <c r="A1426" t="s">
        <v>17</v>
      </c>
      <c r="B1426" t="str">
        <f>"603687"</f>
        <v>603687</v>
      </c>
      <c r="C1426" t="s">
        <v>3153</v>
      </c>
      <c r="D1426" t="s">
        <v>2156</v>
      </c>
      <c r="F1426">
        <v>71.230699999999999</v>
      </c>
      <c r="G1426">
        <v>81.091899999999995</v>
      </c>
      <c r="H1426">
        <v>79.7804</v>
      </c>
      <c r="I1426">
        <v>88.091399999999993</v>
      </c>
      <c r="P1426">
        <v>92</v>
      </c>
      <c r="Q1426" t="s">
        <v>3154</v>
      </c>
    </row>
    <row r="1427" spans="1:17" x14ac:dyDescent="0.3">
      <c r="A1427" t="s">
        <v>17</v>
      </c>
      <c r="B1427" t="str">
        <f>"603688"</f>
        <v>603688</v>
      </c>
      <c r="C1427" t="s">
        <v>3155</v>
      </c>
      <c r="D1427" t="s">
        <v>2739</v>
      </c>
      <c r="F1427">
        <v>324.2079</v>
      </c>
      <c r="G1427">
        <v>320.60980000000001</v>
      </c>
      <c r="H1427">
        <v>253.03579999999999</v>
      </c>
      <c r="I1427">
        <v>181.44810000000001</v>
      </c>
      <c r="J1427">
        <v>180.4402</v>
      </c>
      <c r="K1427">
        <v>212.1953</v>
      </c>
      <c r="L1427">
        <v>265.87400000000002</v>
      </c>
      <c r="M1427">
        <v>263.3492</v>
      </c>
      <c r="N1427">
        <v>287.20060000000001</v>
      </c>
      <c r="O1427">
        <v>155.34549999999999</v>
      </c>
      <c r="P1427">
        <v>219</v>
      </c>
      <c r="Q1427" t="s">
        <v>3156</v>
      </c>
    </row>
    <row r="1428" spans="1:17" x14ac:dyDescent="0.3">
      <c r="A1428" t="s">
        <v>17</v>
      </c>
      <c r="B1428" t="str">
        <f>"603689"</f>
        <v>603689</v>
      </c>
      <c r="C1428" t="s">
        <v>3157</v>
      </c>
      <c r="D1428" t="s">
        <v>749</v>
      </c>
      <c r="F1428">
        <v>3.7810999999999999</v>
      </c>
      <c r="G1428">
        <v>5.0034999999999998</v>
      </c>
      <c r="H1428">
        <v>4.1139999999999999</v>
      </c>
      <c r="I1428">
        <v>4.5122999999999998</v>
      </c>
      <c r="J1428">
        <v>4.3007</v>
      </c>
      <c r="K1428">
        <v>2.3702999999999999</v>
      </c>
      <c r="P1428">
        <v>117</v>
      </c>
      <c r="Q1428" t="s">
        <v>3158</v>
      </c>
    </row>
    <row r="1429" spans="1:17" x14ac:dyDescent="0.3">
      <c r="A1429" t="s">
        <v>17</v>
      </c>
      <c r="B1429" t="str">
        <f>"603690"</f>
        <v>603690</v>
      </c>
      <c r="C1429" t="s">
        <v>3159</v>
      </c>
      <c r="D1429" t="s">
        <v>3160</v>
      </c>
      <c r="F1429">
        <v>461.9991</v>
      </c>
      <c r="G1429">
        <v>555.37400000000002</v>
      </c>
      <c r="H1429">
        <v>489.62459999999999</v>
      </c>
      <c r="I1429">
        <v>614.25779999999997</v>
      </c>
      <c r="J1429">
        <v>387.8288</v>
      </c>
      <c r="K1429">
        <v>277.04329999999999</v>
      </c>
      <c r="L1429">
        <v>159.9487</v>
      </c>
      <c r="P1429">
        <v>450</v>
      </c>
      <c r="Q1429" t="s">
        <v>3161</v>
      </c>
    </row>
    <row r="1430" spans="1:17" x14ac:dyDescent="0.3">
      <c r="A1430" t="s">
        <v>17</v>
      </c>
      <c r="B1430" t="str">
        <f>"603693"</f>
        <v>603693</v>
      </c>
      <c r="C1430" t="s">
        <v>3162</v>
      </c>
      <c r="D1430" t="s">
        <v>383</v>
      </c>
      <c r="F1430">
        <v>16.601500000000001</v>
      </c>
      <c r="G1430">
        <v>21.316299999999998</v>
      </c>
      <c r="H1430">
        <v>22.630199999999999</v>
      </c>
      <c r="I1430">
        <v>19.3245</v>
      </c>
      <c r="J1430">
        <v>10.738899999999999</v>
      </c>
      <c r="P1430">
        <v>160</v>
      </c>
      <c r="Q1430" t="s">
        <v>3163</v>
      </c>
    </row>
    <row r="1431" spans="1:17" x14ac:dyDescent="0.3">
      <c r="A1431" t="s">
        <v>17</v>
      </c>
      <c r="B1431" t="str">
        <f>"603696"</f>
        <v>603696</v>
      </c>
      <c r="C1431" t="s">
        <v>3164</v>
      </c>
      <c r="D1431" t="s">
        <v>433</v>
      </c>
      <c r="F1431">
        <v>50.305500000000002</v>
      </c>
      <c r="G1431">
        <v>59.357100000000003</v>
      </c>
      <c r="H1431">
        <v>52.768999999999998</v>
      </c>
      <c r="I1431">
        <v>79.1387</v>
      </c>
      <c r="J1431">
        <v>133.65369999999999</v>
      </c>
      <c r="K1431">
        <v>155.77760000000001</v>
      </c>
      <c r="P1431">
        <v>195</v>
      </c>
      <c r="Q1431" t="s">
        <v>3165</v>
      </c>
    </row>
    <row r="1432" spans="1:17" x14ac:dyDescent="0.3">
      <c r="A1432" t="s">
        <v>17</v>
      </c>
      <c r="B1432" t="str">
        <f>"603697"</f>
        <v>603697</v>
      </c>
      <c r="C1432" t="s">
        <v>3166</v>
      </c>
      <c r="D1432" t="s">
        <v>3167</v>
      </c>
      <c r="F1432">
        <v>154.16569999999999</v>
      </c>
      <c r="G1432">
        <v>183.54640000000001</v>
      </c>
      <c r="H1432">
        <v>112.9049</v>
      </c>
      <c r="I1432">
        <v>24.650700000000001</v>
      </c>
      <c r="P1432">
        <v>394</v>
      </c>
      <c r="Q1432" t="s">
        <v>3168</v>
      </c>
    </row>
    <row r="1433" spans="1:17" x14ac:dyDescent="0.3">
      <c r="A1433" t="s">
        <v>17</v>
      </c>
      <c r="B1433" t="str">
        <f>"603698"</f>
        <v>603698</v>
      </c>
      <c r="C1433" t="s">
        <v>3169</v>
      </c>
      <c r="D1433" t="s">
        <v>395</v>
      </c>
      <c r="F1433">
        <v>130.88290000000001</v>
      </c>
      <c r="G1433">
        <v>132.2689</v>
      </c>
      <c r="H1433">
        <v>125.5587</v>
      </c>
      <c r="I1433">
        <v>174.95529999999999</v>
      </c>
      <c r="J1433">
        <v>274.86169999999998</v>
      </c>
      <c r="K1433">
        <v>624.15250000000003</v>
      </c>
      <c r="L1433">
        <v>261.01990000000001</v>
      </c>
      <c r="M1433">
        <v>86.876300000000001</v>
      </c>
      <c r="P1433">
        <v>108</v>
      </c>
      <c r="Q1433" t="s">
        <v>3170</v>
      </c>
    </row>
    <row r="1434" spans="1:17" x14ac:dyDescent="0.3">
      <c r="A1434" t="s">
        <v>17</v>
      </c>
      <c r="B1434" t="str">
        <f>"603699"</f>
        <v>603699</v>
      </c>
      <c r="C1434" t="s">
        <v>3171</v>
      </c>
      <c r="D1434" t="s">
        <v>274</v>
      </c>
      <c r="F1434">
        <v>264.875</v>
      </c>
      <c r="G1434">
        <v>299.57440000000003</v>
      </c>
      <c r="H1434">
        <v>319.07319999999999</v>
      </c>
      <c r="I1434">
        <v>270.90519999999998</v>
      </c>
      <c r="J1434">
        <v>326.28820000000002</v>
      </c>
      <c r="K1434">
        <v>385.98419999999999</v>
      </c>
      <c r="L1434">
        <v>312.4144</v>
      </c>
      <c r="M1434">
        <v>288.37329999999997</v>
      </c>
      <c r="N1434">
        <v>150.0384</v>
      </c>
      <c r="P1434">
        <v>271</v>
      </c>
      <c r="Q1434" t="s">
        <v>3172</v>
      </c>
    </row>
    <row r="1435" spans="1:17" x14ac:dyDescent="0.3">
      <c r="A1435" t="s">
        <v>17</v>
      </c>
      <c r="B1435" t="str">
        <f>"603700"</f>
        <v>603700</v>
      </c>
      <c r="C1435" t="s">
        <v>3173</v>
      </c>
      <c r="D1435" t="s">
        <v>2551</v>
      </c>
      <c r="F1435">
        <v>153.52029999999999</v>
      </c>
      <c r="G1435">
        <v>175.9171</v>
      </c>
      <c r="H1435">
        <v>157.07759999999999</v>
      </c>
      <c r="P1435">
        <v>395</v>
      </c>
      <c r="Q1435" t="s">
        <v>3174</v>
      </c>
    </row>
    <row r="1436" spans="1:17" x14ac:dyDescent="0.3">
      <c r="A1436" t="s">
        <v>17</v>
      </c>
      <c r="B1436" t="str">
        <f>"603701"</f>
        <v>603701</v>
      </c>
      <c r="C1436" t="s">
        <v>3175</v>
      </c>
      <c r="D1436" t="s">
        <v>348</v>
      </c>
      <c r="F1436">
        <v>117.83540000000001</v>
      </c>
      <c r="G1436">
        <v>101.93049999999999</v>
      </c>
      <c r="H1436">
        <v>102.5933</v>
      </c>
      <c r="I1436">
        <v>113.3972</v>
      </c>
      <c r="J1436">
        <v>107.14490000000001</v>
      </c>
      <c r="K1436">
        <v>109.1874</v>
      </c>
      <c r="L1436">
        <v>102.8528</v>
      </c>
      <c r="P1436">
        <v>93</v>
      </c>
      <c r="Q1436" t="s">
        <v>3176</v>
      </c>
    </row>
    <row r="1437" spans="1:17" x14ac:dyDescent="0.3">
      <c r="A1437" t="s">
        <v>17</v>
      </c>
      <c r="B1437" t="str">
        <f>"603703"</f>
        <v>603703</v>
      </c>
      <c r="C1437" t="s">
        <v>3177</v>
      </c>
      <c r="D1437" t="s">
        <v>803</v>
      </c>
      <c r="F1437">
        <v>181.17330000000001</v>
      </c>
      <c r="G1437">
        <v>203.14779999999999</v>
      </c>
      <c r="H1437">
        <v>184.76070000000001</v>
      </c>
      <c r="I1437">
        <v>211.00540000000001</v>
      </c>
      <c r="J1437">
        <v>153.14750000000001</v>
      </c>
      <c r="K1437">
        <v>289.8451</v>
      </c>
      <c r="L1437">
        <v>348.02780000000001</v>
      </c>
      <c r="M1437">
        <v>113.80589999999999</v>
      </c>
      <c r="P1437">
        <v>78</v>
      </c>
      <c r="Q1437" t="s">
        <v>3178</v>
      </c>
    </row>
    <row r="1438" spans="1:17" x14ac:dyDescent="0.3">
      <c r="A1438" t="s">
        <v>17</v>
      </c>
      <c r="B1438" t="str">
        <f>"603706"</f>
        <v>603706</v>
      </c>
      <c r="C1438" t="s">
        <v>3179</v>
      </c>
      <c r="D1438" t="s">
        <v>749</v>
      </c>
      <c r="F1438">
        <v>41.923999999999999</v>
      </c>
      <c r="G1438">
        <v>56.718299999999999</v>
      </c>
      <c r="H1438">
        <v>51.651899999999998</v>
      </c>
      <c r="I1438">
        <v>68.414500000000004</v>
      </c>
      <c r="P1438">
        <v>91</v>
      </c>
      <c r="Q1438" t="s">
        <v>3180</v>
      </c>
    </row>
    <row r="1439" spans="1:17" x14ac:dyDescent="0.3">
      <c r="A1439" t="s">
        <v>17</v>
      </c>
      <c r="B1439" t="str">
        <f>"603707"</f>
        <v>603707</v>
      </c>
      <c r="C1439" t="s">
        <v>3181</v>
      </c>
      <c r="D1439" t="s">
        <v>143</v>
      </c>
      <c r="F1439">
        <v>1390.9826</v>
      </c>
      <c r="G1439">
        <v>1523.0596</v>
      </c>
      <c r="H1439">
        <v>951.57870000000003</v>
      </c>
      <c r="I1439">
        <v>831.23350000000005</v>
      </c>
      <c r="J1439">
        <v>727.16880000000003</v>
      </c>
      <c r="P1439">
        <v>771</v>
      </c>
      <c r="Q1439" t="s">
        <v>3182</v>
      </c>
    </row>
    <row r="1440" spans="1:17" x14ac:dyDescent="0.3">
      <c r="A1440" t="s">
        <v>17</v>
      </c>
      <c r="B1440" t="str">
        <f>"603708"</f>
        <v>603708</v>
      </c>
      <c r="C1440" t="s">
        <v>3183</v>
      </c>
      <c r="D1440" t="s">
        <v>798</v>
      </c>
      <c r="F1440">
        <v>72.142899999999997</v>
      </c>
      <c r="G1440">
        <v>68.754099999999994</v>
      </c>
      <c r="H1440">
        <v>57.475000000000001</v>
      </c>
      <c r="I1440">
        <v>59.563499999999998</v>
      </c>
      <c r="J1440">
        <v>67.777199999999993</v>
      </c>
      <c r="K1440">
        <v>60.050800000000002</v>
      </c>
      <c r="P1440">
        <v>702</v>
      </c>
      <c r="Q1440" t="s">
        <v>3184</v>
      </c>
    </row>
    <row r="1441" spans="1:17" x14ac:dyDescent="0.3">
      <c r="A1441" t="s">
        <v>17</v>
      </c>
      <c r="B1441" t="str">
        <f>"603709"</f>
        <v>603709</v>
      </c>
      <c r="C1441" t="s">
        <v>3185</v>
      </c>
      <c r="D1441" t="s">
        <v>757</v>
      </c>
      <c r="F1441">
        <v>98.055599999999998</v>
      </c>
      <c r="G1441">
        <v>85.206299999999999</v>
      </c>
      <c r="H1441">
        <v>50.382899999999999</v>
      </c>
      <c r="I1441">
        <v>41.205199999999998</v>
      </c>
      <c r="J1441">
        <v>16.388100000000001</v>
      </c>
      <c r="P1441">
        <v>99</v>
      </c>
      <c r="Q1441" t="s">
        <v>3186</v>
      </c>
    </row>
    <row r="1442" spans="1:17" x14ac:dyDescent="0.3">
      <c r="A1442" t="s">
        <v>17</v>
      </c>
      <c r="B1442" t="str">
        <f>"603711"</f>
        <v>603711</v>
      </c>
      <c r="C1442" t="s">
        <v>3187</v>
      </c>
      <c r="D1442" t="s">
        <v>440</v>
      </c>
      <c r="F1442">
        <v>41.651600000000002</v>
      </c>
      <c r="G1442">
        <v>48.139499999999998</v>
      </c>
      <c r="H1442">
        <v>38.793599999999998</v>
      </c>
      <c r="I1442">
        <v>45.5413</v>
      </c>
      <c r="J1442">
        <v>48.656599999999997</v>
      </c>
      <c r="P1442">
        <v>392</v>
      </c>
      <c r="Q1442" t="s">
        <v>3188</v>
      </c>
    </row>
    <row r="1443" spans="1:17" x14ac:dyDescent="0.3">
      <c r="A1443" t="s">
        <v>17</v>
      </c>
      <c r="B1443" t="str">
        <f>"603712"</f>
        <v>603712</v>
      </c>
      <c r="C1443" t="s">
        <v>3189</v>
      </c>
      <c r="D1443" t="s">
        <v>1136</v>
      </c>
      <c r="F1443">
        <v>1238.2417</v>
      </c>
      <c r="G1443">
        <v>1333.0813000000001</v>
      </c>
      <c r="H1443">
        <v>1240.3378</v>
      </c>
      <c r="I1443">
        <v>1116.9888000000001</v>
      </c>
      <c r="J1443">
        <v>1147.0299</v>
      </c>
      <c r="P1443">
        <v>325</v>
      </c>
      <c r="Q1443" t="s">
        <v>3190</v>
      </c>
    </row>
    <row r="1444" spans="1:17" x14ac:dyDescent="0.3">
      <c r="A1444" t="s">
        <v>17</v>
      </c>
      <c r="B1444" t="str">
        <f>"603713"</f>
        <v>603713</v>
      </c>
      <c r="C1444" t="s">
        <v>3191</v>
      </c>
      <c r="D1444" t="s">
        <v>1592</v>
      </c>
      <c r="F1444">
        <v>6.0084</v>
      </c>
      <c r="G1444">
        <v>1.9661999999999999</v>
      </c>
      <c r="H1444">
        <v>2.0983999999999998</v>
      </c>
      <c r="I1444">
        <v>5.8183999999999996</v>
      </c>
      <c r="P1444">
        <v>457</v>
      </c>
      <c r="Q1444" t="s">
        <v>3192</v>
      </c>
    </row>
    <row r="1445" spans="1:17" x14ac:dyDescent="0.3">
      <c r="A1445" t="s">
        <v>17</v>
      </c>
      <c r="B1445" t="str">
        <f>"603716"</f>
        <v>603716</v>
      </c>
      <c r="C1445" t="s">
        <v>3193</v>
      </c>
      <c r="D1445" t="s">
        <v>125</v>
      </c>
      <c r="F1445">
        <v>117.7003</v>
      </c>
      <c r="G1445">
        <v>130.96809999999999</v>
      </c>
      <c r="H1445">
        <v>131.63200000000001</v>
      </c>
      <c r="I1445">
        <v>144.7791</v>
      </c>
      <c r="J1445">
        <v>104.3828</v>
      </c>
      <c r="K1445">
        <v>83.6661</v>
      </c>
      <c r="L1445">
        <v>39.506</v>
      </c>
      <c r="P1445">
        <v>137</v>
      </c>
      <c r="Q1445" t="s">
        <v>3194</v>
      </c>
    </row>
    <row r="1446" spans="1:17" x14ac:dyDescent="0.3">
      <c r="A1446" t="s">
        <v>17</v>
      </c>
      <c r="B1446" t="str">
        <f>"603717"</f>
        <v>603717</v>
      </c>
      <c r="C1446" t="s">
        <v>3195</v>
      </c>
      <c r="D1446" t="s">
        <v>2408</v>
      </c>
      <c r="F1446">
        <v>86.395399999999995</v>
      </c>
      <c r="G1446">
        <v>613.86490000000003</v>
      </c>
      <c r="H1446">
        <v>883.13250000000005</v>
      </c>
      <c r="I1446">
        <v>735.69179999999994</v>
      </c>
      <c r="J1446">
        <v>874.08810000000005</v>
      </c>
      <c r="P1446">
        <v>55</v>
      </c>
      <c r="Q1446" t="s">
        <v>3196</v>
      </c>
    </row>
    <row r="1447" spans="1:17" x14ac:dyDescent="0.3">
      <c r="A1447" t="s">
        <v>17</v>
      </c>
      <c r="B1447" t="str">
        <f>"603718"</f>
        <v>603718</v>
      </c>
      <c r="C1447" t="s">
        <v>3197</v>
      </c>
      <c r="D1447" t="s">
        <v>453</v>
      </c>
      <c r="F1447">
        <v>330.32089999999999</v>
      </c>
      <c r="G1447">
        <v>370.54820000000001</v>
      </c>
      <c r="H1447">
        <v>348.44260000000003</v>
      </c>
      <c r="I1447">
        <v>622.23739999999998</v>
      </c>
      <c r="J1447">
        <v>461.23939999999999</v>
      </c>
      <c r="K1447">
        <v>233.11449999999999</v>
      </c>
      <c r="L1447">
        <v>233.57159999999999</v>
      </c>
      <c r="M1447">
        <v>101.0252</v>
      </c>
      <c r="P1447">
        <v>166</v>
      </c>
      <c r="Q1447" t="s">
        <v>3198</v>
      </c>
    </row>
    <row r="1448" spans="1:17" x14ac:dyDescent="0.3">
      <c r="A1448" t="s">
        <v>17</v>
      </c>
      <c r="B1448" t="str">
        <f>"603719"</f>
        <v>603719</v>
      </c>
      <c r="C1448" t="s">
        <v>3199</v>
      </c>
      <c r="D1448" t="s">
        <v>3167</v>
      </c>
      <c r="F1448">
        <v>47.2408</v>
      </c>
      <c r="G1448">
        <v>75.425200000000004</v>
      </c>
      <c r="H1448">
        <v>65.574799999999996</v>
      </c>
      <c r="P1448">
        <v>715</v>
      </c>
      <c r="Q1448" t="s">
        <v>3200</v>
      </c>
    </row>
    <row r="1449" spans="1:17" x14ac:dyDescent="0.3">
      <c r="A1449" t="s">
        <v>17</v>
      </c>
      <c r="B1449" t="str">
        <f>"603721"</f>
        <v>603721</v>
      </c>
      <c r="C1449" t="s">
        <v>3201</v>
      </c>
      <c r="D1449" t="s">
        <v>113</v>
      </c>
      <c r="F1449">
        <v>137.14099999999999</v>
      </c>
      <c r="G1449">
        <v>290.31599999999997</v>
      </c>
      <c r="H1449">
        <v>141.1164</v>
      </c>
      <c r="I1449">
        <v>85.215599999999995</v>
      </c>
      <c r="J1449">
        <v>52.2883</v>
      </c>
      <c r="P1449">
        <v>89</v>
      </c>
      <c r="Q1449" t="s">
        <v>3202</v>
      </c>
    </row>
    <row r="1450" spans="1:17" x14ac:dyDescent="0.3">
      <c r="A1450" t="s">
        <v>17</v>
      </c>
      <c r="B1450" t="str">
        <f>"603722"</f>
        <v>603722</v>
      </c>
      <c r="C1450" t="s">
        <v>3203</v>
      </c>
      <c r="D1450" t="s">
        <v>1192</v>
      </c>
      <c r="F1450">
        <v>34.8673</v>
      </c>
      <c r="G1450">
        <v>61.907600000000002</v>
      </c>
      <c r="H1450">
        <v>58.348700000000001</v>
      </c>
      <c r="I1450">
        <v>63.7746</v>
      </c>
      <c r="J1450">
        <v>38.942599999999999</v>
      </c>
      <c r="K1450">
        <v>29.4344</v>
      </c>
      <c r="P1450">
        <v>83</v>
      </c>
      <c r="Q1450" t="s">
        <v>3204</v>
      </c>
    </row>
    <row r="1451" spans="1:17" x14ac:dyDescent="0.3">
      <c r="A1451" t="s">
        <v>17</v>
      </c>
      <c r="B1451" t="str">
        <f>"603725"</f>
        <v>603725</v>
      </c>
      <c r="C1451" t="s">
        <v>3205</v>
      </c>
      <c r="D1451" t="s">
        <v>386</v>
      </c>
      <c r="F1451">
        <v>136.1138</v>
      </c>
      <c r="G1451">
        <v>127.5487</v>
      </c>
      <c r="H1451">
        <v>115.73309999999999</v>
      </c>
      <c r="I1451">
        <v>102.4237</v>
      </c>
      <c r="J1451">
        <v>103.98650000000001</v>
      </c>
      <c r="P1451">
        <v>74</v>
      </c>
      <c r="Q1451" t="s">
        <v>3206</v>
      </c>
    </row>
    <row r="1452" spans="1:17" x14ac:dyDescent="0.3">
      <c r="A1452" t="s">
        <v>17</v>
      </c>
      <c r="B1452" t="str">
        <f>"603726"</f>
        <v>603726</v>
      </c>
      <c r="C1452" t="s">
        <v>3207</v>
      </c>
      <c r="D1452" t="s">
        <v>1253</v>
      </c>
      <c r="F1452">
        <v>102.7619</v>
      </c>
      <c r="G1452">
        <v>133.70660000000001</v>
      </c>
      <c r="H1452">
        <v>110.8169</v>
      </c>
      <c r="I1452">
        <v>112.04810000000001</v>
      </c>
      <c r="J1452">
        <v>107.99160000000001</v>
      </c>
      <c r="K1452">
        <v>145.9622</v>
      </c>
      <c r="L1452">
        <v>73.638999999999996</v>
      </c>
      <c r="P1452">
        <v>123</v>
      </c>
      <c r="Q1452" t="s">
        <v>3208</v>
      </c>
    </row>
    <row r="1453" spans="1:17" x14ac:dyDescent="0.3">
      <c r="A1453" t="s">
        <v>17</v>
      </c>
      <c r="B1453" t="str">
        <f>"603727"</f>
        <v>603727</v>
      </c>
      <c r="C1453" t="s">
        <v>3209</v>
      </c>
      <c r="D1453" t="s">
        <v>762</v>
      </c>
      <c r="F1453">
        <v>52.505400000000002</v>
      </c>
      <c r="G1453">
        <v>85.533699999999996</v>
      </c>
      <c r="H1453">
        <v>197.30439999999999</v>
      </c>
      <c r="I1453">
        <v>135.5822</v>
      </c>
      <c r="J1453">
        <v>98.196399999999997</v>
      </c>
      <c r="K1453">
        <v>43.1357</v>
      </c>
      <c r="P1453">
        <v>123</v>
      </c>
      <c r="Q1453" t="s">
        <v>3210</v>
      </c>
    </row>
    <row r="1454" spans="1:17" x14ac:dyDescent="0.3">
      <c r="A1454" t="s">
        <v>17</v>
      </c>
      <c r="B1454" t="str">
        <f>"603728"</f>
        <v>603728</v>
      </c>
      <c r="C1454" t="s">
        <v>3211</v>
      </c>
      <c r="D1454" t="s">
        <v>1171</v>
      </c>
      <c r="F1454">
        <v>123.5046</v>
      </c>
      <c r="G1454">
        <v>128.49039999999999</v>
      </c>
      <c r="H1454">
        <v>127.6388</v>
      </c>
      <c r="I1454">
        <v>117.93340000000001</v>
      </c>
      <c r="J1454">
        <v>107.0432</v>
      </c>
      <c r="P1454">
        <v>310</v>
      </c>
      <c r="Q1454" t="s">
        <v>3212</v>
      </c>
    </row>
    <row r="1455" spans="1:17" x14ac:dyDescent="0.3">
      <c r="A1455" t="s">
        <v>17</v>
      </c>
      <c r="B1455" t="str">
        <f>"603729"</f>
        <v>603729</v>
      </c>
      <c r="C1455" t="s">
        <v>3213</v>
      </c>
      <c r="D1455" t="s">
        <v>207</v>
      </c>
      <c r="F1455">
        <v>12.8841</v>
      </c>
      <c r="G1455">
        <v>4.1707000000000001</v>
      </c>
      <c r="H1455">
        <v>1.6841999999999999</v>
      </c>
      <c r="I1455">
        <v>0</v>
      </c>
      <c r="J1455">
        <v>0</v>
      </c>
      <c r="K1455">
        <v>0</v>
      </c>
      <c r="L1455">
        <v>0</v>
      </c>
      <c r="M1455">
        <v>0</v>
      </c>
      <c r="P1455">
        <v>51</v>
      </c>
      <c r="Q1455" t="s">
        <v>3214</v>
      </c>
    </row>
    <row r="1456" spans="1:17" x14ac:dyDescent="0.3">
      <c r="A1456" t="s">
        <v>17</v>
      </c>
      <c r="B1456" t="str">
        <f>"603730"</f>
        <v>603730</v>
      </c>
      <c r="C1456" t="s">
        <v>3215</v>
      </c>
      <c r="D1456" t="s">
        <v>191</v>
      </c>
      <c r="F1456">
        <v>191.68010000000001</v>
      </c>
      <c r="G1456">
        <v>214.84020000000001</v>
      </c>
      <c r="H1456">
        <v>139.56890000000001</v>
      </c>
      <c r="I1456">
        <v>169.4273</v>
      </c>
      <c r="J1456">
        <v>191.5729</v>
      </c>
      <c r="P1456">
        <v>522</v>
      </c>
      <c r="Q1456" t="s">
        <v>3216</v>
      </c>
    </row>
    <row r="1457" spans="1:17" x14ac:dyDescent="0.3">
      <c r="A1457" t="s">
        <v>17</v>
      </c>
      <c r="B1457" t="str">
        <f>"603733"</f>
        <v>603733</v>
      </c>
      <c r="C1457" t="s">
        <v>3217</v>
      </c>
      <c r="D1457" t="s">
        <v>244</v>
      </c>
      <c r="F1457">
        <v>172.178</v>
      </c>
      <c r="G1457">
        <v>174.3466</v>
      </c>
      <c r="H1457">
        <v>132.1249</v>
      </c>
      <c r="I1457">
        <v>128.89169999999999</v>
      </c>
      <c r="P1457">
        <v>233</v>
      </c>
      <c r="Q1457" t="s">
        <v>3218</v>
      </c>
    </row>
    <row r="1458" spans="1:17" x14ac:dyDescent="0.3">
      <c r="A1458" t="s">
        <v>17</v>
      </c>
      <c r="B1458" t="str">
        <f>"603737"</f>
        <v>603737</v>
      </c>
      <c r="C1458" t="s">
        <v>3219</v>
      </c>
      <c r="D1458" t="s">
        <v>2876</v>
      </c>
      <c r="F1458">
        <v>36.859099999999998</v>
      </c>
      <c r="G1458">
        <v>54.670999999999999</v>
      </c>
      <c r="H1458">
        <v>56.932099999999998</v>
      </c>
      <c r="I1458">
        <v>60.6629</v>
      </c>
      <c r="J1458">
        <v>63.711300000000001</v>
      </c>
      <c r="K1458">
        <v>61.6402</v>
      </c>
      <c r="L1458">
        <v>28.8445</v>
      </c>
      <c r="P1458">
        <v>1048</v>
      </c>
      <c r="Q1458" t="s">
        <v>3220</v>
      </c>
    </row>
    <row r="1459" spans="1:17" x14ac:dyDescent="0.3">
      <c r="A1459" t="s">
        <v>17</v>
      </c>
      <c r="B1459" t="str">
        <f>"603738"</f>
        <v>603738</v>
      </c>
      <c r="C1459" t="s">
        <v>3221</v>
      </c>
      <c r="D1459" t="s">
        <v>546</v>
      </c>
      <c r="F1459">
        <v>107.3536</v>
      </c>
      <c r="G1459">
        <v>151.09989999999999</v>
      </c>
      <c r="H1459">
        <v>156.06219999999999</v>
      </c>
      <c r="I1459">
        <v>138.34360000000001</v>
      </c>
      <c r="J1459">
        <v>119.4301</v>
      </c>
      <c r="K1459">
        <v>97.181399999999996</v>
      </c>
      <c r="L1459">
        <v>62.117899999999999</v>
      </c>
      <c r="P1459">
        <v>246</v>
      </c>
      <c r="Q1459" t="s">
        <v>3222</v>
      </c>
    </row>
    <row r="1460" spans="1:17" x14ac:dyDescent="0.3">
      <c r="A1460" t="s">
        <v>17</v>
      </c>
      <c r="B1460" t="str">
        <f>"603739"</f>
        <v>603739</v>
      </c>
      <c r="C1460" t="s">
        <v>3223</v>
      </c>
      <c r="D1460" t="s">
        <v>453</v>
      </c>
      <c r="F1460">
        <v>106.2927</v>
      </c>
      <c r="G1460">
        <v>111.9084</v>
      </c>
      <c r="H1460">
        <v>115.35550000000001</v>
      </c>
      <c r="P1460">
        <v>123</v>
      </c>
      <c r="Q1460" t="s">
        <v>3224</v>
      </c>
    </row>
    <row r="1461" spans="1:17" x14ac:dyDescent="0.3">
      <c r="A1461" t="s">
        <v>17</v>
      </c>
      <c r="B1461" t="str">
        <f>"603755"</f>
        <v>603755</v>
      </c>
      <c r="C1461" t="s">
        <v>3225</v>
      </c>
      <c r="D1461" t="s">
        <v>433</v>
      </c>
      <c r="F1461">
        <v>72.506399999999999</v>
      </c>
      <c r="G1461">
        <v>86.912000000000006</v>
      </c>
      <c r="H1461">
        <v>78.502499999999998</v>
      </c>
      <c r="P1461">
        <v>370</v>
      </c>
      <c r="Q1461" t="s">
        <v>3226</v>
      </c>
    </row>
    <row r="1462" spans="1:17" x14ac:dyDescent="0.3">
      <c r="A1462" t="s">
        <v>17</v>
      </c>
      <c r="B1462" t="str">
        <f>"603757"</f>
        <v>603757</v>
      </c>
      <c r="C1462" t="s">
        <v>3227</v>
      </c>
      <c r="D1462" t="s">
        <v>560</v>
      </c>
      <c r="F1462">
        <v>118.1293</v>
      </c>
      <c r="G1462">
        <v>98.070800000000006</v>
      </c>
      <c r="H1462">
        <v>106.2259</v>
      </c>
      <c r="I1462">
        <v>104.67619999999999</v>
      </c>
      <c r="J1462">
        <v>104.343</v>
      </c>
      <c r="P1462">
        <v>523</v>
      </c>
      <c r="Q1462" t="s">
        <v>3228</v>
      </c>
    </row>
    <row r="1463" spans="1:17" x14ac:dyDescent="0.3">
      <c r="A1463" t="s">
        <v>17</v>
      </c>
      <c r="B1463" t="str">
        <f>"603758"</f>
        <v>603758</v>
      </c>
      <c r="C1463" t="s">
        <v>3229</v>
      </c>
      <c r="D1463" t="s">
        <v>348</v>
      </c>
      <c r="F1463">
        <v>113.8276</v>
      </c>
      <c r="G1463">
        <v>181.23939999999999</v>
      </c>
      <c r="H1463">
        <v>226.42660000000001</v>
      </c>
      <c r="I1463">
        <v>230.22579999999999</v>
      </c>
      <c r="J1463">
        <v>191.2595</v>
      </c>
      <c r="P1463">
        <v>133</v>
      </c>
      <c r="Q1463" t="s">
        <v>3230</v>
      </c>
    </row>
    <row r="1464" spans="1:17" x14ac:dyDescent="0.3">
      <c r="A1464" t="s">
        <v>17</v>
      </c>
      <c r="B1464" t="str">
        <f>"603759"</f>
        <v>603759</v>
      </c>
      <c r="C1464" t="s">
        <v>3231</v>
      </c>
      <c r="D1464" t="s">
        <v>33</v>
      </c>
      <c r="F1464">
        <v>59.7348</v>
      </c>
      <c r="P1464">
        <v>48</v>
      </c>
      <c r="Q1464" t="s">
        <v>3232</v>
      </c>
    </row>
    <row r="1465" spans="1:17" x14ac:dyDescent="0.3">
      <c r="A1465" t="s">
        <v>17</v>
      </c>
      <c r="B1465" t="str">
        <f>"603766"</f>
        <v>603766</v>
      </c>
      <c r="C1465" t="s">
        <v>3233</v>
      </c>
      <c r="D1465" t="s">
        <v>1654</v>
      </c>
      <c r="F1465">
        <v>50.390300000000003</v>
      </c>
      <c r="G1465">
        <v>51.459499999999998</v>
      </c>
      <c r="H1465">
        <v>46.111499999999999</v>
      </c>
      <c r="I1465">
        <v>38.012700000000002</v>
      </c>
      <c r="J1465">
        <v>34.100499999999997</v>
      </c>
      <c r="K1465">
        <v>33.1053</v>
      </c>
      <c r="L1465">
        <v>22.889399999999998</v>
      </c>
      <c r="M1465">
        <v>20.5901</v>
      </c>
      <c r="N1465">
        <v>23.2469</v>
      </c>
      <c r="O1465">
        <v>21.7254</v>
      </c>
      <c r="P1465">
        <v>460</v>
      </c>
      <c r="Q1465" t="s">
        <v>3234</v>
      </c>
    </row>
    <row r="1466" spans="1:17" x14ac:dyDescent="0.3">
      <c r="A1466" t="s">
        <v>17</v>
      </c>
      <c r="B1466" t="str">
        <f>"603767"</f>
        <v>603767</v>
      </c>
      <c r="C1466" t="s">
        <v>3235</v>
      </c>
      <c r="D1466" t="s">
        <v>348</v>
      </c>
      <c r="F1466">
        <v>105.2646</v>
      </c>
      <c r="G1466">
        <v>101.7915</v>
      </c>
      <c r="H1466">
        <v>103.6692</v>
      </c>
      <c r="I1466">
        <v>102.30370000000001</v>
      </c>
      <c r="J1466">
        <v>105.0767</v>
      </c>
      <c r="K1466">
        <v>55.848300000000002</v>
      </c>
      <c r="P1466">
        <v>80</v>
      </c>
      <c r="Q1466" t="s">
        <v>3236</v>
      </c>
    </row>
    <row r="1467" spans="1:17" x14ac:dyDescent="0.3">
      <c r="A1467" t="s">
        <v>17</v>
      </c>
      <c r="B1467" t="str">
        <f>"603768"</f>
        <v>603768</v>
      </c>
      <c r="C1467" t="s">
        <v>3237</v>
      </c>
      <c r="D1467" t="s">
        <v>985</v>
      </c>
      <c r="F1467">
        <v>81.950500000000005</v>
      </c>
      <c r="G1467">
        <v>90.478800000000007</v>
      </c>
      <c r="H1467">
        <v>92.906999999999996</v>
      </c>
      <c r="I1467">
        <v>87.9285</v>
      </c>
      <c r="J1467">
        <v>84.139399999999995</v>
      </c>
      <c r="P1467">
        <v>58</v>
      </c>
      <c r="Q1467" t="s">
        <v>3238</v>
      </c>
    </row>
    <row r="1468" spans="1:17" x14ac:dyDescent="0.3">
      <c r="A1468" t="s">
        <v>17</v>
      </c>
      <c r="B1468" t="str">
        <f>"603773"</f>
        <v>603773</v>
      </c>
      <c r="C1468" t="s">
        <v>3239</v>
      </c>
      <c r="D1468" t="s">
        <v>1117</v>
      </c>
      <c r="F1468">
        <v>68.543199999999999</v>
      </c>
      <c r="G1468">
        <v>24.534800000000001</v>
      </c>
      <c r="H1468">
        <v>26.234100000000002</v>
      </c>
      <c r="I1468">
        <v>30.6754</v>
      </c>
      <c r="J1468">
        <v>6.6387999999999998</v>
      </c>
      <c r="P1468">
        <v>141</v>
      </c>
      <c r="Q1468" t="s">
        <v>3240</v>
      </c>
    </row>
    <row r="1469" spans="1:17" x14ac:dyDescent="0.3">
      <c r="A1469" t="s">
        <v>17</v>
      </c>
      <c r="B1469" t="str">
        <f>"603776"</f>
        <v>603776</v>
      </c>
      <c r="C1469" t="s">
        <v>3241</v>
      </c>
      <c r="D1469" t="s">
        <v>1654</v>
      </c>
      <c r="F1469">
        <v>51.175600000000003</v>
      </c>
      <c r="G1469">
        <v>51.639800000000001</v>
      </c>
      <c r="H1469">
        <v>51.9694</v>
      </c>
      <c r="I1469">
        <v>67.1982</v>
      </c>
      <c r="J1469">
        <v>82.254000000000005</v>
      </c>
      <c r="P1469">
        <v>189</v>
      </c>
      <c r="Q1469" t="s">
        <v>3242</v>
      </c>
    </row>
    <row r="1470" spans="1:17" x14ac:dyDescent="0.3">
      <c r="A1470" t="s">
        <v>17</v>
      </c>
      <c r="B1470" t="str">
        <f>"603777"</f>
        <v>603777</v>
      </c>
      <c r="C1470" t="s">
        <v>3243</v>
      </c>
      <c r="D1470" t="s">
        <v>3167</v>
      </c>
      <c r="F1470">
        <v>62.742899999999999</v>
      </c>
      <c r="G1470">
        <v>69.844499999999996</v>
      </c>
      <c r="H1470">
        <v>70.445499999999996</v>
      </c>
      <c r="I1470">
        <v>77.083100000000002</v>
      </c>
      <c r="J1470">
        <v>72.0642</v>
      </c>
      <c r="K1470">
        <v>62.153700000000001</v>
      </c>
      <c r="L1470">
        <v>33.533999999999999</v>
      </c>
      <c r="P1470">
        <v>259</v>
      </c>
      <c r="Q1470" t="s">
        <v>3244</v>
      </c>
    </row>
    <row r="1471" spans="1:17" x14ac:dyDescent="0.3">
      <c r="A1471" t="s">
        <v>17</v>
      </c>
      <c r="B1471" t="str">
        <f>"603778"</f>
        <v>603778</v>
      </c>
      <c r="C1471" t="s">
        <v>3245</v>
      </c>
      <c r="D1471" t="s">
        <v>2408</v>
      </c>
      <c r="F1471">
        <v>14.599399999999999</v>
      </c>
      <c r="G1471">
        <v>980.6241</v>
      </c>
      <c r="H1471">
        <v>1720.8687</v>
      </c>
      <c r="I1471">
        <v>1625.4574</v>
      </c>
      <c r="J1471">
        <v>1235.3653999999999</v>
      </c>
      <c r="K1471">
        <v>727.2577</v>
      </c>
      <c r="L1471">
        <v>414.87479999999999</v>
      </c>
      <c r="M1471">
        <v>114.32389999999999</v>
      </c>
      <c r="P1471">
        <v>72</v>
      </c>
      <c r="Q1471" t="s">
        <v>3246</v>
      </c>
    </row>
    <row r="1472" spans="1:17" x14ac:dyDescent="0.3">
      <c r="A1472" t="s">
        <v>17</v>
      </c>
      <c r="B1472" t="str">
        <f>"603779"</f>
        <v>603779</v>
      </c>
      <c r="C1472" t="s">
        <v>3247</v>
      </c>
      <c r="D1472" t="s">
        <v>134</v>
      </c>
      <c r="F1472">
        <v>1536.0244</v>
      </c>
      <c r="G1472">
        <v>1725.1773000000001</v>
      </c>
      <c r="H1472">
        <v>1454.5594000000001</v>
      </c>
      <c r="I1472">
        <v>1221.2739999999999</v>
      </c>
      <c r="J1472">
        <v>1054.6039000000001</v>
      </c>
      <c r="K1472">
        <v>1080.0247999999999</v>
      </c>
      <c r="L1472">
        <v>555.93039999999996</v>
      </c>
      <c r="P1472">
        <v>101</v>
      </c>
      <c r="Q1472" t="s">
        <v>3248</v>
      </c>
    </row>
    <row r="1473" spans="1:17" x14ac:dyDescent="0.3">
      <c r="A1473" t="s">
        <v>17</v>
      </c>
      <c r="B1473" t="str">
        <f>"603786"</f>
        <v>603786</v>
      </c>
      <c r="C1473" t="s">
        <v>3249</v>
      </c>
      <c r="D1473" t="s">
        <v>1415</v>
      </c>
      <c r="F1473">
        <v>224.2527</v>
      </c>
      <c r="G1473">
        <v>181.3794</v>
      </c>
      <c r="H1473">
        <v>173.5008</v>
      </c>
      <c r="I1473">
        <v>72.185100000000006</v>
      </c>
      <c r="P1473">
        <v>345</v>
      </c>
      <c r="Q1473" t="s">
        <v>3250</v>
      </c>
    </row>
    <row r="1474" spans="1:17" x14ac:dyDescent="0.3">
      <c r="A1474" t="s">
        <v>17</v>
      </c>
      <c r="B1474" t="str">
        <f>"603787"</f>
        <v>603787</v>
      </c>
      <c r="C1474" t="s">
        <v>3251</v>
      </c>
      <c r="D1474" t="s">
        <v>1654</v>
      </c>
      <c r="F1474">
        <v>32.768999999999998</v>
      </c>
      <c r="G1474">
        <v>24.122299999999999</v>
      </c>
      <c r="H1474">
        <v>28.237200000000001</v>
      </c>
      <c r="I1474">
        <v>25.390899999999998</v>
      </c>
      <c r="J1474">
        <v>24.168700000000001</v>
      </c>
      <c r="K1474">
        <v>21.912500000000001</v>
      </c>
      <c r="P1474">
        <v>103</v>
      </c>
      <c r="Q1474" t="s">
        <v>3252</v>
      </c>
    </row>
    <row r="1475" spans="1:17" x14ac:dyDescent="0.3">
      <c r="A1475" t="s">
        <v>17</v>
      </c>
      <c r="B1475" t="str">
        <f>"603788"</f>
        <v>603788</v>
      </c>
      <c r="C1475" t="s">
        <v>3253</v>
      </c>
      <c r="D1475" t="s">
        <v>348</v>
      </c>
      <c r="F1475">
        <v>116.0839</v>
      </c>
      <c r="G1475">
        <v>113.6037</v>
      </c>
      <c r="H1475">
        <v>96.461299999999994</v>
      </c>
      <c r="I1475">
        <v>80.613</v>
      </c>
      <c r="J1475">
        <v>78.621399999999994</v>
      </c>
      <c r="K1475">
        <v>81.879400000000004</v>
      </c>
      <c r="L1475">
        <v>75.1374</v>
      </c>
      <c r="M1475">
        <v>39.944200000000002</v>
      </c>
      <c r="P1475">
        <v>330</v>
      </c>
      <c r="Q1475" t="s">
        <v>3254</v>
      </c>
    </row>
    <row r="1476" spans="1:17" x14ac:dyDescent="0.3">
      <c r="A1476" t="s">
        <v>17</v>
      </c>
      <c r="B1476" t="str">
        <f>"603789"</f>
        <v>603789</v>
      </c>
      <c r="C1476" t="s">
        <v>3255</v>
      </c>
      <c r="D1476" t="s">
        <v>1979</v>
      </c>
      <c r="F1476">
        <v>165.393</v>
      </c>
      <c r="G1476">
        <v>237.72290000000001</v>
      </c>
      <c r="H1476">
        <v>164.80969999999999</v>
      </c>
      <c r="I1476">
        <v>98.336299999999994</v>
      </c>
      <c r="J1476">
        <v>122.13930000000001</v>
      </c>
      <c r="K1476">
        <v>70.826599999999999</v>
      </c>
      <c r="L1476">
        <v>39.075099999999999</v>
      </c>
      <c r="M1476">
        <v>7.7398999999999996</v>
      </c>
      <c r="P1476">
        <v>64</v>
      </c>
      <c r="Q1476" t="s">
        <v>3256</v>
      </c>
    </row>
    <row r="1477" spans="1:17" x14ac:dyDescent="0.3">
      <c r="A1477" t="s">
        <v>17</v>
      </c>
      <c r="B1477" t="str">
        <f>"603790"</f>
        <v>603790</v>
      </c>
      <c r="C1477" t="s">
        <v>3257</v>
      </c>
      <c r="D1477" t="s">
        <v>779</v>
      </c>
      <c r="F1477">
        <v>284.74900000000002</v>
      </c>
      <c r="G1477">
        <v>303.48660000000001</v>
      </c>
      <c r="H1477">
        <v>241.7722</v>
      </c>
      <c r="I1477">
        <v>222.8152</v>
      </c>
      <c r="P1477">
        <v>64</v>
      </c>
      <c r="Q1477" t="s">
        <v>3258</v>
      </c>
    </row>
    <row r="1478" spans="1:17" x14ac:dyDescent="0.3">
      <c r="A1478" t="s">
        <v>17</v>
      </c>
      <c r="B1478" t="str">
        <f>"603797"</f>
        <v>603797</v>
      </c>
      <c r="C1478" t="s">
        <v>3259</v>
      </c>
      <c r="D1478" t="s">
        <v>33</v>
      </c>
      <c r="F1478">
        <v>11.0983</v>
      </c>
      <c r="G1478">
        <v>15.890599999999999</v>
      </c>
      <c r="H1478">
        <v>19.475100000000001</v>
      </c>
      <c r="I1478">
        <v>20.0944</v>
      </c>
      <c r="J1478">
        <v>26.464200000000002</v>
      </c>
      <c r="P1478">
        <v>243</v>
      </c>
      <c r="Q1478" t="s">
        <v>3260</v>
      </c>
    </row>
    <row r="1479" spans="1:17" x14ac:dyDescent="0.3">
      <c r="A1479" t="s">
        <v>17</v>
      </c>
      <c r="B1479" t="str">
        <f>"603798"</f>
        <v>603798</v>
      </c>
      <c r="C1479" t="s">
        <v>3261</v>
      </c>
      <c r="D1479" t="s">
        <v>1615</v>
      </c>
      <c r="F1479">
        <v>82.929500000000004</v>
      </c>
      <c r="G1479">
        <v>97.510499999999993</v>
      </c>
      <c r="H1479">
        <v>84.550799999999995</v>
      </c>
      <c r="I1479">
        <v>96.670100000000005</v>
      </c>
      <c r="J1479">
        <v>55.1235</v>
      </c>
      <c r="K1479">
        <v>61.227899999999998</v>
      </c>
      <c r="L1479">
        <v>41.436100000000003</v>
      </c>
      <c r="P1479">
        <v>141</v>
      </c>
      <c r="Q1479" t="s">
        <v>3262</v>
      </c>
    </row>
    <row r="1480" spans="1:17" x14ac:dyDescent="0.3">
      <c r="A1480" t="s">
        <v>17</v>
      </c>
      <c r="B1480" t="str">
        <f>"603799"</f>
        <v>603799</v>
      </c>
      <c r="C1480" t="s">
        <v>3263</v>
      </c>
      <c r="D1480" t="s">
        <v>1440</v>
      </c>
      <c r="F1480">
        <v>111.97880000000001</v>
      </c>
      <c r="G1480">
        <v>96.568700000000007</v>
      </c>
      <c r="H1480">
        <v>133.1249</v>
      </c>
      <c r="I1480">
        <v>318.85570000000001</v>
      </c>
      <c r="J1480">
        <v>258.49250000000001</v>
      </c>
      <c r="K1480">
        <v>278.26420000000002</v>
      </c>
      <c r="L1480">
        <v>341.31299999999999</v>
      </c>
      <c r="M1480">
        <v>93.693799999999996</v>
      </c>
      <c r="P1480">
        <v>1518</v>
      </c>
      <c r="Q1480" t="s">
        <v>3264</v>
      </c>
    </row>
    <row r="1481" spans="1:17" x14ac:dyDescent="0.3">
      <c r="A1481" t="s">
        <v>17</v>
      </c>
      <c r="B1481" t="str">
        <f>"603800"</f>
        <v>603800</v>
      </c>
      <c r="C1481" t="s">
        <v>3265</v>
      </c>
      <c r="D1481" t="s">
        <v>395</v>
      </c>
      <c r="F1481">
        <v>233.89420000000001</v>
      </c>
      <c r="G1481">
        <v>267.38920000000002</v>
      </c>
      <c r="H1481">
        <v>195.23589999999999</v>
      </c>
      <c r="I1481">
        <v>199.75040000000001</v>
      </c>
      <c r="J1481">
        <v>235.25210000000001</v>
      </c>
      <c r="K1481">
        <v>279.327</v>
      </c>
      <c r="P1481">
        <v>75</v>
      </c>
      <c r="Q1481" t="s">
        <v>3266</v>
      </c>
    </row>
    <row r="1482" spans="1:17" x14ac:dyDescent="0.3">
      <c r="A1482" t="s">
        <v>17</v>
      </c>
      <c r="B1482" t="str">
        <f>"603801"</f>
        <v>603801</v>
      </c>
      <c r="C1482" t="s">
        <v>3267</v>
      </c>
      <c r="D1482" t="s">
        <v>2647</v>
      </c>
      <c r="F1482">
        <v>72.238100000000003</v>
      </c>
      <c r="G1482">
        <v>79.623999999999995</v>
      </c>
      <c r="H1482">
        <v>57.765000000000001</v>
      </c>
      <c r="I1482">
        <v>53.2791</v>
      </c>
      <c r="J1482">
        <v>70.529899999999998</v>
      </c>
      <c r="P1482">
        <v>768</v>
      </c>
      <c r="Q1482" t="s">
        <v>3268</v>
      </c>
    </row>
    <row r="1483" spans="1:17" x14ac:dyDescent="0.3">
      <c r="A1483" t="s">
        <v>17</v>
      </c>
      <c r="B1483" t="str">
        <f>"603803"</f>
        <v>603803</v>
      </c>
      <c r="C1483" t="s">
        <v>3269</v>
      </c>
      <c r="D1483" t="s">
        <v>786</v>
      </c>
      <c r="F1483">
        <v>419.94110000000001</v>
      </c>
      <c r="G1483">
        <v>530.92849999999999</v>
      </c>
      <c r="H1483">
        <v>200.1403</v>
      </c>
      <c r="I1483">
        <v>259.916</v>
      </c>
      <c r="J1483">
        <v>335.78379999999999</v>
      </c>
      <c r="P1483">
        <v>153</v>
      </c>
      <c r="Q1483" t="s">
        <v>3270</v>
      </c>
    </row>
    <row r="1484" spans="1:17" x14ac:dyDescent="0.3">
      <c r="A1484" t="s">
        <v>17</v>
      </c>
      <c r="B1484" t="str">
        <f>"603806"</f>
        <v>603806</v>
      </c>
      <c r="C1484" t="s">
        <v>3271</v>
      </c>
      <c r="D1484" t="s">
        <v>478</v>
      </c>
      <c r="F1484">
        <v>72.126499999999993</v>
      </c>
      <c r="G1484">
        <v>77.568200000000004</v>
      </c>
      <c r="H1484">
        <v>79.4589</v>
      </c>
      <c r="I1484">
        <v>79.705799999999996</v>
      </c>
      <c r="J1484">
        <v>73.988799999999998</v>
      </c>
      <c r="K1484">
        <v>84.471500000000006</v>
      </c>
      <c r="L1484">
        <v>103.5004</v>
      </c>
      <c r="M1484">
        <v>79.135900000000007</v>
      </c>
      <c r="N1484">
        <v>40.777200000000001</v>
      </c>
      <c r="P1484">
        <v>1029</v>
      </c>
      <c r="Q1484" t="s">
        <v>3272</v>
      </c>
    </row>
    <row r="1485" spans="1:17" x14ac:dyDescent="0.3">
      <c r="A1485" t="s">
        <v>17</v>
      </c>
      <c r="B1485" t="str">
        <f>"603808"</f>
        <v>603808</v>
      </c>
      <c r="C1485" t="s">
        <v>3273</v>
      </c>
      <c r="D1485" t="s">
        <v>255</v>
      </c>
      <c r="F1485">
        <v>384.53879999999998</v>
      </c>
      <c r="G1485">
        <v>420.1755</v>
      </c>
      <c r="H1485">
        <v>310.82060000000001</v>
      </c>
      <c r="I1485">
        <v>316.34089999999998</v>
      </c>
      <c r="J1485">
        <v>288.72030000000001</v>
      </c>
      <c r="K1485">
        <v>362.81189999999998</v>
      </c>
      <c r="L1485">
        <v>342.77620000000002</v>
      </c>
      <c r="M1485">
        <v>407.26369999999997</v>
      </c>
      <c r="P1485">
        <v>479</v>
      </c>
      <c r="Q1485" t="s">
        <v>3274</v>
      </c>
    </row>
    <row r="1486" spans="1:17" x14ac:dyDescent="0.3">
      <c r="A1486" t="s">
        <v>17</v>
      </c>
      <c r="B1486" t="str">
        <f>"603809"</f>
        <v>603809</v>
      </c>
      <c r="C1486" t="s">
        <v>3275</v>
      </c>
      <c r="D1486" t="s">
        <v>348</v>
      </c>
      <c r="F1486">
        <v>260.0095</v>
      </c>
      <c r="G1486">
        <v>203.97559999999999</v>
      </c>
      <c r="H1486">
        <v>195.1994</v>
      </c>
      <c r="I1486">
        <v>183.32919999999999</v>
      </c>
      <c r="J1486">
        <v>165.05170000000001</v>
      </c>
      <c r="P1486">
        <v>137</v>
      </c>
      <c r="Q1486" t="s">
        <v>3276</v>
      </c>
    </row>
    <row r="1487" spans="1:17" x14ac:dyDescent="0.3">
      <c r="A1487" t="s">
        <v>17</v>
      </c>
      <c r="B1487" t="str">
        <f>"603810"</f>
        <v>603810</v>
      </c>
      <c r="C1487" t="s">
        <v>3277</v>
      </c>
      <c r="D1487" t="s">
        <v>853</v>
      </c>
      <c r="F1487">
        <v>108.2136</v>
      </c>
      <c r="G1487">
        <v>111.0686</v>
      </c>
      <c r="H1487">
        <v>148.0129</v>
      </c>
      <c r="I1487">
        <v>117.557</v>
      </c>
      <c r="P1487">
        <v>79</v>
      </c>
      <c r="Q1487" t="s">
        <v>3278</v>
      </c>
    </row>
    <row r="1488" spans="1:17" x14ac:dyDescent="0.3">
      <c r="A1488" t="s">
        <v>17</v>
      </c>
      <c r="B1488" t="str">
        <f>"603811"</f>
        <v>603811</v>
      </c>
      <c r="C1488" t="s">
        <v>3279</v>
      </c>
      <c r="D1488" t="s">
        <v>143</v>
      </c>
      <c r="F1488">
        <v>286.19929999999999</v>
      </c>
      <c r="G1488">
        <v>257.23009999999999</v>
      </c>
      <c r="H1488">
        <v>255.61240000000001</v>
      </c>
      <c r="I1488">
        <v>173.47110000000001</v>
      </c>
      <c r="J1488">
        <v>191.4743</v>
      </c>
      <c r="P1488">
        <v>327</v>
      </c>
      <c r="Q1488" t="s">
        <v>3280</v>
      </c>
    </row>
    <row r="1489" spans="1:17" x14ac:dyDescent="0.3">
      <c r="A1489" t="s">
        <v>17</v>
      </c>
      <c r="B1489" t="str">
        <f>"603813"</f>
        <v>603813</v>
      </c>
      <c r="C1489" t="s">
        <v>3281</v>
      </c>
      <c r="D1489" t="s">
        <v>2492</v>
      </c>
      <c r="F1489">
        <v>0.54979999999999996</v>
      </c>
      <c r="G1489">
        <v>0.50529999999999997</v>
      </c>
      <c r="H1489">
        <v>0.21870000000000001</v>
      </c>
      <c r="I1489">
        <v>0.39850000000000002</v>
      </c>
      <c r="J1489">
        <v>0.96630000000000005</v>
      </c>
      <c r="P1489">
        <v>59</v>
      </c>
      <c r="Q1489" t="s">
        <v>3282</v>
      </c>
    </row>
    <row r="1490" spans="1:17" x14ac:dyDescent="0.3">
      <c r="A1490" t="s">
        <v>17</v>
      </c>
      <c r="B1490" t="str">
        <f>"603815"</f>
        <v>603815</v>
      </c>
      <c r="C1490" t="s">
        <v>3283</v>
      </c>
      <c r="D1490" t="s">
        <v>101</v>
      </c>
      <c r="F1490">
        <v>5.0934999999999997</v>
      </c>
      <c r="G1490">
        <v>81.542299999999997</v>
      </c>
      <c r="H1490">
        <v>163.89529999999999</v>
      </c>
      <c r="P1490">
        <v>85</v>
      </c>
      <c r="Q1490" t="s">
        <v>3284</v>
      </c>
    </row>
    <row r="1491" spans="1:17" x14ac:dyDescent="0.3">
      <c r="A1491" t="s">
        <v>17</v>
      </c>
      <c r="B1491" t="str">
        <f>"603816"</f>
        <v>603816</v>
      </c>
      <c r="C1491" t="s">
        <v>3285</v>
      </c>
      <c r="D1491" t="s">
        <v>757</v>
      </c>
      <c r="F1491">
        <v>74.443200000000004</v>
      </c>
      <c r="G1491">
        <v>85.590599999999995</v>
      </c>
      <c r="H1491">
        <v>75.401799999999994</v>
      </c>
      <c r="I1491">
        <v>76.735100000000003</v>
      </c>
      <c r="J1491">
        <v>81.319100000000006</v>
      </c>
      <c r="K1491">
        <v>97.564800000000005</v>
      </c>
      <c r="L1491">
        <v>63.248800000000003</v>
      </c>
      <c r="P1491">
        <v>1965</v>
      </c>
      <c r="Q1491" t="s">
        <v>3286</v>
      </c>
    </row>
    <row r="1492" spans="1:17" x14ac:dyDescent="0.3">
      <c r="A1492" t="s">
        <v>17</v>
      </c>
      <c r="B1492" t="str">
        <f>"603817"</f>
        <v>603817</v>
      </c>
      <c r="C1492" t="s">
        <v>3287</v>
      </c>
      <c r="D1492" t="s">
        <v>33</v>
      </c>
      <c r="F1492">
        <v>32.311300000000003</v>
      </c>
      <c r="G1492">
        <v>27.3872</v>
      </c>
      <c r="H1492">
        <v>10.740500000000001</v>
      </c>
      <c r="I1492">
        <v>11.823399999999999</v>
      </c>
      <c r="J1492">
        <v>13.9849</v>
      </c>
      <c r="K1492">
        <v>14.986499999999999</v>
      </c>
      <c r="L1492">
        <v>5.4878</v>
      </c>
      <c r="P1492">
        <v>121</v>
      </c>
      <c r="Q1492" t="s">
        <v>3288</v>
      </c>
    </row>
    <row r="1493" spans="1:17" x14ac:dyDescent="0.3">
      <c r="A1493" t="s">
        <v>17</v>
      </c>
      <c r="B1493" t="str">
        <f>"603818"</f>
        <v>603818</v>
      </c>
      <c r="C1493" t="s">
        <v>3289</v>
      </c>
      <c r="D1493" t="s">
        <v>757</v>
      </c>
      <c r="F1493">
        <v>158.83320000000001</v>
      </c>
      <c r="G1493">
        <v>158.63640000000001</v>
      </c>
      <c r="H1493">
        <v>143.8398</v>
      </c>
      <c r="I1493">
        <v>154.53540000000001</v>
      </c>
      <c r="J1493">
        <v>74.501900000000006</v>
      </c>
      <c r="K1493">
        <v>79.950900000000004</v>
      </c>
      <c r="L1493">
        <v>80.582599999999999</v>
      </c>
      <c r="M1493">
        <v>38.5931</v>
      </c>
      <c r="P1493">
        <v>202</v>
      </c>
      <c r="Q1493" t="s">
        <v>3290</v>
      </c>
    </row>
    <row r="1494" spans="1:17" x14ac:dyDescent="0.3">
      <c r="A1494" t="s">
        <v>17</v>
      </c>
      <c r="B1494" t="str">
        <f>"603819"</f>
        <v>603819</v>
      </c>
      <c r="C1494" t="s">
        <v>3291</v>
      </c>
      <c r="D1494" t="s">
        <v>1171</v>
      </c>
      <c r="F1494">
        <v>101.24639999999999</v>
      </c>
      <c r="G1494">
        <v>103.13679999999999</v>
      </c>
      <c r="H1494">
        <v>106.89919999999999</v>
      </c>
      <c r="I1494">
        <v>115.185</v>
      </c>
      <c r="J1494">
        <v>108.0462</v>
      </c>
      <c r="K1494">
        <v>105.8365</v>
      </c>
      <c r="L1494">
        <v>57.988399999999999</v>
      </c>
      <c r="P1494">
        <v>74</v>
      </c>
      <c r="Q1494" t="s">
        <v>3292</v>
      </c>
    </row>
    <row r="1495" spans="1:17" x14ac:dyDescent="0.3">
      <c r="A1495" t="s">
        <v>17</v>
      </c>
      <c r="B1495" t="str">
        <f>"603822"</f>
        <v>603822</v>
      </c>
      <c r="C1495" t="s">
        <v>3293</v>
      </c>
      <c r="D1495" t="s">
        <v>386</v>
      </c>
      <c r="F1495">
        <v>154.24119999999999</v>
      </c>
      <c r="G1495">
        <v>154.1651</v>
      </c>
      <c r="H1495">
        <v>143.51849999999999</v>
      </c>
      <c r="I1495">
        <v>114.48739999999999</v>
      </c>
      <c r="J1495">
        <v>136.10489999999999</v>
      </c>
      <c r="K1495">
        <v>187.2259</v>
      </c>
      <c r="L1495">
        <v>77.749700000000004</v>
      </c>
      <c r="P1495">
        <v>124</v>
      </c>
      <c r="Q1495" t="s">
        <v>3294</v>
      </c>
    </row>
    <row r="1496" spans="1:17" x14ac:dyDescent="0.3">
      <c r="A1496" t="s">
        <v>17</v>
      </c>
      <c r="B1496" t="str">
        <f>"603823"</f>
        <v>603823</v>
      </c>
      <c r="C1496" t="s">
        <v>3295</v>
      </c>
      <c r="D1496" t="s">
        <v>2570</v>
      </c>
      <c r="F1496">
        <v>145.20519999999999</v>
      </c>
      <c r="G1496">
        <v>181.3776</v>
      </c>
      <c r="H1496">
        <v>171.52879999999999</v>
      </c>
      <c r="I1496">
        <v>156.98920000000001</v>
      </c>
      <c r="J1496">
        <v>142.9359</v>
      </c>
      <c r="K1496">
        <v>80.243099999999998</v>
      </c>
      <c r="P1496">
        <v>142</v>
      </c>
      <c r="Q1496" t="s">
        <v>3296</v>
      </c>
    </row>
    <row r="1497" spans="1:17" x14ac:dyDescent="0.3">
      <c r="A1497" t="s">
        <v>17</v>
      </c>
      <c r="B1497" t="str">
        <f>"603825"</f>
        <v>603825</v>
      </c>
      <c r="C1497" t="s">
        <v>3297</v>
      </c>
      <c r="D1497" t="s">
        <v>207</v>
      </c>
      <c r="F1497">
        <v>13.5695</v>
      </c>
      <c r="G1497">
        <v>17.398499999999999</v>
      </c>
      <c r="H1497">
        <v>14.7431</v>
      </c>
      <c r="I1497">
        <v>3.0434999999999999</v>
      </c>
      <c r="J1497">
        <v>5.4973999999999998</v>
      </c>
      <c r="P1497">
        <v>158</v>
      </c>
      <c r="Q1497" t="s">
        <v>3298</v>
      </c>
    </row>
    <row r="1498" spans="1:17" x14ac:dyDescent="0.3">
      <c r="A1498" t="s">
        <v>17</v>
      </c>
      <c r="B1498" t="str">
        <f>"603826"</f>
        <v>603826</v>
      </c>
      <c r="C1498" t="s">
        <v>3299</v>
      </c>
      <c r="D1498" t="s">
        <v>2739</v>
      </c>
      <c r="F1498">
        <v>400.51190000000003</v>
      </c>
      <c r="G1498">
        <v>450.95159999999998</v>
      </c>
      <c r="H1498">
        <v>540.75779999999997</v>
      </c>
      <c r="I1498">
        <v>390.8349</v>
      </c>
      <c r="J1498">
        <v>354.31790000000001</v>
      </c>
      <c r="P1498">
        <v>265</v>
      </c>
      <c r="Q1498" t="s">
        <v>3300</v>
      </c>
    </row>
    <row r="1499" spans="1:17" x14ac:dyDescent="0.3">
      <c r="A1499" t="s">
        <v>17</v>
      </c>
      <c r="B1499" t="str">
        <f>"603828"</f>
        <v>603828</v>
      </c>
      <c r="C1499" t="s">
        <v>3301</v>
      </c>
      <c r="D1499" t="s">
        <v>450</v>
      </c>
      <c r="F1499">
        <v>4.1375000000000002</v>
      </c>
      <c r="G1499">
        <v>8.6555999999999997</v>
      </c>
      <c r="H1499">
        <v>10.9991</v>
      </c>
      <c r="I1499">
        <v>20.3172</v>
      </c>
      <c r="J1499">
        <v>8.5038</v>
      </c>
      <c r="K1499">
        <v>9.5140999999999991</v>
      </c>
      <c r="L1499">
        <v>9.8018000000000001</v>
      </c>
      <c r="M1499">
        <v>10.5518</v>
      </c>
      <c r="P1499">
        <v>66</v>
      </c>
      <c r="Q1499" t="s">
        <v>3302</v>
      </c>
    </row>
    <row r="1500" spans="1:17" x14ac:dyDescent="0.3">
      <c r="A1500" t="s">
        <v>17</v>
      </c>
      <c r="B1500" t="str">
        <f>"603829"</f>
        <v>603829</v>
      </c>
      <c r="C1500" t="s">
        <v>3303</v>
      </c>
      <c r="D1500" t="s">
        <v>657</v>
      </c>
      <c r="F1500">
        <v>112.1461</v>
      </c>
      <c r="G1500">
        <v>121.7427</v>
      </c>
      <c r="H1500">
        <v>106.59399999999999</v>
      </c>
      <c r="I1500">
        <v>94.852999999999994</v>
      </c>
      <c r="J1500">
        <v>83.301699999999997</v>
      </c>
      <c r="P1500">
        <v>50</v>
      </c>
      <c r="Q1500" t="s">
        <v>3304</v>
      </c>
    </row>
    <row r="1501" spans="1:17" x14ac:dyDescent="0.3">
      <c r="A1501" t="s">
        <v>17</v>
      </c>
      <c r="B1501" t="str">
        <f>"603833"</f>
        <v>603833</v>
      </c>
      <c r="C1501" t="s">
        <v>3305</v>
      </c>
      <c r="D1501" t="s">
        <v>2647</v>
      </c>
      <c r="F1501">
        <v>37.701799999999999</v>
      </c>
      <c r="G1501">
        <v>47.489199999999997</v>
      </c>
      <c r="H1501">
        <v>43.549599999999998</v>
      </c>
      <c r="I1501">
        <v>51.583100000000002</v>
      </c>
      <c r="J1501">
        <v>59.320799999999998</v>
      </c>
      <c r="P1501">
        <v>2566</v>
      </c>
      <c r="Q1501" t="s">
        <v>3306</v>
      </c>
    </row>
    <row r="1502" spans="1:17" x14ac:dyDescent="0.3">
      <c r="A1502" t="s">
        <v>17</v>
      </c>
      <c r="B1502" t="str">
        <f>"603836"</f>
        <v>603836</v>
      </c>
      <c r="C1502" t="s">
        <v>3307</v>
      </c>
      <c r="D1502" t="s">
        <v>287</v>
      </c>
      <c r="F1502">
        <v>0</v>
      </c>
      <c r="P1502">
        <v>29</v>
      </c>
      <c r="Q1502" t="s">
        <v>3308</v>
      </c>
    </row>
    <row r="1503" spans="1:17" x14ac:dyDescent="0.3">
      <c r="A1503" t="s">
        <v>17</v>
      </c>
      <c r="B1503" t="str">
        <f>"603838"</f>
        <v>603838</v>
      </c>
      <c r="C1503" t="s">
        <v>3309</v>
      </c>
      <c r="D1503" t="s">
        <v>2436</v>
      </c>
      <c r="F1503">
        <v>197.0823</v>
      </c>
      <c r="G1503">
        <v>411.6662</v>
      </c>
      <c r="H1503">
        <v>167.1919</v>
      </c>
      <c r="I1503">
        <v>133.98609999999999</v>
      </c>
      <c r="J1503">
        <v>139.76900000000001</v>
      </c>
      <c r="K1503">
        <v>154.71190000000001</v>
      </c>
      <c r="L1503">
        <v>157.01900000000001</v>
      </c>
      <c r="M1503">
        <v>54.361899999999999</v>
      </c>
      <c r="P1503">
        <v>49</v>
      </c>
      <c r="Q1503" t="s">
        <v>3310</v>
      </c>
    </row>
    <row r="1504" spans="1:17" x14ac:dyDescent="0.3">
      <c r="A1504" t="s">
        <v>17</v>
      </c>
      <c r="B1504" t="str">
        <f>"603839"</f>
        <v>603839</v>
      </c>
      <c r="C1504" t="s">
        <v>3311</v>
      </c>
      <c r="D1504" t="s">
        <v>255</v>
      </c>
      <c r="F1504">
        <v>413.09899999999999</v>
      </c>
      <c r="G1504">
        <v>368.71530000000001</v>
      </c>
      <c r="H1504">
        <v>405.98570000000001</v>
      </c>
      <c r="I1504">
        <v>544.34559999999999</v>
      </c>
      <c r="J1504">
        <v>489.32420000000002</v>
      </c>
      <c r="K1504">
        <v>662.29589999999996</v>
      </c>
      <c r="L1504">
        <v>268.2047</v>
      </c>
      <c r="P1504">
        <v>136</v>
      </c>
      <c r="Q1504" t="s">
        <v>3312</v>
      </c>
    </row>
    <row r="1505" spans="1:17" x14ac:dyDescent="0.3">
      <c r="A1505" t="s">
        <v>17</v>
      </c>
      <c r="B1505" t="str">
        <f>"603843"</f>
        <v>603843</v>
      </c>
      <c r="C1505" t="s">
        <v>3313</v>
      </c>
      <c r="D1505" t="s">
        <v>101</v>
      </c>
      <c r="F1505">
        <v>14.4672</v>
      </c>
      <c r="G1505">
        <v>186.91919999999999</v>
      </c>
      <c r="H1505">
        <v>390.8503</v>
      </c>
      <c r="I1505">
        <v>407.0924</v>
      </c>
      <c r="J1505">
        <v>500.14870000000002</v>
      </c>
      <c r="K1505">
        <v>227.13890000000001</v>
      </c>
      <c r="L1505">
        <v>60.564500000000002</v>
      </c>
      <c r="P1505">
        <v>90</v>
      </c>
      <c r="Q1505" t="s">
        <v>3314</v>
      </c>
    </row>
    <row r="1506" spans="1:17" x14ac:dyDescent="0.3">
      <c r="A1506" t="s">
        <v>17</v>
      </c>
      <c r="B1506" t="str">
        <f>"603848"</f>
        <v>603848</v>
      </c>
      <c r="C1506" t="s">
        <v>3315</v>
      </c>
      <c r="D1506" t="s">
        <v>757</v>
      </c>
      <c r="F1506">
        <v>90.603899999999996</v>
      </c>
      <c r="G1506">
        <v>102.997</v>
      </c>
      <c r="H1506">
        <v>51.276600000000002</v>
      </c>
      <c r="I1506">
        <v>38.865499999999997</v>
      </c>
      <c r="J1506">
        <v>21.343699999999998</v>
      </c>
      <c r="P1506">
        <v>415</v>
      </c>
      <c r="Q1506" t="s">
        <v>3316</v>
      </c>
    </row>
    <row r="1507" spans="1:17" x14ac:dyDescent="0.3">
      <c r="A1507" t="s">
        <v>17</v>
      </c>
      <c r="B1507" t="str">
        <f>"603855"</f>
        <v>603855</v>
      </c>
      <c r="C1507" t="s">
        <v>3317</v>
      </c>
      <c r="D1507" t="s">
        <v>741</v>
      </c>
      <c r="F1507">
        <v>195.78710000000001</v>
      </c>
      <c r="G1507">
        <v>245.7079</v>
      </c>
      <c r="H1507">
        <v>248.11349999999999</v>
      </c>
      <c r="I1507">
        <v>209.959</v>
      </c>
      <c r="J1507">
        <v>220.35470000000001</v>
      </c>
      <c r="P1507">
        <v>220</v>
      </c>
      <c r="Q1507" t="s">
        <v>3318</v>
      </c>
    </row>
    <row r="1508" spans="1:17" x14ac:dyDescent="0.3">
      <c r="A1508" t="s">
        <v>17</v>
      </c>
      <c r="B1508" t="str">
        <f>"603856"</f>
        <v>603856</v>
      </c>
      <c r="C1508" t="s">
        <v>3319</v>
      </c>
      <c r="D1508" t="s">
        <v>3320</v>
      </c>
      <c r="F1508">
        <v>96.9666</v>
      </c>
      <c r="G1508">
        <v>117.797</v>
      </c>
      <c r="H1508">
        <v>105.9264</v>
      </c>
      <c r="I1508">
        <v>127.5732</v>
      </c>
      <c r="J1508">
        <v>109.7792</v>
      </c>
      <c r="P1508">
        <v>138</v>
      </c>
      <c r="Q1508" t="s">
        <v>3321</v>
      </c>
    </row>
    <row r="1509" spans="1:17" x14ac:dyDescent="0.3">
      <c r="A1509" t="s">
        <v>17</v>
      </c>
      <c r="B1509" t="str">
        <f>"603858"</f>
        <v>603858</v>
      </c>
      <c r="C1509" t="s">
        <v>3322</v>
      </c>
      <c r="D1509" t="s">
        <v>188</v>
      </c>
      <c r="F1509">
        <v>377.95909999999998</v>
      </c>
      <c r="G1509">
        <v>280.07139999999998</v>
      </c>
      <c r="H1509">
        <v>294.14409999999998</v>
      </c>
      <c r="I1509">
        <v>317.32580000000002</v>
      </c>
      <c r="J1509">
        <v>273.26900000000001</v>
      </c>
      <c r="K1509">
        <v>228.90700000000001</v>
      </c>
      <c r="L1509">
        <v>114.5014</v>
      </c>
      <c r="P1509">
        <v>828</v>
      </c>
      <c r="Q1509" t="s">
        <v>3323</v>
      </c>
    </row>
    <row r="1510" spans="1:17" x14ac:dyDescent="0.3">
      <c r="A1510" t="s">
        <v>17</v>
      </c>
      <c r="B1510" t="str">
        <f>"603859"</f>
        <v>603859</v>
      </c>
      <c r="C1510" t="s">
        <v>3324</v>
      </c>
      <c r="D1510" t="s">
        <v>2423</v>
      </c>
      <c r="F1510">
        <v>97.444699999999997</v>
      </c>
      <c r="G1510">
        <v>160.5617</v>
      </c>
      <c r="H1510">
        <v>130.34800000000001</v>
      </c>
      <c r="I1510">
        <v>133.52289999999999</v>
      </c>
      <c r="J1510">
        <v>278.9649</v>
      </c>
      <c r="K1510">
        <v>206.94399999999999</v>
      </c>
      <c r="L1510">
        <v>37.356200000000001</v>
      </c>
      <c r="P1510">
        <v>205</v>
      </c>
      <c r="Q1510" t="s">
        <v>3325</v>
      </c>
    </row>
    <row r="1511" spans="1:17" x14ac:dyDescent="0.3">
      <c r="A1511" t="s">
        <v>17</v>
      </c>
      <c r="B1511" t="str">
        <f>"603860"</f>
        <v>603860</v>
      </c>
      <c r="C1511" t="s">
        <v>3326</v>
      </c>
      <c r="D1511" t="s">
        <v>1272</v>
      </c>
      <c r="F1511">
        <v>357.91230000000002</v>
      </c>
      <c r="G1511">
        <v>281.25</v>
      </c>
      <c r="H1511">
        <v>193.26650000000001</v>
      </c>
      <c r="I1511">
        <v>164.97540000000001</v>
      </c>
      <c r="J1511">
        <v>158.91229999999999</v>
      </c>
      <c r="K1511">
        <v>84.646699999999996</v>
      </c>
      <c r="P1511">
        <v>58</v>
      </c>
      <c r="Q1511" t="s">
        <v>3327</v>
      </c>
    </row>
    <row r="1512" spans="1:17" x14ac:dyDescent="0.3">
      <c r="A1512" t="s">
        <v>17</v>
      </c>
      <c r="B1512" t="str">
        <f>"603861"</f>
        <v>603861</v>
      </c>
      <c r="C1512" t="s">
        <v>3328</v>
      </c>
      <c r="D1512" t="s">
        <v>657</v>
      </c>
      <c r="F1512">
        <v>265.1875</v>
      </c>
      <c r="G1512">
        <v>281.17840000000001</v>
      </c>
      <c r="H1512">
        <v>294.24</v>
      </c>
      <c r="I1512">
        <v>223.31549999999999</v>
      </c>
      <c r="J1512">
        <v>208.19309999999999</v>
      </c>
      <c r="K1512">
        <v>203.3049</v>
      </c>
      <c r="L1512">
        <v>103.62520000000001</v>
      </c>
      <c r="P1512">
        <v>109</v>
      </c>
      <c r="Q1512" t="s">
        <v>3329</v>
      </c>
    </row>
    <row r="1513" spans="1:17" x14ac:dyDescent="0.3">
      <c r="A1513" t="s">
        <v>17</v>
      </c>
      <c r="B1513" t="str">
        <f>"603863"</f>
        <v>603863</v>
      </c>
      <c r="C1513" t="s">
        <v>3330</v>
      </c>
      <c r="D1513" t="s">
        <v>694</v>
      </c>
      <c r="F1513">
        <v>60.305900000000001</v>
      </c>
      <c r="G1513">
        <v>46.049700000000001</v>
      </c>
      <c r="H1513">
        <v>43.714199999999998</v>
      </c>
      <c r="I1513">
        <v>23.134599999999999</v>
      </c>
      <c r="P1513">
        <v>51</v>
      </c>
      <c r="Q1513" t="s">
        <v>3331</v>
      </c>
    </row>
    <row r="1514" spans="1:17" x14ac:dyDescent="0.3">
      <c r="A1514" t="s">
        <v>17</v>
      </c>
      <c r="B1514" t="str">
        <f>"603866"</f>
        <v>603866</v>
      </c>
      <c r="C1514" t="s">
        <v>3332</v>
      </c>
      <c r="D1514" t="s">
        <v>2479</v>
      </c>
      <c r="F1514">
        <v>15.599500000000001</v>
      </c>
      <c r="G1514">
        <v>21.320499999999999</v>
      </c>
      <c r="H1514">
        <v>17.097899999999999</v>
      </c>
      <c r="I1514">
        <v>18.029399999999999</v>
      </c>
      <c r="J1514">
        <v>18.8308</v>
      </c>
      <c r="K1514">
        <v>16.405000000000001</v>
      </c>
      <c r="L1514">
        <v>18.4925</v>
      </c>
      <c r="M1514">
        <v>9.4575999999999993</v>
      </c>
      <c r="P1514">
        <v>7676</v>
      </c>
      <c r="Q1514" t="s">
        <v>3333</v>
      </c>
    </row>
    <row r="1515" spans="1:17" x14ac:dyDescent="0.3">
      <c r="A1515" t="s">
        <v>17</v>
      </c>
      <c r="B1515" t="str">
        <f>"603867"</f>
        <v>603867</v>
      </c>
      <c r="C1515" t="s">
        <v>3334</v>
      </c>
      <c r="D1515" t="s">
        <v>386</v>
      </c>
      <c r="F1515">
        <v>60.256999999999998</v>
      </c>
      <c r="G1515">
        <v>70.183999999999997</v>
      </c>
      <c r="H1515">
        <v>83.669600000000003</v>
      </c>
      <c r="I1515">
        <v>31.668600000000001</v>
      </c>
      <c r="P1515">
        <v>88</v>
      </c>
      <c r="Q1515" t="s">
        <v>3335</v>
      </c>
    </row>
    <row r="1516" spans="1:17" x14ac:dyDescent="0.3">
      <c r="A1516" t="s">
        <v>17</v>
      </c>
      <c r="B1516" t="str">
        <f>"603868"</f>
        <v>603868</v>
      </c>
      <c r="C1516" t="s">
        <v>3336</v>
      </c>
      <c r="D1516" t="s">
        <v>3337</v>
      </c>
      <c r="F1516">
        <v>132.94479999999999</v>
      </c>
      <c r="G1516">
        <v>164.81460000000001</v>
      </c>
      <c r="H1516">
        <v>138.1567</v>
      </c>
      <c r="I1516">
        <v>87.345299999999995</v>
      </c>
      <c r="J1516">
        <v>83.886700000000005</v>
      </c>
      <c r="K1516">
        <v>94.403099999999995</v>
      </c>
      <c r="L1516">
        <v>39.633200000000002</v>
      </c>
      <c r="P1516">
        <v>4435</v>
      </c>
      <c r="Q1516" t="s">
        <v>3338</v>
      </c>
    </row>
    <row r="1517" spans="1:17" x14ac:dyDescent="0.3">
      <c r="A1517" t="s">
        <v>17</v>
      </c>
      <c r="B1517" t="str">
        <f>"603869"</f>
        <v>603869</v>
      </c>
      <c r="C1517" t="s">
        <v>3339</v>
      </c>
      <c r="D1517" t="s">
        <v>316</v>
      </c>
      <c r="F1517">
        <v>303.65210000000002</v>
      </c>
      <c r="G1517">
        <v>318.62380000000002</v>
      </c>
      <c r="H1517">
        <v>319.89920000000001</v>
      </c>
      <c r="I1517">
        <v>151.2226</v>
      </c>
      <c r="J1517">
        <v>116.628</v>
      </c>
      <c r="K1517">
        <v>455.40289999999999</v>
      </c>
      <c r="L1517">
        <v>27.384599999999999</v>
      </c>
      <c r="M1517">
        <v>16.379799999999999</v>
      </c>
      <c r="P1517">
        <v>143</v>
      </c>
      <c r="Q1517" t="s">
        <v>3340</v>
      </c>
    </row>
    <row r="1518" spans="1:17" x14ac:dyDescent="0.3">
      <c r="A1518" t="s">
        <v>17</v>
      </c>
      <c r="B1518" t="str">
        <f>"603871"</f>
        <v>603871</v>
      </c>
      <c r="C1518" t="s">
        <v>3341</v>
      </c>
      <c r="D1518" t="s">
        <v>287</v>
      </c>
      <c r="F1518">
        <v>22.3293</v>
      </c>
      <c r="G1518">
        <v>17.219200000000001</v>
      </c>
      <c r="H1518">
        <v>16.9635</v>
      </c>
      <c r="I1518">
        <v>19.9071</v>
      </c>
      <c r="J1518">
        <v>10.307600000000001</v>
      </c>
      <c r="K1518">
        <v>3.1564999999999999</v>
      </c>
      <c r="P1518">
        <v>324</v>
      </c>
      <c r="Q1518" t="s">
        <v>3342</v>
      </c>
    </row>
    <row r="1519" spans="1:17" x14ac:dyDescent="0.3">
      <c r="A1519" t="s">
        <v>17</v>
      </c>
      <c r="B1519" t="str">
        <f>"603876"</f>
        <v>603876</v>
      </c>
      <c r="C1519" t="s">
        <v>3343</v>
      </c>
      <c r="D1519" t="s">
        <v>504</v>
      </c>
      <c r="F1519">
        <v>90.952500000000001</v>
      </c>
      <c r="G1519">
        <v>101.8519</v>
      </c>
      <c r="H1519">
        <v>87.537099999999995</v>
      </c>
      <c r="I1519">
        <v>85.180800000000005</v>
      </c>
      <c r="P1519">
        <v>143</v>
      </c>
      <c r="Q1519" t="s">
        <v>3344</v>
      </c>
    </row>
    <row r="1520" spans="1:17" x14ac:dyDescent="0.3">
      <c r="A1520" t="s">
        <v>17</v>
      </c>
      <c r="B1520" t="str">
        <f>"603877"</f>
        <v>603877</v>
      </c>
      <c r="C1520" t="s">
        <v>3345</v>
      </c>
      <c r="D1520" t="s">
        <v>255</v>
      </c>
      <c r="F1520">
        <v>265.59010000000001</v>
      </c>
      <c r="G1520">
        <v>275.65190000000001</v>
      </c>
      <c r="H1520">
        <v>314.80950000000001</v>
      </c>
      <c r="I1520">
        <v>324.26659999999998</v>
      </c>
      <c r="J1520">
        <v>339.75779999999997</v>
      </c>
      <c r="K1520">
        <v>352.93740000000003</v>
      </c>
      <c r="L1520">
        <v>112.1086</v>
      </c>
      <c r="P1520">
        <v>364</v>
      </c>
      <c r="Q1520" t="s">
        <v>3346</v>
      </c>
    </row>
    <row r="1521" spans="1:17" x14ac:dyDescent="0.3">
      <c r="A1521" t="s">
        <v>17</v>
      </c>
      <c r="B1521" t="str">
        <f>"603878"</f>
        <v>603878</v>
      </c>
      <c r="C1521" t="s">
        <v>3347</v>
      </c>
      <c r="D1521" t="s">
        <v>2229</v>
      </c>
      <c r="F1521">
        <v>194.4461</v>
      </c>
      <c r="G1521">
        <v>243.0453</v>
      </c>
      <c r="H1521">
        <v>259.97000000000003</v>
      </c>
      <c r="I1521">
        <v>252.35149999999999</v>
      </c>
      <c r="J1521">
        <v>255.1448</v>
      </c>
      <c r="K1521">
        <v>225.48410000000001</v>
      </c>
      <c r="P1521">
        <v>142</v>
      </c>
      <c r="Q1521" t="s">
        <v>3348</v>
      </c>
    </row>
    <row r="1522" spans="1:17" x14ac:dyDescent="0.3">
      <c r="A1522" t="s">
        <v>17</v>
      </c>
      <c r="B1522" t="str">
        <f>"603879"</f>
        <v>603879</v>
      </c>
      <c r="C1522" t="s">
        <v>3349</v>
      </c>
      <c r="D1522" t="s">
        <v>3350</v>
      </c>
      <c r="F1522">
        <v>40.574199999999998</v>
      </c>
      <c r="G1522">
        <v>43.0334</v>
      </c>
      <c r="H1522">
        <v>53.742800000000003</v>
      </c>
      <c r="I1522">
        <v>43.700099999999999</v>
      </c>
      <c r="J1522">
        <v>52.917299999999997</v>
      </c>
      <c r="P1522">
        <v>55</v>
      </c>
      <c r="Q1522" t="s">
        <v>3351</v>
      </c>
    </row>
    <row r="1523" spans="1:17" x14ac:dyDescent="0.3">
      <c r="A1523" t="s">
        <v>17</v>
      </c>
      <c r="B1523" t="str">
        <f>"603880"</f>
        <v>603880</v>
      </c>
      <c r="C1523" t="s">
        <v>3352</v>
      </c>
      <c r="D1523" t="s">
        <v>1077</v>
      </c>
      <c r="F1523">
        <v>160.98410000000001</v>
      </c>
      <c r="G1523">
        <v>73.081599999999995</v>
      </c>
      <c r="H1523">
        <v>151.70169999999999</v>
      </c>
      <c r="I1523">
        <v>143.3785</v>
      </c>
      <c r="J1523">
        <v>126.2503</v>
      </c>
      <c r="P1523">
        <v>125</v>
      </c>
      <c r="Q1523" t="s">
        <v>3353</v>
      </c>
    </row>
    <row r="1524" spans="1:17" x14ac:dyDescent="0.3">
      <c r="A1524" t="s">
        <v>17</v>
      </c>
      <c r="B1524" t="str">
        <f>"603881"</f>
        <v>603881</v>
      </c>
      <c r="C1524" t="s">
        <v>3354</v>
      </c>
      <c r="D1524" t="s">
        <v>316</v>
      </c>
      <c r="F1524">
        <v>4.9252000000000002</v>
      </c>
      <c r="G1524">
        <v>8.8088999999999995</v>
      </c>
      <c r="H1524">
        <v>23.1022</v>
      </c>
      <c r="I1524">
        <v>6.6288</v>
      </c>
      <c r="J1524">
        <v>0</v>
      </c>
      <c r="K1524">
        <v>0</v>
      </c>
      <c r="L1524">
        <v>0.36070000000000002</v>
      </c>
      <c r="P1524">
        <v>486</v>
      </c>
      <c r="Q1524" t="s">
        <v>3355</v>
      </c>
    </row>
    <row r="1525" spans="1:17" x14ac:dyDescent="0.3">
      <c r="A1525" t="s">
        <v>17</v>
      </c>
      <c r="B1525" t="str">
        <f>"603882"</f>
        <v>603882</v>
      </c>
      <c r="C1525" t="s">
        <v>3356</v>
      </c>
      <c r="D1525" t="s">
        <v>2565</v>
      </c>
      <c r="F1525">
        <v>22.194099999999999</v>
      </c>
      <c r="G1525">
        <v>23.010200000000001</v>
      </c>
      <c r="H1525">
        <v>23.846499999999999</v>
      </c>
      <c r="I1525">
        <v>21.151</v>
      </c>
      <c r="J1525">
        <v>21.2317</v>
      </c>
      <c r="P1525">
        <v>1844</v>
      </c>
      <c r="Q1525" t="s">
        <v>3357</v>
      </c>
    </row>
    <row r="1526" spans="1:17" x14ac:dyDescent="0.3">
      <c r="A1526" t="s">
        <v>17</v>
      </c>
      <c r="B1526" t="str">
        <f>"603883"</f>
        <v>603883</v>
      </c>
      <c r="C1526" t="s">
        <v>3358</v>
      </c>
      <c r="D1526" t="s">
        <v>1684</v>
      </c>
      <c r="F1526">
        <v>121.7979</v>
      </c>
      <c r="G1526">
        <v>112.8817</v>
      </c>
      <c r="H1526">
        <v>117.0215</v>
      </c>
      <c r="I1526">
        <v>120.0112</v>
      </c>
      <c r="J1526">
        <v>126.7771</v>
      </c>
      <c r="K1526">
        <v>138.99639999999999</v>
      </c>
      <c r="L1526">
        <v>143.82169999999999</v>
      </c>
      <c r="M1526">
        <v>67.39</v>
      </c>
      <c r="P1526">
        <v>868</v>
      </c>
      <c r="Q1526" t="s">
        <v>3359</v>
      </c>
    </row>
    <row r="1527" spans="1:17" x14ac:dyDescent="0.3">
      <c r="A1527" t="s">
        <v>17</v>
      </c>
      <c r="B1527" t="str">
        <f>"603885"</f>
        <v>603885</v>
      </c>
      <c r="C1527" t="s">
        <v>3360</v>
      </c>
      <c r="D1527" t="s">
        <v>77</v>
      </c>
      <c r="F1527">
        <v>8.8168000000000006</v>
      </c>
      <c r="G1527">
        <v>10.0238</v>
      </c>
      <c r="H1527">
        <v>5.4748000000000001</v>
      </c>
      <c r="I1527">
        <v>4.5777000000000001</v>
      </c>
      <c r="J1527">
        <v>3.6894</v>
      </c>
      <c r="K1527">
        <v>3.5489999999999999</v>
      </c>
      <c r="L1527">
        <v>3.3666</v>
      </c>
      <c r="M1527">
        <v>1.4571000000000001</v>
      </c>
      <c r="P1527">
        <v>475</v>
      </c>
      <c r="Q1527" t="s">
        <v>3361</v>
      </c>
    </row>
    <row r="1528" spans="1:17" x14ac:dyDescent="0.3">
      <c r="A1528" t="s">
        <v>17</v>
      </c>
      <c r="B1528" t="str">
        <f>"603886"</f>
        <v>603886</v>
      </c>
      <c r="C1528" t="s">
        <v>3362</v>
      </c>
      <c r="D1528" t="s">
        <v>2479</v>
      </c>
      <c r="F1528">
        <v>32.130800000000001</v>
      </c>
      <c r="G1528">
        <v>39.655099999999997</v>
      </c>
      <c r="H1528">
        <v>34.740400000000001</v>
      </c>
      <c r="I1528">
        <v>29.495200000000001</v>
      </c>
      <c r="J1528">
        <v>46.960900000000002</v>
      </c>
      <c r="K1528">
        <v>32.699599999999997</v>
      </c>
      <c r="L1528">
        <v>14.8659</v>
      </c>
      <c r="P1528">
        <v>3081</v>
      </c>
      <c r="Q1528" t="s">
        <v>3363</v>
      </c>
    </row>
    <row r="1529" spans="1:17" x14ac:dyDescent="0.3">
      <c r="A1529" t="s">
        <v>17</v>
      </c>
      <c r="B1529" t="str">
        <f>"603887"</f>
        <v>603887</v>
      </c>
      <c r="C1529" t="s">
        <v>3364</v>
      </c>
      <c r="D1529" t="s">
        <v>316</v>
      </c>
      <c r="F1529">
        <v>132.70769999999999</v>
      </c>
      <c r="G1529">
        <v>150.35730000000001</v>
      </c>
      <c r="H1529">
        <v>216.10380000000001</v>
      </c>
      <c r="I1529">
        <v>263.19189999999998</v>
      </c>
      <c r="J1529">
        <v>317.06869999999998</v>
      </c>
      <c r="K1529">
        <v>316.96719999999999</v>
      </c>
      <c r="L1529">
        <v>165.69290000000001</v>
      </c>
      <c r="P1529">
        <v>241</v>
      </c>
      <c r="Q1529" t="s">
        <v>3365</v>
      </c>
    </row>
    <row r="1530" spans="1:17" x14ac:dyDescent="0.3">
      <c r="A1530" t="s">
        <v>17</v>
      </c>
      <c r="B1530" t="str">
        <f>"603888"</f>
        <v>603888</v>
      </c>
      <c r="C1530" t="s">
        <v>3366</v>
      </c>
      <c r="D1530" t="s">
        <v>522</v>
      </c>
      <c r="F1530">
        <v>1.2682</v>
      </c>
      <c r="G1530">
        <v>2.0958999999999999</v>
      </c>
      <c r="H1530">
        <v>1.5742</v>
      </c>
      <c r="I1530">
        <v>2.1453000000000002</v>
      </c>
      <c r="J1530">
        <v>1.5555000000000001</v>
      </c>
      <c r="K1530">
        <v>4.0899999999999999E-2</v>
      </c>
      <c r="L1530">
        <v>2.52E-2</v>
      </c>
      <c r="P1530">
        <v>227</v>
      </c>
      <c r="Q1530" t="s">
        <v>3367</v>
      </c>
    </row>
    <row r="1531" spans="1:17" x14ac:dyDescent="0.3">
      <c r="A1531" t="s">
        <v>17</v>
      </c>
      <c r="B1531" t="str">
        <f>"603889"</f>
        <v>603889</v>
      </c>
      <c r="C1531" t="s">
        <v>3368</v>
      </c>
      <c r="D1531" t="s">
        <v>366</v>
      </c>
      <c r="F1531">
        <v>192.47890000000001</v>
      </c>
      <c r="G1531">
        <v>196.46029999999999</v>
      </c>
      <c r="H1531">
        <v>164.2038</v>
      </c>
      <c r="I1531">
        <v>170.12289999999999</v>
      </c>
      <c r="J1531">
        <v>127.3214</v>
      </c>
      <c r="K1531">
        <v>129.96969999999999</v>
      </c>
      <c r="L1531">
        <v>137.62440000000001</v>
      </c>
      <c r="M1531">
        <v>136.3818</v>
      </c>
      <c r="P1531">
        <v>121</v>
      </c>
      <c r="Q1531" t="s">
        <v>3369</v>
      </c>
    </row>
    <row r="1532" spans="1:17" x14ac:dyDescent="0.3">
      <c r="A1532" t="s">
        <v>17</v>
      </c>
      <c r="B1532" t="str">
        <f>"603890"</f>
        <v>603890</v>
      </c>
      <c r="C1532" t="s">
        <v>3370</v>
      </c>
      <c r="D1532" t="s">
        <v>313</v>
      </c>
      <c r="F1532">
        <v>108.57389999999999</v>
      </c>
      <c r="G1532">
        <v>108.9559</v>
      </c>
      <c r="H1532">
        <v>115.3496</v>
      </c>
      <c r="I1532">
        <v>102.2182</v>
      </c>
      <c r="J1532">
        <v>77.4328</v>
      </c>
      <c r="K1532">
        <v>29.479099999999999</v>
      </c>
      <c r="P1532">
        <v>155</v>
      </c>
      <c r="Q1532" t="s">
        <v>3371</v>
      </c>
    </row>
    <row r="1533" spans="1:17" x14ac:dyDescent="0.3">
      <c r="A1533" t="s">
        <v>17</v>
      </c>
      <c r="B1533" t="str">
        <f>"603893"</f>
        <v>603893</v>
      </c>
      <c r="C1533" t="s">
        <v>3372</v>
      </c>
      <c r="D1533" t="s">
        <v>461</v>
      </c>
      <c r="F1533">
        <v>97.734499999999997</v>
      </c>
      <c r="G1533">
        <v>142.29509999999999</v>
      </c>
      <c r="H1533">
        <v>227.04939999999999</v>
      </c>
      <c r="P1533">
        <v>444</v>
      </c>
      <c r="Q1533" t="s">
        <v>3373</v>
      </c>
    </row>
    <row r="1534" spans="1:17" x14ac:dyDescent="0.3">
      <c r="A1534" t="s">
        <v>17</v>
      </c>
      <c r="B1534" t="str">
        <f>"603895"</f>
        <v>603895</v>
      </c>
      <c r="C1534" t="s">
        <v>3374</v>
      </c>
      <c r="D1534" t="s">
        <v>741</v>
      </c>
      <c r="F1534">
        <v>602.53859999999997</v>
      </c>
      <c r="G1534">
        <v>405.52809999999999</v>
      </c>
      <c r="H1534">
        <v>389.56040000000002</v>
      </c>
      <c r="I1534">
        <v>391.37849999999997</v>
      </c>
      <c r="J1534">
        <v>191.06720000000001</v>
      </c>
      <c r="P1534">
        <v>65</v>
      </c>
      <c r="Q1534" t="s">
        <v>3375</v>
      </c>
    </row>
    <row r="1535" spans="1:17" x14ac:dyDescent="0.3">
      <c r="A1535" t="s">
        <v>17</v>
      </c>
      <c r="B1535" t="str">
        <f>"603896"</f>
        <v>603896</v>
      </c>
      <c r="C1535" t="s">
        <v>3376</v>
      </c>
      <c r="D1535" t="s">
        <v>188</v>
      </c>
      <c r="F1535">
        <v>524.78549999999996</v>
      </c>
      <c r="G1535">
        <v>609.37559999999996</v>
      </c>
      <c r="H1535">
        <v>836.91240000000005</v>
      </c>
      <c r="I1535">
        <v>957.96590000000003</v>
      </c>
      <c r="J1535">
        <v>1195.356</v>
      </c>
      <c r="P1535">
        <v>230</v>
      </c>
      <c r="Q1535" t="s">
        <v>3377</v>
      </c>
    </row>
    <row r="1536" spans="1:17" x14ac:dyDescent="0.3">
      <c r="A1536" t="s">
        <v>17</v>
      </c>
      <c r="B1536" t="str">
        <f>"603897"</f>
        <v>603897</v>
      </c>
      <c r="C1536" t="s">
        <v>3378</v>
      </c>
      <c r="D1536" t="s">
        <v>1164</v>
      </c>
      <c r="F1536">
        <v>40.304000000000002</v>
      </c>
      <c r="G1536">
        <v>53.584800000000001</v>
      </c>
      <c r="H1536">
        <v>42.461100000000002</v>
      </c>
      <c r="I1536">
        <v>37.2592</v>
      </c>
      <c r="P1536">
        <v>137</v>
      </c>
      <c r="Q1536" t="s">
        <v>3379</v>
      </c>
    </row>
    <row r="1537" spans="1:17" x14ac:dyDescent="0.3">
      <c r="A1537" t="s">
        <v>17</v>
      </c>
      <c r="B1537" t="str">
        <f>"603898"</f>
        <v>603898</v>
      </c>
      <c r="C1537" t="s">
        <v>3380</v>
      </c>
      <c r="D1537" t="s">
        <v>2647</v>
      </c>
      <c r="F1537">
        <v>163.5558</v>
      </c>
      <c r="G1537">
        <v>61.668599999999998</v>
      </c>
      <c r="H1537">
        <v>35.337000000000003</v>
      </c>
      <c r="I1537">
        <v>26.335100000000001</v>
      </c>
      <c r="J1537">
        <v>24.293600000000001</v>
      </c>
      <c r="K1537">
        <v>23.336099999999998</v>
      </c>
      <c r="L1537">
        <v>26.528400000000001</v>
      </c>
      <c r="M1537">
        <v>24.944400000000002</v>
      </c>
      <c r="P1537">
        <v>835</v>
      </c>
      <c r="Q1537" t="s">
        <v>3381</v>
      </c>
    </row>
    <row r="1538" spans="1:17" x14ac:dyDescent="0.3">
      <c r="A1538" t="s">
        <v>17</v>
      </c>
      <c r="B1538" t="str">
        <f>"603899"</f>
        <v>603899</v>
      </c>
      <c r="C1538" t="s">
        <v>3382</v>
      </c>
      <c r="D1538" t="s">
        <v>3383</v>
      </c>
      <c r="F1538">
        <v>55.448099999999997</v>
      </c>
      <c r="G1538">
        <v>73.932299999999998</v>
      </c>
      <c r="H1538">
        <v>71.263300000000001</v>
      </c>
      <c r="I1538">
        <v>69.602999999999994</v>
      </c>
      <c r="J1538">
        <v>83.1173</v>
      </c>
      <c r="K1538">
        <v>89.682199999999995</v>
      </c>
      <c r="L1538">
        <v>94.063999999999993</v>
      </c>
      <c r="M1538">
        <v>88.217299999999994</v>
      </c>
      <c r="P1538">
        <v>25827</v>
      </c>
      <c r="Q1538" t="s">
        <v>3384</v>
      </c>
    </row>
    <row r="1539" spans="1:17" x14ac:dyDescent="0.3">
      <c r="A1539" t="s">
        <v>17</v>
      </c>
      <c r="B1539" t="str">
        <f>"603900"</f>
        <v>603900</v>
      </c>
      <c r="C1539" t="s">
        <v>3385</v>
      </c>
      <c r="D1539" t="s">
        <v>1238</v>
      </c>
      <c r="F1539">
        <v>1155.6823999999999</v>
      </c>
      <c r="G1539">
        <v>1543.8587</v>
      </c>
      <c r="H1539">
        <v>1301.4275</v>
      </c>
      <c r="I1539">
        <v>900.25739999999996</v>
      </c>
      <c r="J1539">
        <v>756.1164</v>
      </c>
      <c r="K1539">
        <v>754.34770000000003</v>
      </c>
      <c r="L1539">
        <v>451.19260000000003</v>
      </c>
      <c r="P1539">
        <v>137</v>
      </c>
      <c r="Q1539" t="s">
        <v>3386</v>
      </c>
    </row>
    <row r="1540" spans="1:17" x14ac:dyDescent="0.3">
      <c r="A1540" t="s">
        <v>17</v>
      </c>
      <c r="B1540" t="str">
        <f>"603901"</f>
        <v>603901</v>
      </c>
      <c r="C1540" t="s">
        <v>3387</v>
      </c>
      <c r="D1540" t="s">
        <v>3388</v>
      </c>
      <c r="F1540">
        <v>399.54230000000001</v>
      </c>
      <c r="G1540">
        <v>483.55360000000002</v>
      </c>
      <c r="H1540">
        <v>421.01479999999998</v>
      </c>
      <c r="I1540">
        <v>442.3535</v>
      </c>
      <c r="J1540">
        <v>403.00889999999998</v>
      </c>
      <c r="K1540">
        <v>426.63630000000001</v>
      </c>
      <c r="L1540">
        <v>389.83069999999998</v>
      </c>
      <c r="M1540">
        <v>150.78739999999999</v>
      </c>
      <c r="P1540">
        <v>140</v>
      </c>
      <c r="Q1540" t="s">
        <v>3389</v>
      </c>
    </row>
    <row r="1541" spans="1:17" x14ac:dyDescent="0.3">
      <c r="A1541" t="s">
        <v>17</v>
      </c>
      <c r="B1541" t="str">
        <f>"603903"</f>
        <v>603903</v>
      </c>
      <c r="C1541" t="s">
        <v>3390</v>
      </c>
      <c r="D1541" t="s">
        <v>33</v>
      </c>
      <c r="F1541">
        <v>30.8141</v>
      </c>
      <c r="G1541">
        <v>92.058899999999994</v>
      </c>
      <c r="H1541">
        <v>150.67840000000001</v>
      </c>
      <c r="I1541">
        <v>179.59520000000001</v>
      </c>
      <c r="J1541">
        <v>127.3694</v>
      </c>
      <c r="P1541">
        <v>119</v>
      </c>
      <c r="Q1541" t="s">
        <v>3391</v>
      </c>
    </row>
    <row r="1542" spans="1:17" x14ac:dyDescent="0.3">
      <c r="A1542" t="s">
        <v>17</v>
      </c>
      <c r="B1542" t="str">
        <f>"603906"</f>
        <v>603906</v>
      </c>
      <c r="C1542" t="s">
        <v>3392</v>
      </c>
      <c r="D1542" t="s">
        <v>386</v>
      </c>
      <c r="F1542">
        <v>118.5209</v>
      </c>
      <c r="G1542">
        <v>129.04390000000001</v>
      </c>
      <c r="H1542">
        <v>119.5729</v>
      </c>
      <c r="I1542">
        <v>136.52539999999999</v>
      </c>
      <c r="J1542">
        <v>117.6521</v>
      </c>
      <c r="P1542">
        <v>185</v>
      </c>
      <c r="Q1542" t="s">
        <v>3393</v>
      </c>
    </row>
    <row r="1543" spans="1:17" x14ac:dyDescent="0.3">
      <c r="A1543" t="s">
        <v>17</v>
      </c>
      <c r="B1543" t="str">
        <f>"603908"</f>
        <v>603908</v>
      </c>
      <c r="C1543" t="s">
        <v>3394</v>
      </c>
      <c r="D1543" t="s">
        <v>330</v>
      </c>
      <c r="F1543">
        <v>218.83940000000001</v>
      </c>
      <c r="G1543">
        <v>250.30600000000001</v>
      </c>
      <c r="H1543">
        <v>238.6876</v>
      </c>
      <c r="I1543">
        <v>233.92959999999999</v>
      </c>
      <c r="J1543">
        <v>258.51170000000002</v>
      </c>
      <c r="P1543">
        <v>114</v>
      </c>
      <c r="Q1543" t="s">
        <v>3395</v>
      </c>
    </row>
    <row r="1544" spans="1:17" x14ac:dyDescent="0.3">
      <c r="A1544" t="s">
        <v>17</v>
      </c>
      <c r="B1544" t="str">
        <f>"603909"</f>
        <v>603909</v>
      </c>
      <c r="C1544" t="s">
        <v>3396</v>
      </c>
      <c r="D1544" t="s">
        <v>1272</v>
      </c>
      <c r="F1544">
        <v>22.087800000000001</v>
      </c>
      <c r="G1544">
        <v>44.168999999999997</v>
      </c>
      <c r="H1544">
        <v>73.570599999999999</v>
      </c>
      <c r="I1544">
        <v>47.411700000000003</v>
      </c>
      <c r="J1544">
        <v>15.659800000000001</v>
      </c>
      <c r="K1544">
        <v>12.158799999999999</v>
      </c>
      <c r="L1544">
        <v>1.3601000000000001</v>
      </c>
      <c r="P1544">
        <v>65</v>
      </c>
      <c r="Q1544" t="s">
        <v>3397</v>
      </c>
    </row>
    <row r="1545" spans="1:17" x14ac:dyDescent="0.3">
      <c r="A1545" t="s">
        <v>17</v>
      </c>
      <c r="B1545" t="str">
        <f>"603912"</f>
        <v>603912</v>
      </c>
      <c r="C1545" t="s">
        <v>3398</v>
      </c>
      <c r="D1545" t="s">
        <v>988</v>
      </c>
      <c r="F1545">
        <v>236.97909999999999</v>
      </c>
      <c r="G1545">
        <v>320.51679999999999</v>
      </c>
      <c r="H1545">
        <v>285.92129999999997</v>
      </c>
      <c r="I1545">
        <v>410.77089999999998</v>
      </c>
      <c r="J1545">
        <v>416.3716</v>
      </c>
      <c r="P1545">
        <v>286</v>
      </c>
      <c r="Q1545" t="s">
        <v>3399</v>
      </c>
    </row>
    <row r="1546" spans="1:17" x14ac:dyDescent="0.3">
      <c r="A1546" t="s">
        <v>17</v>
      </c>
      <c r="B1546" t="str">
        <f>"603915"</f>
        <v>603915</v>
      </c>
      <c r="C1546" t="s">
        <v>3400</v>
      </c>
      <c r="D1546" t="s">
        <v>274</v>
      </c>
      <c r="F1546">
        <v>129.01750000000001</v>
      </c>
      <c r="G1546">
        <v>122.145</v>
      </c>
      <c r="H1546">
        <v>143.1293</v>
      </c>
      <c r="P1546">
        <v>160</v>
      </c>
      <c r="Q1546" t="s">
        <v>3401</v>
      </c>
    </row>
    <row r="1547" spans="1:17" x14ac:dyDescent="0.3">
      <c r="A1547" t="s">
        <v>17</v>
      </c>
      <c r="B1547" t="str">
        <f>"603916"</f>
        <v>603916</v>
      </c>
      <c r="C1547" t="s">
        <v>3402</v>
      </c>
      <c r="D1547" t="s">
        <v>386</v>
      </c>
      <c r="F1547">
        <v>59.241</v>
      </c>
      <c r="G1547">
        <v>60.342100000000002</v>
      </c>
      <c r="H1547">
        <v>55.641399999999997</v>
      </c>
      <c r="I1547">
        <v>61.486800000000002</v>
      </c>
      <c r="J1547">
        <v>53.125999999999998</v>
      </c>
      <c r="P1547">
        <v>273</v>
      </c>
      <c r="Q1547" t="s">
        <v>3403</v>
      </c>
    </row>
    <row r="1548" spans="1:17" x14ac:dyDescent="0.3">
      <c r="A1548" t="s">
        <v>17</v>
      </c>
      <c r="B1548" t="str">
        <f>"603917"</f>
        <v>603917</v>
      </c>
      <c r="C1548" t="s">
        <v>3404</v>
      </c>
      <c r="D1548" t="s">
        <v>985</v>
      </c>
      <c r="F1548">
        <v>368.42059999999998</v>
      </c>
      <c r="G1548">
        <v>420.67</v>
      </c>
      <c r="H1548">
        <v>389.17489999999998</v>
      </c>
      <c r="I1548">
        <v>354.28870000000001</v>
      </c>
      <c r="J1548">
        <v>343.78309999999999</v>
      </c>
      <c r="P1548">
        <v>73</v>
      </c>
      <c r="Q1548" t="s">
        <v>3405</v>
      </c>
    </row>
    <row r="1549" spans="1:17" x14ac:dyDescent="0.3">
      <c r="A1549" t="s">
        <v>17</v>
      </c>
      <c r="B1549" t="str">
        <f>"603918"</f>
        <v>603918</v>
      </c>
      <c r="C1549" t="s">
        <v>3406</v>
      </c>
      <c r="D1549" t="s">
        <v>316</v>
      </c>
      <c r="F1549">
        <v>360.07369999999997</v>
      </c>
      <c r="G1549">
        <v>424.11360000000002</v>
      </c>
      <c r="H1549">
        <v>338.3612</v>
      </c>
      <c r="I1549">
        <v>263.57400000000001</v>
      </c>
      <c r="J1549">
        <v>181.3947</v>
      </c>
      <c r="K1549">
        <v>126.70180000000001</v>
      </c>
      <c r="L1549">
        <v>143.96100000000001</v>
      </c>
      <c r="M1549">
        <v>86.849500000000006</v>
      </c>
      <c r="P1549">
        <v>142</v>
      </c>
      <c r="Q1549" t="s">
        <v>3407</v>
      </c>
    </row>
    <row r="1550" spans="1:17" x14ac:dyDescent="0.3">
      <c r="A1550" t="s">
        <v>17</v>
      </c>
      <c r="B1550" t="str">
        <f>"603919"</f>
        <v>603919</v>
      </c>
      <c r="C1550" t="s">
        <v>3408</v>
      </c>
      <c r="D1550" t="s">
        <v>458</v>
      </c>
      <c r="F1550">
        <v>988.8578</v>
      </c>
      <c r="G1550">
        <v>921.92759999999998</v>
      </c>
      <c r="H1550">
        <v>612.28729999999996</v>
      </c>
      <c r="I1550">
        <v>546.03689999999995</v>
      </c>
      <c r="J1550">
        <v>409.88080000000002</v>
      </c>
      <c r="K1550">
        <v>329.00639999999999</v>
      </c>
      <c r="L1550">
        <v>152.13669999999999</v>
      </c>
      <c r="P1550">
        <v>446</v>
      </c>
      <c r="Q1550" t="s">
        <v>3409</v>
      </c>
    </row>
    <row r="1551" spans="1:17" x14ac:dyDescent="0.3">
      <c r="A1551" t="s">
        <v>17</v>
      </c>
      <c r="B1551" t="str">
        <f>"603920"</f>
        <v>603920</v>
      </c>
      <c r="C1551" t="s">
        <v>3410</v>
      </c>
      <c r="D1551" t="s">
        <v>425</v>
      </c>
      <c r="F1551">
        <v>61.541499999999999</v>
      </c>
      <c r="G1551">
        <v>60.215499999999999</v>
      </c>
      <c r="H1551">
        <v>55.918399999999998</v>
      </c>
      <c r="I1551">
        <v>55.758899999999997</v>
      </c>
      <c r="J1551">
        <v>54.834699999999998</v>
      </c>
      <c r="P1551">
        <v>267</v>
      </c>
      <c r="Q1551" t="s">
        <v>3411</v>
      </c>
    </row>
    <row r="1552" spans="1:17" x14ac:dyDescent="0.3">
      <c r="A1552" t="s">
        <v>17</v>
      </c>
      <c r="B1552" t="str">
        <f>"603922"</f>
        <v>603922</v>
      </c>
      <c r="C1552" t="s">
        <v>3412</v>
      </c>
      <c r="D1552" t="s">
        <v>985</v>
      </c>
      <c r="F1552">
        <v>317.46679999999998</v>
      </c>
      <c r="G1552">
        <v>338.71480000000003</v>
      </c>
      <c r="H1552">
        <v>289.16840000000002</v>
      </c>
      <c r="I1552">
        <v>242.30330000000001</v>
      </c>
      <c r="J1552">
        <v>187.33359999999999</v>
      </c>
      <c r="P1552">
        <v>54</v>
      </c>
      <c r="Q1552" t="s">
        <v>3413</v>
      </c>
    </row>
    <row r="1553" spans="1:17" x14ac:dyDescent="0.3">
      <c r="A1553" t="s">
        <v>17</v>
      </c>
      <c r="B1553" t="str">
        <f>"603926"</f>
        <v>603926</v>
      </c>
      <c r="C1553" t="s">
        <v>3414</v>
      </c>
      <c r="D1553" t="s">
        <v>348</v>
      </c>
      <c r="F1553">
        <v>133.47890000000001</v>
      </c>
      <c r="G1553">
        <v>134.9228</v>
      </c>
      <c r="H1553">
        <v>124.80670000000001</v>
      </c>
      <c r="I1553">
        <v>169.44980000000001</v>
      </c>
      <c r="J1553">
        <v>159.66239999999999</v>
      </c>
      <c r="P1553">
        <v>104</v>
      </c>
      <c r="Q1553" t="s">
        <v>3415</v>
      </c>
    </row>
    <row r="1554" spans="1:17" x14ac:dyDescent="0.3">
      <c r="A1554" t="s">
        <v>17</v>
      </c>
      <c r="B1554" t="str">
        <f>"603927"</f>
        <v>603927</v>
      </c>
      <c r="C1554" t="s">
        <v>3416</v>
      </c>
      <c r="D1554" t="s">
        <v>945</v>
      </c>
      <c r="F1554">
        <v>66.153499999999994</v>
      </c>
      <c r="G1554">
        <v>43.401200000000003</v>
      </c>
      <c r="H1554">
        <v>51.2119</v>
      </c>
      <c r="I1554">
        <v>25.036899999999999</v>
      </c>
      <c r="P1554">
        <v>821</v>
      </c>
      <c r="Q1554" t="s">
        <v>3417</v>
      </c>
    </row>
    <row r="1555" spans="1:17" x14ac:dyDescent="0.3">
      <c r="A1555" t="s">
        <v>17</v>
      </c>
      <c r="B1555" t="str">
        <f>"603928"</f>
        <v>603928</v>
      </c>
      <c r="C1555" t="s">
        <v>3418</v>
      </c>
      <c r="D1555" t="s">
        <v>3350</v>
      </c>
      <c r="F1555">
        <v>24.947600000000001</v>
      </c>
      <c r="G1555">
        <v>32.206400000000002</v>
      </c>
      <c r="H1555">
        <v>32.610399999999998</v>
      </c>
      <c r="I1555">
        <v>32.248100000000001</v>
      </c>
      <c r="J1555">
        <v>31.494</v>
      </c>
      <c r="K1555">
        <v>21.8201</v>
      </c>
      <c r="P1555">
        <v>102</v>
      </c>
      <c r="Q1555" t="s">
        <v>3419</v>
      </c>
    </row>
    <row r="1556" spans="1:17" x14ac:dyDescent="0.3">
      <c r="A1556" t="s">
        <v>17</v>
      </c>
      <c r="B1556" t="str">
        <f>"603929"</f>
        <v>603929</v>
      </c>
      <c r="C1556" t="s">
        <v>3420</v>
      </c>
      <c r="D1556" t="s">
        <v>1986</v>
      </c>
      <c r="F1556">
        <v>3.6789000000000001</v>
      </c>
      <c r="G1556">
        <v>197.5453</v>
      </c>
      <c r="H1556">
        <v>99.285300000000007</v>
      </c>
      <c r="I1556">
        <v>66.0762</v>
      </c>
      <c r="J1556">
        <v>84.456599999999995</v>
      </c>
      <c r="K1556">
        <v>71.381399999999999</v>
      </c>
      <c r="P1556">
        <v>109</v>
      </c>
      <c r="Q1556" t="s">
        <v>3421</v>
      </c>
    </row>
    <row r="1557" spans="1:17" x14ac:dyDescent="0.3">
      <c r="A1557" t="s">
        <v>17</v>
      </c>
      <c r="B1557" t="str">
        <f>"603931"</f>
        <v>603931</v>
      </c>
      <c r="C1557" t="s">
        <v>3422</v>
      </c>
      <c r="D1557" t="s">
        <v>2399</v>
      </c>
      <c r="F1557">
        <v>41.387999999999998</v>
      </c>
      <c r="G1557">
        <v>57.700699999999998</v>
      </c>
      <c r="P1557">
        <v>88</v>
      </c>
      <c r="Q1557" t="s">
        <v>3423</v>
      </c>
    </row>
    <row r="1558" spans="1:17" x14ac:dyDescent="0.3">
      <c r="A1558" t="s">
        <v>17</v>
      </c>
      <c r="B1558" t="str">
        <f>"603933"</f>
        <v>603933</v>
      </c>
      <c r="C1558" t="s">
        <v>3424</v>
      </c>
      <c r="D1558" t="s">
        <v>651</v>
      </c>
      <c r="F1558">
        <v>103.6461</v>
      </c>
      <c r="G1558">
        <v>108.77200000000001</v>
      </c>
      <c r="H1558">
        <v>140.62430000000001</v>
      </c>
      <c r="I1558">
        <v>114.6</v>
      </c>
      <c r="J1558">
        <v>84.430199999999999</v>
      </c>
      <c r="P1558">
        <v>122</v>
      </c>
      <c r="Q1558" t="s">
        <v>3425</v>
      </c>
    </row>
    <row r="1559" spans="1:17" x14ac:dyDescent="0.3">
      <c r="A1559" t="s">
        <v>17</v>
      </c>
      <c r="B1559" t="str">
        <f>"603936"</f>
        <v>603936</v>
      </c>
      <c r="C1559" t="s">
        <v>3426</v>
      </c>
      <c r="D1559" t="s">
        <v>425</v>
      </c>
      <c r="F1559">
        <v>91.519900000000007</v>
      </c>
      <c r="G1559">
        <v>91.320099999999996</v>
      </c>
      <c r="H1559">
        <v>95.756100000000004</v>
      </c>
      <c r="I1559">
        <v>103.2418</v>
      </c>
      <c r="J1559">
        <v>105.0971</v>
      </c>
      <c r="K1559">
        <v>91.262</v>
      </c>
      <c r="P1559">
        <v>222</v>
      </c>
      <c r="Q1559" t="s">
        <v>3427</v>
      </c>
    </row>
    <row r="1560" spans="1:17" x14ac:dyDescent="0.3">
      <c r="A1560" t="s">
        <v>17</v>
      </c>
      <c r="B1560" t="str">
        <f>"603937"</f>
        <v>603937</v>
      </c>
      <c r="C1560" t="s">
        <v>3428</v>
      </c>
      <c r="D1560" t="s">
        <v>504</v>
      </c>
      <c r="F1560">
        <v>104.57080000000001</v>
      </c>
      <c r="G1560">
        <v>95.3429</v>
      </c>
      <c r="H1560">
        <v>80.639399999999995</v>
      </c>
      <c r="I1560">
        <v>78.985399999999998</v>
      </c>
      <c r="J1560">
        <v>86.727900000000005</v>
      </c>
      <c r="K1560">
        <v>43.286299999999997</v>
      </c>
      <c r="P1560">
        <v>61</v>
      </c>
      <c r="Q1560" t="s">
        <v>3429</v>
      </c>
    </row>
    <row r="1561" spans="1:17" x14ac:dyDescent="0.3">
      <c r="A1561" t="s">
        <v>17</v>
      </c>
      <c r="B1561" t="str">
        <f>"603938"</f>
        <v>603938</v>
      </c>
      <c r="C1561" t="s">
        <v>3430</v>
      </c>
      <c r="D1561" t="s">
        <v>3431</v>
      </c>
      <c r="F1561">
        <v>38.494599999999998</v>
      </c>
      <c r="G1561">
        <v>37.179400000000001</v>
      </c>
      <c r="H1561">
        <v>43.3354</v>
      </c>
      <c r="I1561">
        <v>61.854300000000002</v>
      </c>
      <c r="J1561">
        <v>38.2423</v>
      </c>
      <c r="P1561">
        <v>102</v>
      </c>
      <c r="Q1561" t="s">
        <v>3432</v>
      </c>
    </row>
    <row r="1562" spans="1:17" x14ac:dyDescent="0.3">
      <c r="A1562" t="s">
        <v>17</v>
      </c>
      <c r="B1562" t="str">
        <f>"603939"</f>
        <v>603939</v>
      </c>
      <c r="C1562" t="s">
        <v>3433</v>
      </c>
      <c r="D1562" t="s">
        <v>1684</v>
      </c>
      <c r="F1562">
        <v>129.81729999999999</v>
      </c>
      <c r="G1562">
        <v>116.25879999999999</v>
      </c>
      <c r="H1562">
        <v>119.01649999999999</v>
      </c>
      <c r="I1562">
        <v>121.2666</v>
      </c>
      <c r="J1562">
        <v>126.86490000000001</v>
      </c>
      <c r="K1562">
        <v>128.69919999999999</v>
      </c>
      <c r="L1562">
        <v>111.46939999999999</v>
      </c>
      <c r="M1562">
        <v>49.426900000000003</v>
      </c>
      <c r="P1562">
        <v>1482</v>
      </c>
      <c r="Q1562" t="s">
        <v>3434</v>
      </c>
    </row>
    <row r="1563" spans="1:17" x14ac:dyDescent="0.3">
      <c r="A1563" t="s">
        <v>17</v>
      </c>
      <c r="B1563" t="str">
        <f>"603948"</f>
        <v>603948</v>
      </c>
      <c r="C1563" t="s">
        <v>3435</v>
      </c>
      <c r="D1563" t="s">
        <v>386</v>
      </c>
      <c r="F1563">
        <v>37.829500000000003</v>
      </c>
      <c r="G1563">
        <v>49.770499999999998</v>
      </c>
      <c r="P1563">
        <v>60</v>
      </c>
      <c r="Q1563" t="s">
        <v>3436</v>
      </c>
    </row>
    <row r="1564" spans="1:17" x14ac:dyDescent="0.3">
      <c r="A1564" t="s">
        <v>17</v>
      </c>
      <c r="B1564" t="str">
        <f>"603949"</f>
        <v>603949</v>
      </c>
      <c r="C1564" t="s">
        <v>3437</v>
      </c>
      <c r="D1564" t="s">
        <v>348</v>
      </c>
      <c r="F1564">
        <v>143.39850000000001</v>
      </c>
      <c r="G1564">
        <v>153.5155</v>
      </c>
      <c r="H1564">
        <v>161.18029999999999</v>
      </c>
      <c r="P1564">
        <v>158</v>
      </c>
      <c r="Q1564" t="s">
        <v>3438</v>
      </c>
    </row>
    <row r="1565" spans="1:17" x14ac:dyDescent="0.3">
      <c r="A1565" t="s">
        <v>17</v>
      </c>
      <c r="B1565" t="str">
        <f>"603950"</f>
        <v>603950</v>
      </c>
      <c r="C1565" t="s">
        <v>3439</v>
      </c>
      <c r="D1565" t="s">
        <v>348</v>
      </c>
      <c r="F1565">
        <v>109.02119999999999</v>
      </c>
      <c r="G1565">
        <v>84.081400000000002</v>
      </c>
      <c r="P1565">
        <v>97</v>
      </c>
      <c r="Q1565" t="s">
        <v>3440</v>
      </c>
    </row>
    <row r="1566" spans="1:17" x14ac:dyDescent="0.3">
      <c r="A1566" t="s">
        <v>17</v>
      </c>
      <c r="B1566" t="str">
        <f>"603955"</f>
        <v>603955</v>
      </c>
      <c r="C1566" t="s">
        <v>3441</v>
      </c>
      <c r="D1566" t="s">
        <v>2408</v>
      </c>
      <c r="F1566">
        <v>54.091000000000001</v>
      </c>
      <c r="G1566">
        <v>232.39850000000001</v>
      </c>
      <c r="H1566">
        <v>516.23599999999999</v>
      </c>
      <c r="I1566">
        <v>357.45179999999999</v>
      </c>
      <c r="J1566">
        <v>304.89089999999999</v>
      </c>
      <c r="K1566">
        <v>258.02730000000003</v>
      </c>
      <c r="L1566">
        <v>134.32329999999999</v>
      </c>
      <c r="P1566">
        <v>60</v>
      </c>
      <c r="Q1566" t="s">
        <v>3442</v>
      </c>
    </row>
    <row r="1567" spans="1:17" x14ac:dyDescent="0.3">
      <c r="A1567" t="s">
        <v>17</v>
      </c>
      <c r="B1567" t="str">
        <f>"603956"</f>
        <v>603956</v>
      </c>
      <c r="C1567" t="s">
        <v>3443</v>
      </c>
      <c r="D1567" t="s">
        <v>741</v>
      </c>
      <c r="F1567">
        <v>157.28190000000001</v>
      </c>
      <c r="G1567">
        <v>195.86160000000001</v>
      </c>
      <c r="H1567">
        <v>175.91829999999999</v>
      </c>
      <c r="P1567">
        <v>181</v>
      </c>
      <c r="Q1567" t="s">
        <v>3444</v>
      </c>
    </row>
    <row r="1568" spans="1:17" x14ac:dyDescent="0.3">
      <c r="A1568" t="s">
        <v>17</v>
      </c>
      <c r="B1568" t="str">
        <f>"603958"</f>
        <v>603958</v>
      </c>
      <c r="C1568" t="s">
        <v>3445</v>
      </c>
      <c r="D1568" t="s">
        <v>330</v>
      </c>
      <c r="F1568">
        <v>512.16229999999996</v>
      </c>
      <c r="G1568">
        <v>727.07230000000004</v>
      </c>
      <c r="H1568">
        <v>454.4871</v>
      </c>
      <c r="I1568">
        <v>466.14109999999999</v>
      </c>
      <c r="J1568">
        <v>467.28050000000002</v>
      </c>
      <c r="K1568">
        <v>425.50749999999999</v>
      </c>
      <c r="L1568">
        <v>174.797</v>
      </c>
      <c r="P1568">
        <v>67</v>
      </c>
      <c r="Q1568" t="s">
        <v>3446</v>
      </c>
    </row>
    <row r="1569" spans="1:17" x14ac:dyDescent="0.3">
      <c r="A1569" t="s">
        <v>17</v>
      </c>
      <c r="B1569" t="str">
        <f>"603959"</f>
        <v>603959</v>
      </c>
      <c r="C1569" t="s">
        <v>3447</v>
      </c>
      <c r="D1569" t="s">
        <v>2019</v>
      </c>
      <c r="F1569">
        <v>133.6737</v>
      </c>
      <c r="G1569">
        <v>121.3091</v>
      </c>
      <c r="H1569">
        <v>255.8527</v>
      </c>
      <c r="I1569">
        <v>279.09890000000001</v>
      </c>
      <c r="J1569">
        <v>438.59820000000002</v>
      </c>
      <c r="K1569">
        <v>469.74790000000002</v>
      </c>
      <c r="L1569">
        <v>304.22320000000002</v>
      </c>
      <c r="P1569">
        <v>80</v>
      </c>
      <c r="Q1569" t="s">
        <v>3448</v>
      </c>
    </row>
    <row r="1570" spans="1:17" x14ac:dyDescent="0.3">
      <c r="A1570" t="s">
        <v>17</v>
      </c>
      <c r="B1570" t="str">
        <f>"603960"</f>
        <v>603960</v>
      </c>
      <c r="C1570" t="s">
        <v>3449</v>
      </c>
      <c r="D1570" t="s">
        <v>3450</v>
      </c>
      <c r="F1570">
        <v>128.73820000000001</v>
      </c>
      <c r="G1570">
        <v>98.489699999999999</v>
      </c>
      <c r="H1570">
        <v>159.2962</v>
      </c>
      <c r="I1570">
        <v>219.85310000000001</v>
      </c>
      <c r="J1570">
        <v>399.88319999999999</v>
      </c>
      <c r="P1570">
        <v>383</v>
      </c>
      <c r="Q1570" t="s">
        <v>3451</v>
      </c>
    </row>
    <row r="1571" spans="1:17" x14ac:dyDescent="0.3">
      <c r="A1571" t="s">
        <v>17</v>
      </c>
      <c r="B1571" t="str">
        <f>"603963"</f>
        <v>603963</v>
      </c>
      <c r="C1571" t="s">
        <v>3452</v>
      </c>
      <c r="D1571" t="s">
        <v>188</v>
      </c>
      <c r="F1571">
        <v>735.18510000000003</v>
      </c>
      <c r="G1571">
        <v>516.11630000000002</v>
      </c>
      <c r="H1571">
        <v>442.98689999999999</v>
      </c>
      <c r="I1571">
        <v>545.64880000000005</v>
      </c>
      <c r="J1571">
        <v>436.2783</v>
      </c>
      <c r="P1571">
        <v>109</v>
      </c>
      <c r="Q1571" t="s">
        <v>3453</v>
      </c>
    </row>
    <row r="1572" spans="1:17" x14ac:dyDescent="0.3">
      <c r="A1572" t="s">
        <v>17</v>
      </c>
      <c r="B1572" t="str">
        <f>"603966"</f>
        <v>603966</v>
      </c>
      <c r="C1572" t="s">
        <v>3454</v>
      </c>
      <c r="D1572" t="s">
        <v>395</v>
      </c>
      <c r="F1572">
        <v>292.036</v>
      </c>
      <c r="G1572">
        <v>312.09030000000001</v>
      </c>
      <c r="H1572">
        <v>267.6927</v>
      </c>
      <c r="I1572">
        <v>237.721</v>
      </c>
      <c r="J1572">
        <v>233.69980000000001</v>
      </c>
      <c r="K1572">
        <v>131.01849999999999</v>
      </c>
      <c r="P1572">
        <v>122</v>
      </c>
      <c r="Q1572" t="s">
        <v>3455</v>
      </c>
    </row>
    <row r="1573" spans="1:17" x14ac:dyDescent="0.3">
      <c r="A1573" t="s">
        <v>17</v>
      </c>
      <c r="B1573" t="str">
        <f>"603967"</f>
        <v>603967</v>
      </c>
      <c r="C1573" t="s">
        <v>3456</v>
      </c>
      <c r="D1573" t="s">
        <v>287</v>
      </c>
      <c r="F1573">
        <v>0.41439999999999999</v>
      </c>
      <c r="G1573">
        <v>0.89229999999999998</v>
      </c>
      <c r="H1573">
        <v>0.93030000000000002</v>
      </c>
      <c r="P1573">
        <v>85</v>
      </c>
      <c r="Q1573" t="s">
        <v>3457</v>
      </c>
    </row>
    <row r="1574" spans="1:17" x14ac:dyDescent="0.3">
      <c r="A1574" t="s">
        <v>17</v>
      </c>
      <c r="B1574" t="str">
        <f>"603968"</f>
        <v>603968</v>
      </c>
      <c r="C1574" t="s">
        <v>3458</v>
      </c>
      <c r="D1574" t="s">
        <v>677</v>
      </c>
      <c r="F1574">
        <v>32.590699999999998</v>
      </c>
      <c r="G1574">
        <v>33.131599999999999</v>
      </c>
      <c r="H1574">
        <v>35.588700000000003</v>
      </c>
      <c r="I1574">
        <v>36.717599999999997</v>
      </c>
      <c r="J1574">
        <v>36.455599999999997</v>
      </c>
      <c r="K1574">
        <v>47.066200000000002</v>
      </c>
      <c r="L1574">
        <v>40.211399999999998</v>
      </c>
      <c r="M1574">
        <v>18.020499999999998</v>
      </c>
      <c r="P1574">
        <v>244</v>
      </c>
      <c r="Q1574" t="s">
        <v>3459</v>
      </c>
    </row>
    <row r="1575" spans="1:17" x14ac:dyDescent="0.3">
      <c r="A1575" t="s">
        <v>17</v>
      </c>
      <c r="B1575" t="str">
        <f>"603969"</f>
        <v>603969</v>
      </c>
      <c r="C1575" t="s">
        <v>3460</v>
      </c>
      <c r="D1575" t="s">
        <v>274</v>
      </c>
      <c r="F1575">
        <v>64.567599999999999</v>
      </c>
      <c r="G1575">
        <v>89.303799999999995</v>
      </c>
      <c r="H1575">
        <v>68.831500000000005</v>
      </c>
      <c r="I1575">
        <v>87.667500000000004</v>
      </c>
      <c r="J1575">
        <v>69.268799999999999</v>
      </c>
      <c r="K1575">
        <v>87.395399999999995</v>
      </c>
      <c r="L1575">
        <v>86.853999999999999</v>
      </c>
      <c r="M1575">
        <v>51.735599999999998</v>
      </c>
      <c r="P1575">
        <v>94</v>
      </c>
      <c r="Q1575" t="s">
        <v>3461</v>
      </c>
    </row>
    <row r="1576" spans="1:17" x14ac:dyDescent="0.3">
      <c r="A1576" t="s">
        <v>17</v>
      </c>
      <c r="B1576" t="str">
        <f>"603970"</f>
        <v>603970</v>
      </c>
      <c r="C1576" t="s">
        <v>3462</v>
      </c>
      <c r="D1576" t="s">
        <v>853</v>
      </c>
      <c r="F1576">
        <v>74.038700000000006</v>
      </c>
      <c r="G1576">
        <v>86.593900000000005</v>
      </c>
      <c r="H1576">
        <v>145.8253</v>
      </c>
      <c r="I1576">
        <v>159.99549999999999</v>
      </c>
      <c r="J1576">
        <v>161.86760000000001</v>
      </c>
      <c r="P1576">
        <v>90</v>
      </c>
      <c r="Q1576" t="s">
        <v>3463</v>
      </c>
    </row>
    <row r="1577" spans="1:17" x14ac:dyDescent="0.3">
      <c r="A1577" t="s">
        <v>17</v>
      </c>
      <c r="B1577" t="str">
        <f>"603976"</f>
        <v>603976</v>
      </c>
      <c r="C1577" t="s">
        <v>3464</v>
      </c>
      <c r="D1577" t="s">
        <v>1077</v>
      </c>
      <c r="F1577">
        <v>141.74780000000001</v>
      </c>
      <c r="G1577">
        <v>216.9547</v>
      </c>
      <c r="H1577">
        <v>170.3758</v>
      </c>
      <c r="I1577">
        <v>115.53270000000001</v>
      </c>
      <c r="J1577">
        <v>112.2619</v>
      </c>
      <c r="P1577">
        <v>216</v>
      </c>
      <c r="Q1577" t="s">
        <v>3465</v>
      </c>
    </row>
    <row r="1578" spans="1:17" x14ac:dyDescent="0.3">
      <c r="A1578" t="s">
        <v>17</v>
      </c>
      <c r="B1578" t="str">
        <f>"603977"</f>
        <v>603977</v>
      </c>
      <c r="C1578" t="s">
        <v>3466</v>
      </c>
      <c r="D1578" t="s">
        <v>2713</v>
      </c>
      <c r="F1578">
        <v>67.557000000000002</v>
      </c>
      <c r="G1578">
        <v>89.589399999999998</v>
      </c>
      <c r="H1578">
        <v>64.390299999999996</v>
      </c>
      <c r="I1578">
        <v>83.798599999999993</v>
      </c>
      <c r="J1578">
        <v>66.5642</v>
      </c>
      <c r="K1578">
        <v>73.432299999999998</v>
      </c>
      <c r="L1578">
        <v>42.026000000000003</v>
      </c>
      <c r="P1578">
        <v>87</v>
      </c>
      <c r="Q1578" t="s">
        <v>3467</v>
      </c>
    </row>
    <row r="1579" spans="1:17" x14ac:dyDescent="0.3">
      <c r="A1579" t="s">
        <v>17</v>
      </c>
      <c r="B1579" t="str">
        <f>"603978"</f>
        <v>603978</v>
      </c>
      <c r="C1579" t="s">
        <v>3468</v>
      </c>
      <c r="D1579" t="s">
        <v>581</v>
      </c>
      <c r="F1579">
        <v>59.037100000000002</v>
      </c>
      <c r="G1579">
        <v>79.712000000000003</v>
      </c>
      <c r="H1579">
        <v>69.122299999999996</v>
      </c>
      <c r="I1579">
        <v>53.991300000000003</v>
      </c>
      <c r="J1579">
        <v>40.308599999999998</v>
      </c>
      <c r="P1579">
        <v>112</v>
      </c>
      <c r="Q1579" t="s">
        <v>3469</v>
      </c>
    </row>
    <row r="1580" spans="1:17" x14ac:dyDescent="0.3">
      <c r="A1580" t="s">
        <v>17</v>
      </c>
      <c r="B1580" t="str">
        <f>"603979"</f>
        <v>603979</v>
      </c>
      <c r="C1580" t="s">
        <v>3470</v>
      </c>
      <c r="D1580" t="s">
        <v>1986</v>
      </c>
      <c r="F1580">
        <v>96.968699999999998</v>
      </c>
      <c r="G1580">
        <v>128.85720000000001</v>
      </c>
      <c r="H1580">
        <v>157.32730000000001</v>
      </c>
      <c r="I1580">
        <v>132.93680000000001</v>
      </c>
      <c r="J1580">
        <v>123.2578</v>
      </c>
      <c r="K1580">
        <v>118.38590000000001</v>
      </c>
      <c r="L1580">
        <v>123.8052</v>
      </c>
      <c r="M1580">
        <v>45.0471</v>
      </c>
      <c r="P1580">
        <v>122</v>
      </c>
      <c r="Q1580" t="s">
        <v>3471</v>
      </c>
    </row>
    <row r="1581" spans="1:17" x14ac:dyDescent="0.3">
      <c r="A1581" t="s">
        <v>17</v>
      </c>
      <c r="B1581" t="str">
        <f>"603980"</f>
        <v>603980</v>
      </c>
      <c r="C1581" t="s">
        <v>3472</v>
      </c>
      <c r="D1581" t="s">
        <v>779</v>
      </c>
      <c r="F1581">
        <v>176.88759999999999</v>
      </c>
      <c r="G1581">
        <v>227.2561</v>
      </c>
      <c r="H1581">
        <v>156.77119999999999</v>
      </c>
      <c r="I1581">
        <v>181.57810000000001</v>
      </c>
      <c r="J1581">
        <v>155.2516</v>
      </c>
      <c r="P1581">
        <v>195</v>
      </c>
      <c r="Q1581" t="s">
        <v>3473</v>
      </c>
    </row>
    <row r="1582" spans="1:17" x14ac:dyDescent="0.3">
      <c r="A1582" t="s">
        <v>17</v>
      </c>
      <c r="B1582" t="str">
        <f>"603982"</f>
        <v>603982</v>
      </c>
      <c r="C1582" t="s">
        <v>3474</v>
      </c>
      <c r="D1582" t="s">
        <v>348</v>
      </c>
      <c r="F1582">
        <v>151.90870000000001</v>
      </c>
      <c r="G1582">
        <v>144.31460000000001</v>
      </c>
      <c r="H1582">
        <v>147.03700000000001</v>
      </c>
      <c r="P1582">
        <v>122</v>
      </c>
      <c r="Q1582" t="s">
        <v>3475</v>
      </c>
    </row>
    <row r="1583" spans="1:17" x14ac:dyDescent="0.3">
      <c r="A1583" t="s">
        <v>17</v>
      </c>
      <c r="B1583" t="str">
        <f>"603983"</f>
        <v>603983</v>
      </c>
      <c r="C1583" t="s">
        <v>3476</v>
      </c>
      <c r="D1583" t="s">
        <v>709</v>
      </c>
      <c r="F1583">
        <v>123.61360000000001</v>
      </c>
      <c r="G1583">
        <v>157.32419999999999</v>
      </c>
      <c r="H1583">
        <v>140.32900000000001</v>
      </c>
      <c r="P1583">
        <v>898</v>
      </c>
      <c r="Q1583" t="s">
        <v>3477</v>
      </c>
    </row>
    <row r="1584" spans="1:17" x14ac:dyDescent="0.3">
      <c r="A1584" t="s">
        <v>17</v>
      </c>
      <c r="B1584" t="str">
        <f>"603985"</f>
        <v>603985</v>
      </c>
      <c r="C1584" t="s">
        <v>3478</v>
      </c>
      <c r="D1584" t="s">
        <v>274</v>
      </c>
      <c r="F1584">
        <v>132.7765</v>
      </c>
      <c r="G1584">
        <v>142.61089999999999</v>
      </c>
      <c r="H1584">
        <v>187.70140000000001</v>
      </c>
      <c r="I1584">
        <v>175.68950000000001</v>
      </c>
      <c r="J1584">
        <v>169.66120000000001</v>
      </c>
      <c r="P1584">
        <v>218</v>
      </c>
      <c r="Q1584" t="s">
        <v>3479</v>
      </c>
    </row>
    <row r="1585" spans="1:17" x14ac:dyDescent="0.3">
      <c r="A1585" t="s">
        <v>17</v>
      </c>
      <c r="B1585" t="str">
        <f>"603986"</f>
        <v>603986</v>
      </c>
      <c r="C1585" t="s">
        <v>3480</v>
      </c>
      <c r="D1585" t="s">
        <v>461</v>
      </c>
      <c r="F1585">
        <v>97.306399999999996</v>
      </c>
      <c r="G1585">
        <v>127.5487</v>
      </c>
      <c r="H1585">
        <v>160.47389999999999</v>
      </c>
      <c r="I1585">
        <v>230.11940000000001</v>
      </c>
      <c r="J1585">
        <v>175.57249999999999</v>
      </c>
      <c r="K1585">
        <v>135.42750000000001</v>
      </c>
      <c r="L1585">
        <v>55.752000000000002</v>
      </c>
      <c r="P1585">
        <v>2706</v>
      </c>
      <c r="Q1585" t="s">
        <v>3481</v>
      </c>
    </row>
    <row r="1586" spans="1:17" x14ac:dyDescent="0.3">
      <c r="A1586" t="s">
        <v>17</v>
      </c>
      <c r="B1586" t="str">
        <f>"603987"</f>
        <v>603987</v>
      </c>
      <c r="C1586" t="s">
        <v>3482</v>
      </c>
      <c r="D1586" t="s">
        <v>1077</v>
      </c>
      <c r="F1586">
        <v>123.55029999999999</v>
      </c>
      <c r="G1586">
        <v>101.9937</v>
      </c>
      <c r="H1586">
        <v>129.2647</v>
      </c>
      <c r="I1586">
        <v>113.8488</v>
      </c>
      <c r="J1586">
        <v>110.2556</v>
      </c>
      <c r="K1586">
        <v>124.5034</v>
      </c>
      <c r="L1586">
        <v>50.307000000000002</v>
      </c>
      <c r="P1586">
        <v>266</v>
      </c>
      <c r="Q1586" t="s">
        <v>3483</v>
      </c>
    </row>
    <row r="1587" spans="1:17" x14ac:dyDescent="0.3">
      <c r="A1587" t="s">
        <v>17</v>
      </c>
      <c r="B1587" t="str">
        <f>"603988"</f>
        <v>603988</v>
      </c>
      <c r="C1587" t="s">
        <v>3484</v>
      </c>
      <c r="D1587" t="s">
        <v>1171</v>
      </c>
      <c r="F1587">
        <v>282.98860000000002</v>
      </c>
      <c r="G1587">
        <v>220.6687</v>
      </c>
      <c r="H1587">
        <v>348.23439999999999</v>
      </c>
      <c r="I1587">
        <v>287.47919999999999</v>
      </c>
      <c r="J1587">
        <v>338.18490000000003</v>
      </c>
      <c r="K1587">
        <v>380.36610000000002</v>
      </c>
      <c r="L1587">
        <v>363.3698</v>
      </c>
      <c r="M1587">
        <v>263.6748</v>
      </c>
      <c r="N1587">
        <v>131.4436</v>
      </c>
      <c r="P1587">
        <v>192</v>
      </c>
      <c r="Q1587" t="s">
        <v>3485</v>
      </c>
    </row>
    <row r="1588" spans="1:17" x14ac:dyDescent="0.3">
      <c r="A1588" t="s">
        <v>17</v>
      </c>
      <c r="B1588" t="str">
        <f>"603989"</f>
        <v>603989</v>
      </c>
      <c r="C1588" t="s">
        <v>3486</v>
      </c>
      <c r="D1588" t="s">
        <v>546</v>
      </c>
      <c r="F1588">
        <v>131.1268</v>
      </c>
      <c r="G1588">
        <v>183.1223</v>
      </c>
      <c r="H1588">
        <v>151.19370000000001</v>
      </c>
      <c r="I1588">
        <v>117.7072</v>
      </c>
      <c r="J1588">
        <v>121.0335</v>
      </c>
      <c r="K1588">
        <v>120.53449999999999</v>
      </c>
      <c r="L1588">
        <v>153.535</v>
      </c>
      <c r="M1588">
        <v>77.414500000000004</v>
      </c>
      <c r="P1588">
        <v>12177</v>
      </c>
      <c r="Q1588" t="s">
        <v>3487</v>
      </c>
    </row>
    <row r="1589" spans="1:17" x14ac:dyDescent="0.3">
      <c r="A1589" t="s">
        <v>17</v>
      </c>
      <c r="B1589" t="str">
        <f>"603990"</f>
        <v>603990</v>
      </c>
      <c r="C1589" t="s">
        <v>3488</v>
      </c>
      <c r="D1589" t="s">
        <v>945</v>
      </c>
      <c r="F1589">
        <v>223.65</v>
      </c>
      <c r="G1589">
        <v>292.3</v>
      </c>
      <c r="H1589">
        <v>267.04750000000001</v>
      </c>
      <c r="I1589">
        <v>163.37860000000001</v>
      </c>
      <c r="J1589">
        <v>161.57830000000001</v>
      </c>
      <c r="K1589">
        <v>50.706600000000002</v>
      </c>
      <c r="P1589">
        <v>143</v>
      </c>
      <c r="Q1589" t="s">
        <v>3489</v>
      </c>
    </row>
    <row r="1590" spans="1:17" x14ac:dyDescent="0.3">
      <c r="A1590" t="s">
        <v>17</v>
      </c>
      <c r="B1590" t="str">
        <f>"603991"</f>
        <v>603991</v>
      </c>
      <c r="C1590" t="s">
        <v>3490</v>
      </c>
      <c r="D1590" t="s">
        <v>1192</v>
      </c>
      <c r="F1590">
        <v>112.1656</v>
      </c>
      <c r="G1590">
        <v>83.337800000000001</v>
      </c>
      <c r="H1590">
        <v>96.596000000000004</v>
      </c>
      <c r="I1590">
        <v>47.441699999999997</v>
      </c>
      <c r="J1590">
        <v>71.4816</v>
      </c>
      <c r="P1590">
        <v>96</v>
      </c>
      <c r="Q1590" t="s">
        <v>3491</v>
      </c>
    </row>
    <row r="1591" spans="1:17" x14ac:dyDescent="0.3">
      <c r="A1591" t="s">
        <v>17</v>
      </c>
      <c r="B1591" t="str">
        <f>"603992"</f>
        <v>603992</v>
      </c>
      <c r="C1591" t="s">
        <v>3492</v>
      </c>
      <c r="D1591" t="s">
        <v>2885</v>
      </c>
      <c r="F1591">
        <v>101.15309999999999</v>
      </c>
      <c r="G1591">
        <v>93.501900000000006</v>
      </c>
      <c r="H1591">
        <v>72.314499999999995</v>
      </c>
      <c r="P1591">
        <v>120</v>
      </c>
      <c r="Q1591" t="s">
        <v>3493</v>
      </c>
    </row>
    <row r="1592" spans="1:17" x14ac:dyDescent="0.3">
      <c r="A1592" t="s">
        <v>17</v>
      </c>
      <c r="B1592" t="str">
        <f>"603993"</f>
        <v>603993</v>
      </c>
      <c r="C1592" t="s">
        <v>3494</v>
      </c>
      <c r="D1592" t="s">
        <v>2354</v>
      </c>
      <c r="F1592">
        <v>73.918199999999999</v>
      </c>
      <c r="G1592">
        <v>100.2522</v>
      </c>
      <c r="H1592">
        <v>163.04179999999999</v>
      </c>
      <c r="I1592">
        <v>182.48310000000001</v>
      </c>
      <c r="J1592">
        <v>164.70750000000001</v>
      </c>
      <c r="K1592">
        <v>87.898799999999994</v>
      </c>
      <c r="L1592">
        <v>97.399799999999999</v>
      </c>
      <c r="M1592">
        <v>71.88</v>
      </c>
      <c r="N1592">
        <v>144.6224</v>
      </c>
      <c r="O1592">
        <v>183.68190000000001</v>
      </c>
      <c r="P1592">
        <v>1125</v>
      </c>
      <c r="Q1592" t="s">
        <v>3495</v>
      </c>
    </row>
    <row r="1593" spans="1:17" x14ac:dyDescent="0.3">
      <c r="A1593" t="s">
        <v>17</v>
      </c>
      <c r="B1593" t="str">
        <f>"603995"</f>
        <v>603995</v>
      </c>
      <c r="C1593" t="s">
        <v>3496</v>
      </c>
      <c r="D1593" t="s">
        <v>281</v>
      </c>
      <c r="F1593">
        <v>17.312899999999999</v>
      </c>
      <c r="G1593">
        <v>21.270700000000001</v>
      </c>
      <c r="H1593">
        <v>18.0703</v>
      </c>
      <c r="P1593">
        <v>128</v>
      </c>
      <c r="Q1593" t="s">
        <v>3497</v>
      </c>
    </row>
    <row r="1594" spans="1:17" x14ac:dyDescent="0.3">
      <c r="A1594" t="s">
        <v>17</v>
      </c>
      <c r="B1594" t="str">
        <f>"603996"</f>
        <v>603996</v>
      </c>
      <c r="C1594" t="s">
        <v>3498</v>
      </c>
      <c r="D1594" t="s">
        <v>3499</v>
      </c>
      <c r="F1594">
        <v>0</v>
      </c>
      <c r="G1594">
        <v>325.4923</v>
      </c>
      <c r="H1594">
        <v>598.9511</v>
      </c>
      <c r="I1594">
        <v>84.3797</v>
      </c>
      <c r="J1594">
        <v>105.1728</v>
      </c>
      <c r="K1594">
        <v>84.572900000000004</v>
      </c>
      <c r="P1594">
        <v>71</v>
      </c>
      <c r="Q1594" t="s">
        <v>3500</v>
      </c>
    </row>
    <row r="1595" spans="1:17" x14ac:dyDescent="0.3">
      <c r="A1595" t="s">
        <v>17</v>
      </c>
      <c r="B1595" t="str">
        <f>"603997"</f>
        <v>603997</v>
      </c>
      <c r="C1595" t="s">
        <v>3501</v>
      </c>
      <c r="D1595" t="s">
        <v>191</v>
      </c>
      <c r="F1595">
        <v>57.705800000000004</v>
      </c>
      <c r="G1595">
        <v>64.965000000000003</v>
      </c>
      <c r="H1595">
        <v>141.39660000000001</v>
      </c>
      <c r="I1595">
        <v>128.08099999999999</v>
      </c>
      <c r="J1595">
        <v>134.20480000000001</v>
      </c>
      <c r="K1595">
        <v>139.60140000000001</v>
      </c>
      <c r="L1595">
        <v>148.75370000000001</v>
      </c>
      <c r="M1595">
        <v>136.82390000000001</v>
      </c>
      <c r="P1595">
        <v>248</v>
      </c>
      <c r="Q1595" t="s">
        <v>3502</v>
      </c>
    </row>
    <row r="1596" spans="1:17" x14ac:dyDescent="0.3">
      <c r="A1596" t="s">
        <v>17</v>
      </c>
      <c r="B1596" t="str">
        <f>"603998"</f>
        <v>603998</v>
      </c>
      <c r="C1596" t="s">
        <v>3503</v>
      </c>
      <c r="D1596" t="s">
        <v>188</v>
      </c>
      <c r="F1596">
        <v>207.32300000000001</v>
      </c>
      <c r="G1596">
        <v>221.5249</v>
      </c>
      <c r="H1596">
        <v>332.34780000000001</v>
      </c>
      <c r="I1596">
        <v>308.60950000000003</v>
      </c>
      <c r="J1596">
        <v>207.50720000000001</v>
      </c>
      <c r="K1596">
        <v>218.07589999999999</v>
      </c>
      <c r="L1596">
        <v>201.3201</v>
      </c>
      <c r="M1596">
        <v>193.2045</v>
      </c>
      <c r="N1596">
        <v>80.261399999999995</v>
      </c>
      <c r="P1596">
        <v>126</v>
      </c>
      <c r="Q1596" t="s">
        <v>3504</v>
      </c>
    </row>
    <row r="1597" spans="1:17" x14ac:dyDescent="0.3">
      <c r="A1597" t="s">
        <v>17</v>
      </c>
      <c r="B1597" t="str">
        <f>"603999"</f>
        <v>603999</v>
      </c>
      <c r="C1597" t="s">
        <v>3505</v>
      </c>
      <c r="D1597" t="s">
        <v>525</v>
      </c>
      <c r="F1597">
        <v>64.862799999999993</v>
      </c>
      <c r="G1597">
        <v>69.437200000000004</v>
      </c>
      <c r="H1597">
        <v>86.164500000000004</v>
      </c>
      <c r="I1597">
        <v>85.142300000000006</v>
      </c>
      <c r="J1597">
        <v>64.4542</v>
      </c>
      <c r="K1597">
        <v>75.466499999999996</v>
      </c>
      <c r="P1597">
        <v>85</v>
      </c>
      <c r="Q1597" t="s">
        <v>3506</v>
      </c>
    </row>
    <row r="1598" spans="1:17" x14ac:dyDescent="0.3">
      <c r="A1598" t="s">
        <v>17</v>
      </c>
      <c r="B1598" t="str">
        <f>"605001"</f>
        <v>605001</v>
      </c>
      <c r="C1598" t="s">
        <v>3507</v>
      </c>
      <c r="D1598" t="s">
        <v>1012</v>
      </c>
      <c r="F1598">
        <v>836.02779999999996</v>
      </c>
      <c r="G1598">
        <v>508.39960000000002</v>
      </c>
      <c r="P1598">
        <v>48</v>
      </c>
      <c r="Q1598" t="s">
        <v>3508</v>
      </c>
    </row>
    <row r="1599" spans="1:17" x14ac:dyDescent="0.3">
      <c r="A1599" t="s">
        <v>17</v>
      </c>
      <c r="B1599" t="str">
        <f>"605003"</f>
        <v>605003</v>
      </c>
      <c r="C1599" t="s">
        <v>3509</v>
      </c>
      <c r="D1599" t="s">
        <v>2862</v>
      </c>
      <c r="F1599">
        <v>137.06030000000001</v>
      </c>
      <c r="G1599">
        <v>148.19649999999999</v>
      </c>
      <c r="P1599">
        <v>75</v>
      </c>
      <c r="Q1599" t="s">
        <v>3510</v>
      </c>
    </row>
    <row r="1600" spans="1:17" x14ac:dyDescent="0.3">
      <c r="A1600" t="s">
        <v>17</v>
      </c>
      <c r="B1600" t="str">
        <f>"605005"</f>
        <v>605005</v>
      </c>
      <c r="C1600" t="s">
        <v>3511</v>
      </c>
      <c r="D1600" t="s">
        <v>1415</v>
      </c>
      <c r="F1600">
        <v>201.70740000000001</v>
      </c>
      <c r="G1600">
        <v>191.05690000000001</v>
      </c>
      <c r="P1600">
        <v>62</v>
      </c>
      <c r="Q1600" t="s">
        <v>3512</v>
      </c>
    </row>
    <row r="1601" spans="1:17" x14ac:dyDescent="0.3">
      <c r="A1601" t="s">
        <v>17</v>
      </c>
      <c r="B1601" t="str">
        <f>"605006"</f>
        <v>605006</v>
      </c>
      <c r="C1601" t="s">
        <v>3513</v>
      </c>
      <c r="D1601" t="s">
        <v>411</v>
      </c>
      <c r="F1601">
        <v>35.627499999999998</v>
      </c>
      <c r="G1601">
        <v>51.832000000000001</v>
      </c>
      <c r="P1601">
        <v>121</v>
      </c>
      <c r="Q1601" t="s">
        <v>3514</v>
      </c>
    </row>
    <row r="1602" spans="1:17" x14ac:dyDescent="0.3">
      <c r="A1602" t="s">
        <v>17</v>
      </c>
      <c r="B1602" t="str">
        <f>"605007"</f>
        <v>605007</v>
      </c>
      <c r="C1602" t="s">
        <v>3515</v>
      </c>
      <c r="D1602" t="s">
        <v>244</v>
      </c>
      <c r="F1602">
        <v>75.171499999999995</v>
      </c>
      <c r="G1602">
        <v>63.538400000000003</v>
      </c>
      <c r="H1602">
        <v>65.446700000000007</v>
      </c>
      <c r="P1602">
        <v>81</v>
      </c>
      <c r="Q1602" t="s">
        <v>3516</v>
      </c>
    </row>
    <row r="1603" spans="1:17" x14ac:dyDescent="0.3">
      <c r="A1603" t="s">
        <v>17</v>
      </c>
      <c r="B1603" t="str">
        <f>"605008"</f>
        <v>605008</v>
      </c>
      <c r="C1603" t="s">
        <v>3517</v>
      </c>
      <c r="D1603" t="s">
        <v>1192</v>
      </c>
      <c r="F1603">
        <v>70.564999999999998</v>
      </c>
      <c r="G1603">
        <v>42.134900000000002</v>
      </c>
      <c r="P1603">
        <v>66</v>
      </c>
      <c r="Q1603" t="s">
        <v>3518</v>
      </c>
    </row>
    <row r="1604" spans="1:17" x14ac:dyDescent="0.3">
      <c r="A1604" t="s">
        <v>17</v>
      </c>
      <c r="B1604" t="str">
        <f>"605009"</f>
        <v>605009</v>
      </c>
      <c r="C1604" t="s">
        <v>3519</v>
      </c>
      <c r="D1604" t="s">
        <v>2728</v>
      </c>
      <c r="F1604">
        <v>75.628100000000003</v>
      </c>
      <c r="G1604">
        <v>64.771000000000001</v>
      </c>
      <c r="P1604">
        <v>355</v>
      </c>
      <c r="Q1604" t="s">
        <v>3520</v>
      </c>
    </row>
    <row r="1605" spans="1:17" x14ac:dyDescent="0.3">
      <c r="A1605" t="s">
        <v>17</v>
      </c>
      <c r="B1605" t="str">
        <f>"605011"</f>
        <v>605011</v>
      </c>
      <c r="C1605" t="s">
        <v>3521</v>
      </c>
      <c r="D1605" t="s">
        <v>351</v>
      </c>
      <c r="F1605">
        <v>30.578399999999998</v>
      </c>
      <c r="P1605">
        <v>27</v>
      </c>
      <c r="Q1605" t="s">
        <v>3522</v>
      </c>
    </row>
    <row r="1606" spans="1:17" x14ac:dyDescent="0.3">
      <c r="A1606" t="s">
        <v>17</v>
      </c>
      <c r="B1606" t="str">
        <f>"605016"</f>
        <v>605016</v>
      </c>
      <c r="C1606" t="s">
        <v>3523</v>
      </c>
      <c r="D1606" t="s">
        <v>677</v>
      </c>
      <c r="F1606">
        <v>95.651799999999994</v>
      </c>
      <c r="P1606">
        <v>65</v>
      </c>
      <c r="Q1606" t="s">
        <v>3524</v>
      </c>
    </row>
    <row r="1607" spans="1:17" x14ac:dyDescent="0.3">
      <c r="A1607" t="s">
        <v>17</v>
      </c>
      <c r="B1607" t="str">
        <f>"605018"</f>
        <v>605018</v>
      </c>
      <c r="C1607" t="s">
        <v>3525</v>
      </c>
      <c r="D1607" t="s">
        <v>985</v>
      </c>
      <c r="F1607">
        <v>172.02109999999999</v>
      </c>
      <c r="G1607">
        <v>154.7851</v>
      </c>
      <c r="P1607">
        <v>48</v>
      </c>
      <c r="Q1607" t="s">
        <v>3526</v>
      </c>
    </row>
    <row r="1608" spans="1:17" x14ac:dyDescent="0.3">
      <c r="A1608" t="s">
        <v>17</v>
      </c>
      <c r="B1608" t="str">
        <f>"605020"</f>
        <v>605020</v>
      </c>
      <c r="C1608" t="s">
        <v>3527</v>
      </c>
      <c r="D1608" t="s">
        <v>375</v>
      </c>
      <c r="F1608">
        <v>66.715000000000003</v>
      </c>
      <c r="P1608">
        <v>33</v>
      </c>
      <c r="Q1608" t="s">
        <v>3528</v>
      </c>
    </row>
    <row r="1609" spans="1:17" x14ac:dyDescent="0.3">
      <c r="A1609" t="s">
        <v>17</v>
      </c>
      <c r="B1609" t="str">
        <f>"605028"</f>
        <v>605028</v>
      </c>
      <c r="C1609" t="s">
        <v>3529</v>
      </c>
      <c r="D1609" t="s">
        <v>351</v>
      </c>
      <c r="F1609">
        <v>23.322399999999998</v>
      </c>
      <c r="P1609">
        <v>46</v>
      </c>
      <c r="Q1609" t="s">
        <v>3530</v>
      </c>
    </row>
    <row r="1610" spans="1:17" x14ac:dyDescent="0.3">
      <c r="A1610" t="s">
        <v>17</v>
      </c>
      <c r="B1610" t="str">
        <f>"605033"</f>
        <v>605033</v>
      </c>
      <c r="C1610" t="s">
        <v>3531</v>
      </c>
      <c r="D1610" t="s">
        <v>853</v>
      </c>
      <c r="F1610">
        <v>343.9853</v>
      </c>
      <c r="P1610">
        <v>14</v>
      </c>
      <c r="Q1610" t="s">
        <v>3532</v>
      </c>
    </row>
    <row r="1611" spans="1:17" x14ac:dyDescent="0.3">
      <c r="A1611" t="s">
        <v>17</v>
      </c>
      <c r="B1611" t="str">
        <f>"605050"</f>
        <v>605050</v>
      </c>
      <c r="C1611" t="s">
        <v>3533</v>
      </c>
      <c r="D1611" t="s">
        <v>128</v>
      </c>
      <c r="F1611">
        <v>67.442300000000003</v>
      </c>
      <c r="G1611">
        <v>68.040800000000004</v>
      </c>
      <c r="P1611">
        <v>37</v>
      </c>
      <c r="Q1611" t="s">
        <v>3534</v>
      </c>
    </row>
    <row r="1612" spans="1:17" x14ac:dyDescent="0.3">
      <c r="A1612" t="s">
        <v>17</v>
      </c>
      <c r="B1612" t="str">
        <f>"605055"</f>
        <v>605055</v>
      </c>
      <c r="C1612" t="s">
        <v>3535</v>
      </c>
      <c r="D1612" t="s">
        <v>817</v>
      </c>
      <c r="F1612">
        <v>39.467700000000001</v>
      </c>
      <c r="G1612">
        <v>57.581899999999997</v>
      </c>
      <c r="P1612">
        <v>38</v>
      </c>
      <c r="Q1612" t="s">
        <v>3536</v>
      </c>
    </row>
    <row r="1613" spans="1:17" x14ac:dyDescent="0.3">
      <c r="A1613" t="s">
        <v>17</v>
      </c>
      <c r="B1613" t="str">
        <f>"605056"</f>
        <v>605056</v>
      </c>
      <c r="C1613" t="s">
        <v>3537</v>
      </c>
      <c r="D1613" t="s">
        <v>2551</v>
      </c>
      <c r="F1613">
        <v>71.122200000000007</v>
      </c>
      <c r="P1613">
        <v>21</v>
      </c>
      <c r="Q1613" t="s">
        <v>3538</v>
      </c>
    </row>
    <row r="1614" spans="1:17" x14ac:dyDescent="0.3">
      <c r="A1614" t="s">
        <v>17</v>
      </c>
      <c r="B1614" t="str">
        <f>"605058"</f>
        <v>605058</v>
      </c>
      <c r="C1614" t="s">
        <v>3539</v>
      </c>
      <c r="D1614" t="s">
        <v>425</v>
      </c>
      <c r="F1614">
        <v>146.0171</v>
      </c>
      <c r="G1614">
        <v>137.2379</v>
      </c>
      <c r="P1614">
        <v>48</v>
      </c>
      <c r="Q1614" t="s">
        <v>3540</v>
      </c>
    </row>
    <row r="1615" spans="1:17" x14ac:dyDescent="0.3">
      <c r="A1615" t="s">
        <v>17</v>
      </c>
      <c r="B1615" t="str">
        <f>"605060"</f>
        <v>605060</v>
      </c>
      <c r="C1615" t="s">
        <v>3541</v>
      </c>
      <c r="D1615" t="s">
        <v>560</v>
      </c>
      <c r="F1615">
        <v>108.97920000000001</v>
      </c>
      <c r="P1615">
        <v>43</v>
      </c>
      <c r="Q1615" t="s">
        <v>3542</v>
      </c>
    </row>
    <row r="1616" spans="1:17" x14ac:dyDescent="0.3">
      <c r="A1616" t="s">
        <v>17</v>
      </c>
      <c r="B1616" t="str">
        <f>"605066"</f>
        <v>605066</v>
      </c>
      <c r="C1616" t="s">
        <v>3543</v>
      </c>
      <c r="D1616" t="s">
        <v>657</v>
      </c>
      <c r="F1616">
        <v>64.408900000000003</v>
      </c>
      <c r="G1616">
        <v>68.632099999999994</v>
      </c>
      <c r="P1616">
        <v>54</v>
      </c>
      <c r="Q1616" t="s">
        <v>3544</v>
      </c>
    </row>
    <row r="1617" spans="1:17" x14ac:dyDescent="0.3">
      <c r="A1617" t="s">
        <v>17</v>
      </c>
      <c r="B1617" t="str">
        <f>"605068"</f>
        <v>605068</v>
      </c>
      <c r="C1617" t="s">
        <v>3545</v>
      </c>
      <c r="D1617" t="s">
        <v>191</v>
      </c>
      <c r="F1617">
        <v>540.44640000000004</v>
      </c>
      <c r="G1617">
        <v>346.04489999999998</v>
      </c>
      <c r="P1617">
        <v>89</v>
      </c>
      <c r="Q1617" t="s">
        <v>3546</v>
      </c>
    </row>
    <row r="1618" spans="1:17" x14ac:dyDescent="0.3">
      <c r="A1618" t="s">
        <v>17</v>
      </c>
      <c r="B1618" t="str">
        <f>"605069"</f>
        <v>605069</v>
      </c>
      <c r="C1618" t="s">
        <v>3547</v>
      </c>
      <c r="D1618" t="s">
        <v>3548</v>
      </c>
      <c r="F1618">
        <v>1.7141</v>
      </c>
      <c r="P1618">
        <v>16</v>
      </c>
      <c r="Q1618" t="s">
        <v>3549</v>
      </c>
    </row>
    <row r="1619" spans="1:17" x14ac:dyDescent="0.3">
      <c r="A1619" t="s">
        <v>17</v>
      </c>
      <c r="B1619" t="str">
        <f>"605077"</f>
        <v>605077</v>
      </c>
      <c r="C1619" t="s">
        <v>3550</v>
      </c>
      <c r="D1619" t="s">
        <v>677</v>
      </c>
      <c r="F1619">
        <v>70.140900000000002</v>
      </c>
      <c r="G1619">
        <v>90.386499999999998</v>
      </c>
      <c r="P1619">
        <v>88</v>
      </c>
      <c r="Q1619" t="s">
        <v>3551</v>
      </c>
    </row>
    <row r="1620" spans="1:17" x14ac:dyDescent="0.3">
      <c r="A1620" t="s">
        <v>17</v>
      </c>
      <c r="B1620" t="str">
        <f>"605080"</f>
        <v>605080</v>
      </c>
      <c r="C1620" t="s">
        <v>3552</v>
      </c>
      <c r="D1620" t="s">
        <v>2904</v>
      </c>
      <c r="F1620">
        <v>140.578</v>
      </c>
      <c r="P1620">
        <v>47</v>
      </c>
      <c r="Q1620" t="s">
        <v>3553</v>
      </c>
    </row>
    <row r="1621" spans="1:17" x14ac:dyDescent="0.3">
      <c r="A1621" t="s">
        <v>17</v>
      </c>
      <c r="B1621" t="str">
        <f>"605081"</f>
        <v>605081</v>
      </c>
      <c r="C1621" t="s">
        <v>3554</v>
      </c>
      <c r="D1621" t="s">
        <v>33</v>
      </c>
      <c r="F1621">
        <v>34.254899999999999</v>
      </c>
      <c r="G1621">
        <v>267.81569999999999</v>
      </c>
      <c r="P1621">
        <v>30</v>
      </c>
      <c r="Q1621" t="s">
        <v>3555</v>
      </c>
    </row>
    <row r="1622" spans="1:17" x14ac:dyDescent="0.3">
      <c r="A1622" t="s">
        <v>17</v>
      </c>
      <c r="B1622" t="str">
        <f>"605086"</f>
        <v>605086</v>
      </c>
      <c r="C1622" t="s">
        <v>3556</v>
      </c>
      <c r="D1622" t="s">
        <v>2739</v>
      </c>
      <c r="F1622">
        <v>119.05</v>
      </c>
      <c r="P1622">
        <v>29</v>
      </c>
      <c r="Q1622" t="s">
        <v>3557</v>
      </c>
    </row>
    <row r="1623" spans="1:17" x14ac:dyDescent="0.3">
      <c r="A1623" t="s">
        <v>17</v>
      </c>
      <c r="B1623" t="str">
        <f>"605088"</f>
        <v>605088</v>
      </c>
      <c r="C1623" t="s">
        <v>3558</v>
      </c>
      <c r="D1623" t="s">
        <v>348</v>
      </c>
      <c r="F1623">
        <v>120.4666</v>
      </c>
      <c r="G1623">
        <v>131.02459999999999</v>
      </c>
      <c r="H1623">
        <v>57.011299999999999</v>
      </c>
      <c r="P1623">
        <v>47</v>
      </c>
      <c r="Q1623" t="s">
        <v>3559</v>
      </c>
    </row>
    <row r="1624" spans="1:17" x14ac:dyDescent="0.3">
      <c r="A1624" t="s">
        <v>17</v>
      </c>
      <c r="B1624" t="str">
        <f>"605089"</f>
        <v>605089</v>
      </c>
      <c r="C1624" t="s">
        <v>3560</v>
      </c>
      <c r="D1624" t="s">
        <v>2838</v>
      </c>
      <c r="F1624">
        <v>33.0214</v>
      </c>
      <c r="P1624">
        <v>131</v>
      </c>
      <c r="Q1624" t="s">
        <v>3561</v>
      </c>
    </row>
    <row r="1625" spans="1:17" x14ac:dyDescent="0.3">
      <c r="A1625" t="s">
        <v>17</v>
      </c>
      <c r="B1625" t="str">
        <f>"605090"</f>
        <v>605090</v>
      </c>
      <c r="C1625" t="s">
        <v>3562</v>
      </c>
      <c r="D1625" t="s">
        <v>749</v>
      </c>
      <c r="F1625">
        <v>13.8573</v>
      </c>
      <c r="P1625">
        <v>51</v>
      </c>
      <c r="Q1625" t="s">
        <v>3563</v>
      </c>
    </row>
    <row r="1626" spans="1:17" x14ac:dyDescent="0.3">
      <c r="A1626" t="s">
        <v>17</v>
      </c>
      <c r="B1626" t="str">
        <f>"605098"</f>
        <v>605098</v>
      </c>
      <c r="C1626" t="s">
        <v>3564</v>
      </c>
      <c r="D1626" t="s">
        <v>1336</v>
      </c>
      <c r="F1626">
        <v>13.610300000000001</v>
      </c>
      <c r="P1626">
        <v>53</v>
      </c>
      <c r="Q1626" t="s">
        <v>3565</v>
      </c>
    </row>
    <row r="1627" spans="1:17" x14ac:dyDescent="0.3">
      <c r="A1627" t="s">
        <v>17</v>
      </c>
      <c r="B1627" t="str">
        <f>"605099"</f>
        <v>605099</v>
      </c>
      <c r="C1627" t="s">
        <v>3566</v>
      </c>
      <c r="D1627" t="s">
        <v>2436</v>
      </c>
      <c r="F1627">
        <v>122.2111</v>
      </c>
      <c r="G1627">
        <v>115.2276</v>
      </c>
      <c r="H1627">
        <v>48.697699999999998</v>
      </c>
      <c r="P1627">
        <v>166</v>
      </c>
      <c r="Q1627" t="s">
        <v>3567</v>
      </c>
    </row>
    <row r="1628" spans="1:17" x14ac:dyDescent="0.3">
      <c r="A1628" t="s">
        <v>17</v>
      </c>
      <c r="B1628" t="str">
        <f>"605100"</f>
        <v>605100</v>
      </c>
      <c r="C1628" t="s">
        <v>3568</v>
      </c>
      <c r="D1628" t="s">
        <v>274</v>
      </c>
      <c r="F1628">
        <v>68.734200000000001</v>
      </c>
      <c r="G1628">
        <v>71.186800000000005</v>
      </c>
      <c r="H1628">
        <v>40.956099999999999</v>
      </c>
      <c r="P1628">
        <v>60</v>
      </c>
      <c r="Q1628" t="s">
        <v>3569</v>
      </c>
    </row>
    <row r="1629" spans="1:17" x14ac:dyDescent="0.3">
      <c r="A1629" t="s">
        <v>17</v>
      </c>
      <c r="B1629" t="str">
        <f>"605108"</f>
        <v>605108</v>
      </c>
      <c r="C1629" t="s">
        <v>3570</v>
      </c>
      <c r="D1629" t="s">
        <v>3571</v>
      </c>
      <c r="F1629">
        <v>37.403199999999998</v>
      </c>
      <c r="G1629">
        <v>80.250500000000002</v>
      </c>
      <c r="P1629">
        <v>104</v>
      </c>
      <c r="Q1629" t="s">
        <v>3572</v>
      </c>
    </row>
    <row r="1630" spans="1:17" x14ac:dyDescent="0.3">
      <c r="A1630" t="s">
        <v>17</v>
      </c>
      <c r="B1630" t="str">
        <f>"605111"</f>
        <v>605111</v>
      </c>
      <c r="C1630" t="s">
        <v>3573</v>
      </c>
      <c r="D1630" t="s">
        <v>795</v>
      </c>
      <c r="F1630">
        <v>68.825699999999998</v>
      </c>
      <c r="G1630">
        <v>91.136300000000006</v>
      </c>
      <c r="H1630">
        <v>45.756300000000003</v>
      </c>
      <c r="J1630">
        <v>57.078499999999998</v>
      </c>
      <c r="P1630">
        <v>332</v>
      </c>
      <c r="Q1630" t="s">
        <v>3574</v>
      </c>
    </row>
    <row r="1631" spans="1:17" x14ac:dyDescent="0.3">
      <c r="A1631" t="s">
        <v>17</v>
      </c>
      <c r="B1631" t="str">
        <f>"605116"</f>
        <v>605116</v>
      </c>
      <c r="C1631" t="s">
        <v>3575</v>
      </c>
      <c r="D1631" t="s">
        <v>496</v>
      </c>
      <c r="F1631">
        <v>314.20080000000002</v>
      </c>
      <c r="G1631">
        <v>319.11759999999998</v>
      </c>
      <c r="P1631">
        <v>81</v>
      </c>
      <c r="Q1631" t="s">
        <v>3576</v>
      </c>
    </row>
    <row r="1632" spans="1:17" x14ac:dyDescent="0.3">
      <c r="A1632" t="s">
        <v>17</v>
      </c>
      <c r="B1632" t="str">
        <f>"605117"</f>
        <v>605117</v>
      </c>
      <c r="C1632" t="s">
        <v>3577</v>
      </c>
      <c r="D1632" t="s">
        <v>1253</v>
      </c>
      <c r="F1632">
        <v>52.897599999999997</v>
      </c>
      <c r="P1632">
        <v>141</v>
      </c>
      <c r="Q1632" t="s">
        <v>3578</v>
      </c>
    </row>
    <row r="1633" spans="1:17" x14ac:dyDescent="0.3">
      <c r="A1633" t="s">
        <v>17</v>
      </c>
      <c r="B1633" t="str">
        <f>"605118"</f>
        <v>605118</v>
      </c>
      <c r="C1633" t="s">
        <v>3579</v>
      </c>
      <c r="D1633" t="s">
        <v>2953</v>
      </c>
      <c r="F1633">
        <v>307.37060000000002</v>
      </c>
      <c r="G1633">
        <v>247.22640000000001</v>
      </c>
      <c r="P1633">
        <v>114</v>
      </c>
      <c r="Q1633" t="s">
        <v>3580</v>
      </c>
    </row>
    <row r="1634" spans="1:17" x14ac:dyDescent="0.3">
      <c r="A1634" t="s">
        <v>17</v>
      </c>
      <c r="B1634" t="str">
        <f>"605122"</f>
        <v>605122</v>
      </c>
      <c r="C1634" t="s">
        <v>3581</v>
      </c>
      <c r="D1634" t="s">
        <v>3071</v>
      </c>
      <c r="F1634">
        <v>9.5014000000000003</v>
      </c>
      <c r="P1634">
        <v>36</v>
      </c>
      <c r="Q1634" t="s">
        <v>3582</v>
      </c>
    </row>
    <row r="1635" spans="1:17" x14ac:dyDescent="0.3">
      <c r="A1635" t="s">
        <v>17</v>
      </c>
      <c r="B1635" t="str">
        <f>"605123"</f>
        <v>605123</v>
      </c>
      <c r="C1635" t="s">
        <v>3583</v>
      </c>
      <c r="D1635" t="s">
        <v>98</v>
      </c>
      <c r="F1635">
        <v>153.15190000000001</v>
      </c>
      <c r="G1635">
        <v>143.54259999999999</v>
      </c>
      <c r="P1635">
        <v>143</v>
      </c>
      <c r="Q1635" t="s">
        <v>3584</v>
      </c>
    </row>
    <row r="1636" spans="1:17" x14ac:dyDescent="0.3">
      <c r="A1636" t="s">
        <v>17</v>
      </c>
      <c r="B1636" t="str">
        <f>"605128"</f>
        <v>605128</v>
      </c>
      <c r="C1636" t="s">
        <v>3585</v>
      </c>
      <c r="D1636" t="s">
        <v>191</v>
      </c>
      <c r="F1636">
        <v>83.756399999999999</v>
      </c>
      <c r="G1636">
        <v>67.782799999999995</v>
      </c>
      <c r="P1636">
        <v>53</v>
      </c>
      <c r="Q1636" t="s">
        <v>3586</v>
      </c>
    </row>
    <row r="1637" spans="1:17" x14ac:dyDescent="0.3">
      <c r="A1637" t="s">
        <v>17</v>
      </c>
      <c r="B1637" t="str">
        <f>"605133"</f>
        <v>605133</v>
      </c>
      <c r="C1637" t="s">
        <v>3587</v>
      </c>
      <c r="D1637" t="s">
        <v>348</v>
      </c>
      <c r="F1637">
        <v>145.84790000000001</v>
      </c>
      <c r="G1637">
        <v>136.78110000000001</v>
      </c>
      <c r="P1637">
        <v>36</v>
      </c>
      <c r="Q1637" t="s">
        <v>3588</v>
      </c>
    </row>
    <row r="1638" spans="1:17" x14ac:dyDescent="0.3">
      <c r="A1638" t="s">
        <v>17</v>
      </c>
      <c r="B1638" t="str">
        <f>"605136"</f>
        <v>605136</v>
      </c>
      <c r="C1638" t="s">
        <v>3589</v>
      </c>
      <c r="D1638" t="s">
        <v>3590</v>
      </c>
      <c r="F1638">
        <v>215.95519999999999</v>
      </c>
      <c r="G1638">
        <v>157.0898</v>
      </c>
      <c r="P1638">
        <v>99</v>
      </c>
      <c r="Q1638" t="s">
        <v>3591</v>
      </c>
    </row>
    <row r="1639" spans="1:17" x14ac:dyDescent="0.3">
      <c r="A1639" t="s">
        <v>17</v>
      </c>
      <c r="B1639" t="str">
        <f>"605138"</f>
        <v>605138</v>
      </c>
      <c r="C1639" t="s">
        <v>3592</v>
      </c>
      <c r="D1639" t="s">
        <v>255</v>
      </c>
      <c r="F1639">
        <v>106.49250000000001</v>
      </c>
      <c r="P1639">
        <v>27</v>
      </c>
      <c r="Q1639" t="s">
        <v>3593</v>
      </c>
    </row>
    <row r="1640" spans="1:17" x14ac:dyDescent="0.3">
      <c r="A1640" t="s">
        <v>17</v>
      </c>
      <c r="B1640" t="str">
        <f>"605151"</f>
        <v>605151</v>
      </c>
      <c r="C1640" t="s">
        <v>3594</v>
      </c>
      <c r="D1640" t="s">
        <v>2359</v>
      </c>
      <c r="F1640">
        <v>24.370799999999999</v>
      </c>
      <c r="G1640">
        <v>23.209599999999998</v>
      </c>
      <c r="P1640">
        <v>55</v>
      </c>
      <c r="Q1640" t="s">
        <v>3595</v>
      </c>
    </row>
    <row r="1641" spans="1:17" x14ac:dyDescent="0.3">
      <c r="A1641" t="s">
        <v>17</v>
      </c>
      <c r="B1641" t="str">
        <f>"605155"</f>
        <v>605155</v>
      </c>
      <c r="C1641" t="s">
        <v>3596</v>
      </c>
      <c r="D1641" t="s">
        <v>2436</v>
      </c>
      <c r="F1641">
        <v>186.37</v>
      </c>
      <c r="G1641">
        <v>227.89340000000001</v>
      </c>
      <c r="P1641">
        <v>45</v>
      </c>
      <c r="Q1641" t="s">
        <v>3597</v>
      </c>
    </row>
    <row r="1642" spans="1:17" x14ac:dyDescent="0.3">
      <c r="A1642" t="s">
        <v>17</v>
      </c>
      <c r="B1642" t="str">
        <f>"605158"</f>
        <v>605158</v>
      </c>
      <c r="C1642" t="s">
        <v>3598</v>
      </c>
      <c r="D1642" t="s">
        <v>38</v>
      </c>
      <c r="F1642">
        <v>79.0779</v>
      </c>
      <c r="G1642">
        <v>65.6203</v>
      </c>
      <c r="P1642">
        <v>91</v>
      </c>
      <c r="Q1642" t="s">
        <v>3599</v>
      </c>
    </row>
    <row r="1643" spans="1:17" x14ac:dyDescent="0.3">
      <c r="A1643" t="s">
        <v>17</v>
      </c>
      <c r="B1643" t="str">
        <f>"605162"</f>
        <v>605162</v>
      </c>
      <c r="C1643" t="s">
        <v>3600</v>
      </c>
      <c r="D1643" t="s">
        <v>351</v>
      </c>
      <c r="F1643">
        <v>36.448300000000003</v>
      </c>
      <c r="P1643">
        <v>27</v>
      </c>
      <c r="Q1643" t="s">
        <v>3601</v>
      </c>
    </row>
    <row r="1644" spans="1:17" x14ac:dyDescent="0.3">
      <c r="A1644" t="s">
        <v>17</v>
      </c>
      <c r="B1644" t="str">
        <f>"605166"</f>
        <v>605166</v>
      </c>
      <c r="C1644" t="s">
        <v>3602</v>
      </c>
      <c r="D1644" t="s">
        <v>1636</v>
      </c>
      <c r="F1644">
        <v>35.670999999999999</v>
      </c>
      <c r="G1644">
        <v>53.255299999999998</v>
      </c>
      <c r="H1644">
        <v>9.1042000000000005</v>
      </c>
      <c r="P1644">
        <v>68</v>
      </c>
      <c r="Q1644" t="s">
        <v>3603</v>
      </c>
    </row>
    <row r="1645" spans="1:17" x14ac:dyDescent="0.3">
      <c r="A1645" t="s">
        <v>17</v>
      </c>
      <c r="B1645" t="str">
        <f>"605167"</f>
        <v>605167</v>
      </c>
      <c r="C1645" t="s">
        <v>3604</v>
      </c>
      <c r="D1645" t="s">
        <v>2019</v>
      </c>
      <c r="F1645">
        <v>39.072800000000001</v>
      </c>
      <c r="P1645">
        <v>22</v>
      </c>
      <c r="Q1645" t="s">
        <v>3605</v>
      </c>
    </row>
    <row r="1646" spans="1:17" x14ac:dyDescent="0.3">
      <c r="A1646" t="s">
        <v>17</v>
      </c>
      <c r="B1646" t="str">
        <f>"605168"</f>
        <v>605168</v>
      </c>
      <c r="C1646" t="s">
        <v>3606</v>
      </c>
      <c r="D1646" t="s">
        <v>207</v>
      </c>
      <c r="F1646">
        <v>1.9229000000000001</v>
      </c>
      <c r="G1646">
        <v>1.9790000000000001</v>
      </c>
      <c r="H1646">
        <v>0.36420000000000002</v>
      </c>
      <c r="P1646">
        <v>317</v>
      </c>
      <c r="Q1646" t="s">
        <v>3607</v>
      </c>
    </row>
    <row r="1647" spans="1:17" x14ac:dyDescent="0.3">
      <c r="A1647" t="s">
        <v>17</v>
      </c>
      <c r="B1647" t="str">
        <f>"605169"</f>
        <v>605169</v>
      </c>
      <c r="C1647" t="s">
        <v>3608</v>
      </c>
      <c r="D1647" t="s">
        <v>749</v>
      </c>
      <c r="F1647">
        <v>13.1198</v>
      </c>
      <c r="G1647">
        <v>19.2135</v>
      </c>
      <c r="P1647">
        <v>62</v>
      </c>
      <c r="Q1647" t="s">
        <v>3609</v>
      </c>
    </row>
    <row r="1648" spans="1:17" x14ac:dyDescent="0.3">
      <c r="A1648" t="s">
        <v>17</v>
      </c>
      <c r="B1648" t="str">
        <f>"605177"</f>
        <v>605177</v>
      </c>
      <c r="C1648" t="s">
        <v>3610</v>
      </c>
      <c r="D1648" t="s">
        <v>496</v>
      </c>
      <c r="F1648">
        <v>388.57459999999998</v>
      </c>
      <c r="G1648">
        <v>227.8638</v>
      </c>
      <c r="P1648">
        <v>38</v>
      </c>
      <c r="Q1648" t="s">
        <v>3611</v>
      </c>
    </row>
    <row r="1649" spans="1:17" x14ac:dyDescent="0.3">
      <c r="A1649" t="s">
        <v>17</v>
      </c>
      <c r="B1649" t="str">
        <f>"605178"</f>
        <v>605178</v>
      </c>
      <c r="C1649" t="s">
        <v>3612</v>
      </c>
      <c r="D1649" t="s">
        <v>450</v>
      </c>
      <c r="F1649">
        <v>10.1615</v>
      </c>
      <c r="G1649">
        <v>246.9383</v>
      </c>
      <c r="P1649">
        <v>49</v>
      </c>
      <c r="Q1649" t="s">
        <v>3613</v>
      </c>
    </row>
    <row r="1650" spans="1:17" x14ac:dyDescent="0.3">
      <c r="A1650" t="s">
        <v>17</v>
      </c>
      <c r="B1650" t="str">
        <f>"605179"</f>
        <v>605179</v>
      </c>
      <c r="C1650" t="s">
        <v>3614</v>
      </c>
      <c r="D1650" t="s">
        <v>900</v>
      </c>
      <c r="F1650">
        <v>24.986899999999999</v>
      </c>
      <c r="G1650">
        <v>31.6021</v>
      </c>
      <c r="P1650">
        <v>84</v>
      </c>
      <c r="Q1650" t="s">
        <v>3615</v>
      </c>
    </row>
    <row r="1651" spans="1:17" x14ac:dyDescent="0.3">
      <c r="A1651" t="s">
        <v>17</v>
      </c>
      <c r="B1651" t="str">
        <f>"605180"</f>
        <v>605180</v>
      </c>
      <c r="C1651" t="s">
        <v>3616</v>
      </c>
      <c r="D1651" t="s">
        <v>366</v>
      </c>
      <c r="F1651">
        <v>112.39239999999999</v>
      </c>
      <c r="P1651">
        <v>40</v>
      </c>
      <c r="Q1651" t="s">
        <v>3617</v>
      </c>
    </row>
    <row r="1652" spans="1:17" x14ac:dyDescent="0.3">
      <c r="A1652" t="s">
        <v>17</v>
      </c>
      <c r="B1652" t="str">
        <f>"605183"</f>
        <v>605183</v>
      </c>
      <c r="C1652" t="s">
        <v>3618</v>
      </c>
      <c r="D1652" t="s">
        <v>3619</v>
      </c>
      <c r="F1652">
        <v>67.754300000000001</v>
      </c>
      <c r="G1652">
        <v>98.766199999999998</v>
      </c>
      <c r="H1652">
        <v>67.405500000000004</v>
      </c>
      <c r="I1652">
        <v>53.437399999999997</v>
      </c>
      <c r="P1652">
        <v>63</v>
      </c>
      <c r="Q1652" t="s">
        <v>3620</v>
      </c>
    </row>
    <row r="1653" spans="1:17" x14ac:dyDescent="0.3">
      <c r="A1653" t="s">
        <v>17</v>
      </c>
      <c r="B1653" t="str">
        <f>"605186"</f>
        <v>605186</v>
      </c>
      <c r="C1653" t="s">
        <v>3621</v>
      </c>
      <c r="D1653" t="s">
        <v>3450</v>
      </c>
      <c r="F1653">
        <v>92.325699999999998</v>
      </c>
      <c r="G1653">
        <v>163.75540000000001</v>
      </c>
      <c r="P1653">
        <v>47</v>
      </c>
      <c r="Q1653" t="s">
        <v>3622</v>
      </c>
    </row>
    <row r="1654" spans="1:17" x14ac:dyDescent="0.3">
      <c r="A1654" t="s">
        <v>17</v>
      </c>
      <c r="B1654" t="str">
        <f>"605188"</f>
        <v>605188</v>
      </c>
      <c r="C1654" t="s">
        <v>3623</v>
      </c>
      <c r="D1654" t="s">
        <v>798</v>
      </c>
      <c r="F1654">
        <v>71.219899999999996</v>
      </c>
      <c r="G1654">
        <v>67.659000000000006</v>
      </c>
      <c r="P1654">
        <v>43</v>
      </c>
      <c r="Q1654" t="s">
        <v>3624</v>
      </c>
    </row>
    <row r="1655" spans="1:17" x14ac:dyDescent="0.3">
      <c r="A1655" t="s">
        <v>17</v>
      </c>
      <c r="B1655" t="str">
        <f>"605189"</f>
        <v>605189</v>
      </c>
      <c r="C1655" t="s">
        <v>3625</v>
      </c>
      <c r="D1655" t="s">
        <v>817</v>
      </c>
      <c r="F1655">
        <v>98.389700000000005</v>
      </c>
      <c r="P1655">
        <v>44</v>
      </c>
      <c r="Q1655" t="s">
        <v>3626</v>
      </c>
    </row>
    <row r="1656" spans="1:17" x14ac:dyDescent="0.3">
      <c r="A1656" t="s">
        <v>17</v>
      </c>
      <c r="B1656" t="str">
        <f>"605196"</f>
        <v>605196</v>
      </c>
      <c r="C1656" t="s">
        <v>3627</v>
      </c>
      <c r="D1656" t="s">
        <v>1164</v>
      </c>
      <c r="F1656">
        <v>102.8216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"605198"</f>
        <v>605198</v>
      </c>
      <c r="C1657" t="s">
        <v>3629</v>
      </c>
      <c r="D1657" t="s">
        <v>574</v>
      </c>
      <c r="F1657">
        <v>412.51429999999999</v>
      </c>
      <c r="G1657">
        <v>451.13459999999998</v>
      </c>
      <c r="P1657">
        <v>47</v>
      </c>
      <c r="Q1657" t="s">
        <v>3630</v>
      </c>
    </row>
    <row r="1658" spans="1:17" x14ac:dyDescent="0.3">
      <c r="A1658" t="s">
        <v>17</v>
      </c>
      <c r="B1658" t="str">
        <f>"605199"</f>
        <v>605199</v>
      </c>
      <c r="C1658" t="s">
        <v>3631</v>
      </c>
      <c r="D1658" t="s">
        <v>188</v>
      </c>
      <c r="F1658">
        <v>178.78720000000001</v>
      </c>
      <c r="G1658">
        <v>198.82230000000001</v>
      </c>
      <c r="P1658">
        <v>136</v>
      </c>
      <c r="Q1658" t="s">
        <v>3632</v>
      </c>
    </row>
    <row r="1659" spans="1:17" x14ac:dyDescent="0.3">
      <c r="A1659" t="s">
        <v>17</v>
      </c>
      <c r="B1659" t="str">
        <f>"605208"</f>
        <v>605208</v>
      </c>
      <c r="C1659" t="s">
        <v>3633</v>
      </c>
      <c r="D1659" t="s">
        <v>504</v>
      </c>
      <c r="F1659">
        <v>70.508399999999995</v>
      </c>
      <c r="P1659">
        <v>40</v>
      </c>
      <c r="Q1659" t="s">
        <v>3634</v>
      </c>
    </row>
    <row r="1660" spans="1:17" x14ac:dyDescent="0.3">
      <c r="A1660" t="s">
        <v>17</v>
      </c>
      <c r="B1660" t="str">
        <f>"605218"</f>
        <v>605218</v>
      </c>
      <c r="C1660" t="s">
        <v>3635</v>
      </c>
      <c r="D1660" t="s">
        <v>1117</v>
      </c>
      <c r="F1660">
        <v>63.933500000000002</v>
      </c>
      <c r="G1660">
        <v>73.796999999999997</v>
      </c>
      <c r="P1660">
        <v>56</v>
      </c>
      <c r="Q1660" t="s">
        <v>3636</v>
      </c>
    </row>
    <row r="1661" spans="1:17" x14ac:dyDescent="0.3">
      <c r="A1661" t="s">
        <v>17</v>
      </c>
      <c r="B1661" t="str">
        <f>"605222"</f>
        <v>605222</v>
      </c>
      <c r="C1661" t="s">
        <v>3637</v>
      </c>
      <c r="D1661" t="s">
        <v>1164</v>
      </c>
      <c r="F1661">
        <v>78.820800000000006</v>
      </c>
      <c r="G1661">
        <v>89.196600000000004</v>
      </c>
      <c r="P1661">
        <v>110</v>
      </c>
      <c r="Q1661" t="s">
        <v>3638</v>
      </c>
    </row>
    <row r="1662" spans="1:17" x14ac:dyDescent="0.3">
      <c r="A1662" t="s">
        <v>17</v>
      </c>
      <c r="B1662" t="str">
        <f>"605228"</f>
        <v>605228</v>
      </c>
      <c r="C1662" t="s">
        <v>3639</v>
      </c>
      <c r="D1662" t="s">
        <v>191</v>
      </c>
      <c r="F1662">
        <v>132.45570000000001</v>
      </c>
      <c r="G1662">
        <v>131.6755</v>
      </c>
      <c r="P1662">
        <v>30</v>
      </c>
      <c r="Q1662" t="s">
        <v>3640</v>
      </c>
    </row>
    <row r="1663" spans="1:17" x14ac:dyDescent="0.3">
      <c r="A1663" t="s">
        <v>17</v>
      </c>
      <c r="B1663" t="str">
        <f>"605255"</f>
        <v>605255</v>
      </c>
      <c r="C1663" t="s">
        <v>3641</v>
      </c>
      <c r="D1663" t="s">
        <v>348</v>
      </c>
      <c r="F1663">
        <v>152.42570000000001</v>
      </c>
      <c r="G1663">
        <v>157.65989999999999</v>
      </c>
      <c r="P1663">
        <v>51</v>
      </c>
      <c r="Q1663" t="s">
        <v>3642</v>
      </c>
    </row>
    <row r="1664" spans="1:17" x14ac:dyDescent="0.3">
      <c r="A1664" t="s">
        <v>17</v>
      </c>
      <c r="B1664" t="str">
        <f>"605258"</f>
        <v>605258</v>
      </c>
      <c r="C1664" t="s">
        <v>3643</v>
      </c>
      <c r="D1664" t="s">
        <v>425</v>
      </c>
      <c r="F1664">
        <v>172.73009999999999</v>
      </c>
      <c r="G1664">
        <v>121.8421</v>
      </c>
      <c r="P1664">
        <v>51</v>
      </c>
      <c r="Q1664" t="s">
        <v>3644</v>
      </c>
    </row>
    <row r="1665" spans="1:17" x14ac:dyDescent="0.3">
      <c r="A1665" t="s">
        <v>17</v>
      </c>
      <c r="B1665" t="str">
        <f>"605259"</f>
        <v>605259</v>
      </c>
      <c r="C1665" t="s">
        <v>3645</v>
      </c>
      <c r="D1665" t="s">
        <v>741</v>
      </c>
      <c r="F1665">
        <v>161.8733</v>
      </c>
      <c r="P1665">
        <v>17</v>
      </c>
      <c r="Q1665" t="s">
        <v>3646</v>
      </c>
    </row>
    <row r="1666" spans="1:17" x14ac:dyDescent="0.3">
      <c r="A1666" t="s">
        <v>17</v>
      </c>
      <c r="B1666" t="str">
        <f>"605266"</f>
        <v>605266</v>
      </c>
      <c r="C1666" t="s">
        <v>3647</v>
      </c>
      <c r="D1666" t="s">
        <v>1684</v>
      </c>
      <c r="F1666">
        <v>131.61500000000001</v>
      </c>
      <c r="G1666">
        <v>113.89319999999999</v>
      </c>
      <c r="P1666">
        <v>105</v>
      </c>
      <c r="Q1666" t="s">
        <v>3648</v>
      </c>
    </row>
    <row r="1667" spans="1:17" x14ac:dyDescent="0.3">
      <c r="A1667" t="s">
        <v>17</v>
      </c>
      <c r="B1667" t="str">
        <f>"605268"</f>
        <v>605268</v>
      </c>
      <c r="C1667" t="s">
        <v>3649</v>
      </c>
      <c r="D1667" t="s">
        <v>2647</v>
      </c>
      <c r="F1667">
        <v>96.428799999999995</v>
      </c>
      <c r="G1667">
        <v>85.407799999999995</v>
      </c>
      <c r="P1667">
        <v>60</v>
      </c>
      <c r="Q1667" t="s">
        <v>3650</v>
      </c>
    </row>
    <row r="1668" spans="1:17" x14ac:dyDescent="0.3">
      <c r="A1668" t="s">
        <v>17</v>
      </c>
      <c r="B1668" t="str">
        <f>"605277"</f>
        <v>605277</v>
      </c>
      <c r="C1668" t="s">
        <v>3651</v>
      </c>
      <c r="D1668" t="s">
        <v>313</v>
      </c>
      <c r="F1668">
        <v>55.115000000000002</v>
      </c>
      <c r="G1668">
        <v>64.462999999999994</v>
      </c>
      <c r="P1668">
        <v>68</v>
      </c>
      <c r="Q1668" t="s">
        <v>3652</v>
      </c>
    </row>
    <row r="1669" spans="1:17" x14ac:dyDescent="0.3">
      <c r="A1669" t="s">
        <v>17</v>
      </c>
      <c r="B1669" t="str">
        <f>"605286"</f>
        <v>605286</v>
      </c>
      <c r="C1669" t="s">
        <v>3653</v>
      </c>
      <c r="D1669" t="s">
        <v>1689</v>
      </c>
      <c r="F1669">
        <v>69.501300000000001</v>
      </c>
      <c r="P1669">
        <v>27</v>
      </c>
      <c r="Q1669" t="s">
        <v>3654</v>
      </c>
    </row>
    <row r="1670" spans="1:17" x14ac:dyDescent="0.3">
      <c r="A1670" t="s">
        <v>17</v>
      </c>
      <c r="B1670" t="str">
        <f>"605287"</f>
        <v>605287</v>
      </c>
      <c r="C1670" t="s">
        <v>3655</v>
      </c>
      <c r="D1670" t="s">
        <v>450</v>
      </c>
      <c r="F1670">
        <v>6.6375000000000002</v>
      </c>
      <c r="P1670">
        <v>21</v>
      </c>
      <c r="Q1670" t="s">
        <v>3656</v>
      </c>
    </row>
    <row r="1671" spans="1:17" x14ac:dyDescent="0.3">
      <c r="A1671" t="s">
        <v>17</v>
      </c>
      <c r="B1671" t="str">
        <f>"605288"</f>
        <v>605288</v>
      </c>
      <c r="C1671" t="s">
        <v>3657</v>
      </c>
      <c r="D1671" t="s">
        <v>2423</v>
      </c>
      <c r="F1671">
        <v>148.55179999999999</v>
      </c>
      <c r="G1671">
        <v>135.71350000000001</v>
      </c>
      <c r="P1671">
        <v>86</v>
      </c>
      <c r="Q1671" t="s">
        <v>3658</v>
      </c>
    </row>
    <row r="1672" spans="1:17" x14ac:dyDescent="0.3">
      <c r="A1672" t="s">
        <v>17</v>
      </c>
      <c r="B1672" t="str">
        <f>"605289"</f>
        <v>605289</v>
      </c>
      <c r="C1672" t="s">
        <v>3659</v>
      </c>
      <c r="D1672" t="s">
        <v>1986</v>
      </c>
      <c r="F1672">
        <v>49.7393</v>
      </c>
      <c r="P1672">
        <v>29</v>
      </c>
      <c r="Q1672" t="s">
        <v>3660</v>
      </c>
    </row>
    <row r="1673" spans="1:17" x14ac:dyDescent="0.3">
      <c r="A1673" t="s">
        <v>17</v>
      </c>
      <c r="B1673" t="str">
        <f>"605296"</f>
        <v>605296</v>
      </c>
      <c r="C1673" t="s">
        <v>3661</v>
      </c>
      <c r="D1673" t="s">
        <v>1894</v>
      </c>
      <c r="F1673">
        <v>133.648</v>
      </c>
      <c r="P1673">
        <v>59</v>
      </c>
      <c r="Q1673" t="s">
        <v>3662</v>
      </c>
    </row>
    <row r="1674" spans="1:17" x14ac:dyDescent="0.3">
      <c r="A1674" t="s">
        <v>17</v>
      </c>
      <c r="B1674" t="str">
        <f>"605298"</f>
        <v>605298</v>
      </c>
      <c r="C1674" t="s">
        <v>3663</v>
      </c>
      <c r="D1674" t="s">
        <v>1012</v>
      </c>
      <c r="F1674">
        <v>541.96910000000003</v>
      </c>
      <c r="P1674">
        <v>46</v>
      </c>
      <c r="Q1674" t="s">
        <v>3664</v>
      </c>
    </row>
    <row r="1675" spans="1:17" x14ac:dyDescent="0.3">
      <c r="A1675" t="s">
        <v>17</v>
      </c>
      <c r="B1675" t="str">
        <f>"605299"</f>
        <v>605299</v>
      </c>
      <c r="C1675" t="s">
        <v>3665</v>
      </c>
      <c r="D1675" t="s">
        <v>2904</v>
      </c>
      <c r="F1675">
        <v>140.99279999999999</v>
      </c>
      <c r="G1675">
        <v>144.46129999999999</v>
      </c>
      <c r="P1675">
        <v>58</v>
      </c>
      <c r="Q1675" t="s">
        <v>3666</v>
      </c>
    </row>
    <row r="1676" spans="1:17" x14ac:dyDescent="0.3">
      <c r="A1676" t="s">
        <v>17</v>
      </c>
      <c r="B1676" t="str">
        <f>"605300"</f>
        <v>605300</v>
      </c>
      <c r="C1676" t="s">
        <v>3667</v>
      </c>
      <c r="D1676" t="s">
        <v>900</v>
      </c>
      <c r="F1676">
        <v>75.132400000000004</v>
      </c>
      <c r="G1676">
        <v>72.689099999999996</v>
      </c>
      <c r="P1676">
        <v>56</v>
      </c>
      <c r="Q1676" t="s">
        <v>3668</v>
      </c>
    </row>
    <row r="1677" spans="1:17" x14ac:dyDescent="0.3">
      <c r="A1677" t="s">
        <v>17</v>
      </c>
      <c r="B1677" t="str">
        <f>"605303"</f>
        <v>605303</v>
      </c>
      <c r="C1677" t="s">
        <v>3669</v>
      </c>
      <c r="D1677" t="s">
        <v>2408</v>
      </c>
      <c r="F1677">
        <v>15.9016</v>
      </c>
      <c r="G1677">
        <v>175.6857</v>
      </c>
      <c r="P1677">
        <v>28</v>
      </c>
      <c r="Q1677" t="s">
        <v>3670</v>
      </c>
    </row>
    <row r="1678" spans="1:17" x14ac:dyDescent="0.3">
      <c r="A1678" t="s">
        <v>17</v>
      </c>
      <c r="B1678" t="str">
        <f>"605305"</f>
        <v>605305</v>
      </c>
      <c r="C1678" t="s">
        <v>3671</v>
      </c>
      <c r="D1678" t="s">
        <v>83</v>
      </c>
      <c r="F1678">
        <v>237.07749999999999</v>
      </c>
      <c r="P1678">
        <v>81</v>
      </c>
      <c r="Q1678" t="s">
        <v>3672</v>
      </c>
    </row>
    <row r="1679" spans="1:17" x14ac:dyDescent="0.3">
      <c r="A1679" t="s">
        <v>17</v>
      </c>
      <c r="B1679" t="str">
        <f>"605318"</f>
        <v>605318</v>
      </c>
      <c r="C1679" t="s">
        <v>3673</v>
      </c>
      <c r="D1679" t="s">
        <v>722</v>
      </c>
      <c r="F1679">
        <v>107.9004</v>
      </c>
      <c r="G1679">
        <v>138.19069999999999</v>
      </c>
      <c r="P1679">
        <v>58</v>
      </c>
      <c r="Q1679" t="s">
        <v>3674</v>
      </c>
    </row>
    <row r="1680" spans="1:17" x14ac:dyDescent="0.3">
      <c r="A1680" t="s">
        <v>17</v>
      </c>
      <c r="B1680" t="str">
        <f>"605319"</f>
        <v>605319</v>
      </c>
      <c r="C1680" t="s">
        <v>3675</v>
      </c>
      <c r="D1680" t="s">
        <v>985</v>
      </c>
      <c r="F1680">
        <v>96.561800000000005</v>
      </c>
      <c r="P1680">
        <v>22</v>
      </c>
      <c r="Q1680" t="s">
        <v>3676</v>
      </c>
    </row>
    <row r="1681" spans="1:17" x14ac:dyDescent="0.3">
      <c r="A1681" t="s">
        <v>17</v>
      </c>
      <c r="B1681" t="str">
        <f>"605333"</f>
        <v>605333</v>
      </c>
      <c r="C1681" t="s">
        <v>3677</v>
      </c>
      <c r="D1681" t="s">
        <v>1415</v>
      </c>
      <c r="F1681">
        <v>91.236599999999996</v>
      </c>
      <c r="G1681">
        <v>102.8622</v>
      </c>
      <c r="P1681">
        <v>85</v>
      </c>
      <c r="Q1681" t="s">
        <v>3678</v>
      </c>
    </row>
    <row r="1682" spans="1:17" x14ac:dyDescent="0.3">
      <c r="A1682" t="s">
        <v>17</v>
      </c>
      <c r="B1682" t="str">
        <f>"605336"</f>
        <v>605336</v>
      </c>
      <c r="C1682" t="s">
        <v>3679</v>
      </c>
      <c r="D1682" t="s">
        <v>3680</v>
      </c>
      <c r="F1682">
        <v>105.227</v>
      </c>
      <c r="G1682">
        <v>133.42840000000001</v>
      </c>
      <c r="P1682">
        <v>141</v>
      </c>
      <c r="Q1682" t="s">
        <v>3681</v>
      </c>
    </row>
    <row r="1683" spans="1:17" x14ac:dyDescent="0.3">
      <c r="A1683" t="s">
        <v>17</v>
      </c>
      <c r="B1683" t="str">
        <f>"605337"</f>
        <v>605337</v>
      </c>
      <c r="C1683" t="s">
        <v>3682</v>
      </c>
      <c r="D1683" t="s">
        <v>440</v>
      </c>
      <c r="F1683">
        <v>95.812899999999999</v>
      </c>
      <c r="G1683">
        <v>95.663200000000003</v>
      </c>
      <c r="P1683">
        <v>146</v>
      </c>
      <c r="Q1683" t="s">
        <v>3683</v>
      </c>
    </row>
    <row r="1684" spans="1:17" x14ac:dyDescent="0.3">
      <c r="A1684" t="s">
        <v>17</v>
      </c>
      <c r="B1684" t="str">
        <f>"605338"</f>
        <v>605338</v>
      </c>
      <c r="C1684" t="s">
        <v>3684</v>
      </c>
      <c r="D1684" t="s">
        <v>2838</v>
      </c>
      <c r="F1684">
        <v>19.740600000000001</v>
      </c>
      <c r="G1684">
        <v>47.892600000000002</v>
      </c>
      <c r="P1684">
        <v>198</v>
      </c>
      <c r="Q1684" t="s">
        <v>3685</v>
      </c>
    </row>
    <row r="1685" spans="1:17" x14ac:dyDescent="0.3">
      <c r="A1685" t="s">
        <v>17</v>
      </c>
      <c r="B1685" t="str">
        <f>"605339"</f>
        <v>605339</v>
      </c>
      <c r="C1685" t="s">
        <v>3686</v>
      </c>
      <c r="D1685" t="s">
        <v>2479</v>
      </c>
      <c r="F1685">
        <v>108.1553</v>
      </c>
      <c r="P1685">
        <v>66</v>
      </c>
      <c r="Q1685" t="s">
        <v>3687</v>
      </c>
    </row>
    <row r="1686" spans="1:17" x14ac:dyDescent="0.3">
      <c r="A1686" t="s">
        <v>17</v>
      </c>
      <c r="B1686" t="str">
        <f>"605358"</f>
        <v>605358</v>
      </c>
      <c r="C1686" t="s">
        <v>3688</v>
      </c>
      <c r="D1686" t="s">
        <v>475</v>
      </c>
      <c r="F1686">
        <v>230.67490000000001</v>
      </c>
      <c r="G1686">
        <v>257.16340000000002</v>
      </c>
      <c r="P1686">
        <v>289</v>
      </c>
      <c r="Q1686" t="s">
        <v>3689</v>
      </c>
    </row>
    <row r="1687" spans="1:17" x14ac:dyDescent="0.3">
      <c r="A1687" t="s">
        <v>17</v>
      </c>
      <c r="B1687" t="str">
        <f>"605365"</f>
        <v>605365</v>
      </c>
      <c r="C1687" t="s">
        <v>3690</v>
      </c>
      <c r="D1687" t="s">
        <v>598</v>
      </c>
      <c r="F1687">
        <v>113.43859999999999</v>
      </c>
      <c r="P1687">
        <v>28</v>
      </c>
      <c r="Q1687" t="s">
        <v>3691</v>
      </c>
    </row>
    <row r="1688" spans="1:17" x14ac:dyDescent="0.3">
      <c r="A1688" t="s">
        <v>17</v>
      </c>
      <c r="B1688" t="str">
        <f>"605366"</f>
        <v>605366</v>
      </c>
      <c r="C1688" t="s">
        <v>3692</v>
      </c>
      <c r="D1688" t="s">
        <v>386</v>
      </c>
      <c r="F1688">
        <v>125.0575</v>
      </c>
      <c r="G1688">
        <v>88.161500000000004</v>
      </c>
      <c r="P1688">
        <v>59</v>
      </c>
      <c r="Q1688" t="s">
        <v>3693</v>
      </c>
    </row>
    <row r="1689" spans="1:17" x14ac:dyDescent="0.3">
      <c r="A1689" t="s">
        <v>17</v>
      </c>
      <c r="B1689" t="str">
        <f>"605368"</f>
        <v>605368</v>
      </c>
      <c r="C1689" t="s">
        <v>3694</v>
      </c>
      <c r="D1689" t="s">
        <v>749</v>
      </c>
      <c r="F1689">
        <v>8.2588000000000008</v>
      </c>
      <c r="G1689">
        <v>11.545400000000001</v>
      </c>
      <c r="I1689">
        <v>17.784199999999998</v>
      </c>
      <c r="P1689">
        <v>60</v>
      </c>
      <c r="Q1689" t="s">
        <v>3695</v>
      </c>
    </row>
    <row r="1690" spans="1:17" x14ac:dyDescent="0.3">
      <c r="A1690" t="s">
        <v>17</v>
      </c>
      <c r="B1690" t="str">
        <f>"605369"</f>
        <v>605369</v>
      </c>
      <c r="C1690" t="s">
        <v>3696</v>
      </c>
      <c r="D1690" t="s">
        <v>1077</v>
      </c>
      <c r="F1690">
        <v>72.544899999999998</v>
      </c>
      <c r="G1690">
        <v>58.154000000000003</v>
      </c>
      <c r="P1690">
        <v>177</v>
      </c>
      <c r="Q1690" t="s">
        <v>3697</v>
      </c>
    </row>
    <row r="1691" spans="1:17" x14ac:dyDescent="0.3">
      <c r="A1691" t="s">
        <v>17</v>
      </c>
      <c r="B1691" t="str">
        <f>"605376"</f>
        <v>605376</v>
      </c>
      <c r="C1691" t="s">
        <v>3698</v>
      </c>
      <c r="D1691" t="s">
        <v>636</v>
      </c>
      <c r="F1691">
        <v>145.65170000000001</v>
      </c>
      <c r="G1691">
        <v>243.10509999999999</v>
      </c>
      <c r="P1691">
        <v>110</v>
      </c>
      <c r="Q1691" t="s">
        <v>3699</v>
      </c>
    </row>
    <row r="1692" spans="1:17" x14ac:dyDescent="0.3">
      <c r="A1692" t="s">
        <v>17</v>
      </c>
      <c r="B1692" t="str">
        <f>"605377"</f>
        <v>605377</v>
      </c>
      <c r="C1692" t="s">
        <v>3700</v>
      </c>
      <c r="D1692" t="s">
        <v>244</v>
      </c>
      <c r="F1692">
        <v>125.0491</v>
      </c>
      <c r="G1692">
        <v>169.8657</v>
      </c>
      <c r="P1692">
        <v>59</v>
      </c>
      <c r="Q1692" t="s">
        <v>3701</v>
      </c>
    </row>
    <row r="1693" spans="1:17" x14ac:dyDescent="0.3">
      <c r="A1693" t="s">
        <v>17</v>
      </c>
      <c r="B1693" t="str">
        <f>"605378"</f>
        <v>605378</v>
      </c>
      <c r="C1693" t="s">
        <v>3702</v>
      </c>
      <c r="D1693" t="s">
        <v>555</v>
      </c>
      <c r="F1693">
        <v>106.83280000000001</v>
      </c>
      <c r="P1693">
        <v>32</v>
      </c>
      <c r="Q1693" t="s">
        <v>3703</v>
      </c>
    </row>
    <row r="1694" spans="1:17" x14ac:dyDescent="0.3">
      <c r="A1694" t="s">
        <v>17</v>
      </c>
      <c r="B1694" t="str">
        <f>"605388"</f>
        <v>605388</v>
      </c>
      <c r="C1694" t="s">
        <v>3704</v>
      </c>
      <c r="D1694" t="s">
        <v>900</v>
      </c>
      <c r="F1694">
        <v>38.186300000000003</v>
      </c>
      <c r="G1694">
        <v>49.048200000000001</v>
      </c>
      <c r="P1694">
        <v>103</v>
      </c>
      <c r="Q1694" t="s">
        <v>3705</v>
      </c>
    </row>
    <row r="1695" spans="1:17" x14ac:dyDescent="0.3">
      <c r="A1695" t="s">
        <v>17</v>
      </c>
      <c r="B1695" t="str">
        <f>"605389"</f>
        <v>605389</v>
      </c>
      <c r="C1695" t="s">
        <v>3706</v>
      </c>
      <c r="D1695" t="s">
        <v>2001</v>
      </c>
      <c r="F1695">
        <v>89.024100000000004</v>
      </c>
      <c r="P1695">
        <v>64</v>
      </c>
      <c r="Q1695" t="s">
        <v>3707</v>
      </c>
    </row>
    <row r="1696" spans="1:17" x14ac:dyDescent="0.3">
      <c r="A1696" t="s">
        <v>17</v>
      </c>
      <c r="B1696" t="str">
        <f>"605398"</f>
        <v>605398</v>
      </c>
      <c r="C1696" t="s">
        <v>3708</v>
      </c>
      <c r="D1696" t="s">
        <v>316</v>
      </c>
      <c r="F1696">
        <v>85.081699999999998</v>
      </c>
      <c r="G1696">
        <v>91.882499999999993</v>
      </c>
      <c r="P1696">
        <v>39</v>
      </c>
      <c r="Q1696" t="s">
        <v>3709</v>
      </c>
    </row>
    <row r="1697" spans="1:17" x14ac:dyDescent="0.3">
      <c r="A1697" t="s">
        <v>17</v>
      </c>
      <c r="B1697" t="str">
        <f>"605399"</f>
        <v>605399</v>
      </c>
      <c r="C1697" t="s">
        <v>3710</v>
      </c>
      <c r="D1697" t="s">
        <v>1205</v>
      </c>
      <c r="F1697">
        <v>43.985599999999998</v>
      </c>
      <c r="G1697">
        <v>68.820899999999995</v>
      </c>
      <c r="P1697">
        <v>126</v>
      </c>
      <c r="Q1697" t="s">
        <v>3711</v>
      </c>
    </row>
    <row r="1698" spans="1:17" x14ac:dyDescent="0.3">
      <c r="A1698" t="s">
        <v>17</v>
      </c>
      <c r="B1698" t="str">
        <f>"605488"</f>
        <v>605488</v>
      </c>
      <c r="C1698" t="s">
        <v>3712</v>
      </c>
      <c r="D1698" t="s">
        <v>1192</v>
      </c>
      <c r="F1698">
        <v>42.323399999999999</v>
      </c>
      <c r="P1698">
        <v>28</v>
      </c>
      <c r="Q1698" t="s">
        <v>3713</v>
      </c>
    </row>
    <row r="1699" spans="1:17" x14ac:dyDescent="0.3">
      <c r="A1699" t="s">
        <v>17</v>
      </c>
      <c r="B1699" t="str">
        <f>"605499"</f>
        <v>605499</v>
      </c>
      <c r="C1699" t="s">
        <v>3714</v>
      </c>
      <c r="D1699" t="s">
        <v>440</v>
      </c>
      <c r="F1699">
        <v>31.570599999999999</v>
      </c>
      <c r="P1699">
        <v>282</v>
      </c>
      <c r="Q1699" t="s">
        <v>3715</v>
      </c>
    </row>
    <row r="1700" spans="1:17" x14ac:dyDescent="0.3">
      <c r="A1700" t="s">
        <v>17</v>
      </c>
      <c r="B1700" t="str">
        <f>"605500"</f>
        <v>605500</v>
      </c>
      <c r="C1700" t="s">
        <v>3716</v>
      </c>
      <c r="D1700" t="s">
        <v>694</v>
      </c>
      <c r="F1700">
        <v>41.297600000000003</v>
      </c>
      <c r="P1700">
        <v>37</v>
      </c>
      <c r="Q1700" t="s">
        <v>3717</v>
      </c>
    </row>
    <row r="1701" spans="1:17" x14ac:dyDescent="0.3">
      <c r="A1701" t="s">
        <v>17</v>
      </c>
      <c r="B1701" t="str">
        <f>"605507"</f>
        <v>605507</v>
      </c>
      <c r="C1701" t="s">
        <v>3718</v>
      </c>
      <c r="D1701" t="s">
        <v>496</v>
      </c>
      <c r="F1701">
        <v>179.1369</v>
      </c>
      <c r="P1701">
        <v>25</v>
      </c>
      <c r="Q1701" t="s">
        <v>3719</v>
      </c>
    </row>
    <row r="1702" spans="1:17" x14ac:dyDescent="0.3">
      <c r="A1702" t="s">
        <v>17</v>
      </c>
      <c r="B1702" t="str">
        <f>"605555"</f>
        <v>605555</v>
      </c>
      <c r="C1702" t="s">
        <v>3720</v>
      </c>
      <c r="D1702" t="s">
        <v>2697</v>
      </c>
      <c r="F1702">
        <v>56.888199999999998</v>
      </c>
      <c r="P1702">
        <v>34</v>
      </c>
      <c r="Q1702" t="s">
        <v>3721</v>
      </c>
    </row>
    <row r="1703" spans="1:17" x14ac:dyDescent="0.3">
      <c r="A1703" t="s">
        <v>17</v>
      </c>
      <c r="B1703" t="str">
        <f>"605566"</f>
        <v>605566</v>
      </c>
      <c r="C1703" t="s">
        <v>3722</v>
      </c>
      <c r="D1703" t="s">
        <v>779</v>
      </c>
      <c r="F1703">
        <v>158.2681</v>
      </c>
      <c r="P1703">
        <v>22</v>
      </c>
      <c r="Q1703" t="s">
        <v>3723</v>
      </c>
    </row>
    <row r="1704" spans="1:17" x14ac:dyDescent="0.3">
      <c r="A1704" t="s">
        <v>17</v>
      </c>
      <c r="B1704" t="str">
        <f>"605567"</f>
        <v>605567</v>
      </c>
      <c r="C1704" t="s">
        <v>3724</v>
      </c>
      <c r="D1704" t="s">
        <v>2838</v>
      </c>
      <c r="F1704">
        <v>70.403199999999998</v>
      </c>
      <c r="P1704">
        <v>32</v>
      </c>
      <c r="Q1704" t="s">
        <v>3725</v>
      </c>
    </row>
    <row r="1705" spans="1:17" x14ac:dyDescent="0.3">
      <c r="A1705" t="s">
        <v>17</v>
      </c>
      <c r="B1705" t="str">
        <f>"605577"</f>
        <v>605577</v>
      </c>
      <c r="C1705" t="s">
        <v>3726</v>
      </c>
      <c r="D1705" t="s">
        <v>1536</v>
      </c>
      <c r="F1705">
        <v>99.174800000000005</v>
      </c>
      <c r="P1705">
        <v>19</v>
      </c>
      <c r="Q1705" t="s">
        <v>3727</v>
      </c>
    </row>
    <row r="1706" spans="1:17" x14ac:dyDescent="0.3">
      <c r="A1706" t="s">
        <v>17</v>
      </c>
      <c r="B1706" t="str">
        <f>"605580"</f>
        <v>605580</v>
      </c>
      <c r="C1706" t="s">
        <v>3728</v>
      </c>
      <c r="D1706" t="s">
        <v>351</v>
      </c>
      <c r="F1706">
        <v>27.409500000000001</v>
      </c>
      <c r="P1706">
        <v>30</v>
      </c>
      <c r="Q1706" t="s">
        <v>3729</v>
      </c>
    </row>
    <row r="1707" spans="1:17" x14ac:dyDescent="0.3">
      <c r="A1707" t="s">
        <v>17</v>
      </c>
      <c r="B1707" t="str">
        <f>"605588"</f>
        <v>605588</v>
      </c>
      <c r="C1707" t="s">
        <v>3730</v>
      </c>
      <c r="D1707" t="s">
        <v>164</v>
      </c>
      <c r="F1707">
        <v>37.5473</v>
      </c>
      <c r="P1707">
        <v>16</v>
      </c>
      <c r="Q1707" t="s">
        <v>3731</v>
      </c>
    </row>
    <row r="1708" spans="1:17" x14ac:dyDescent="0.3">
      <c r="A1708" t="s">
        <v>17</v>
      </c>
      <c r="B1708" t="str">
        <f>"605589"</f>
        <v>605589</v>
      </c>
      <c r="C1708" t="s">
        <v>3732</v>
      </c>
      <c r="D1708" t="s">
        <v>3350</v>
      </c>
      <c r="F1708">
        <v>95.632999999999996</v>
      </c>
      <c r="P1708">
        <v>40</v>
      </c>
      <c r="Q1708" t="s">
        <v>3733</v>
      </c>
    </row>
    <row r="1709" spans="1:17" x14ac:dyDescent="0.3">
      <c r="A1709" t="s">
        <v>17</v>
      </c>
      <c r="B1709" t="str">
        <f>"605598"</f>
        <v>605598</v>
      </c>
      <c r="C1709" t="s">
        <v>3734</v>
      </c>
      <c r="D1709" t="s">
        <v>1986</v>
      </c>
      <c r="F1709">
        <v>41.5426</v>
      </c>
      <c r="P1709">
        <v>18</v>
      </c>
      <c r="Q1709" t="s">
        <v>3735</v>
      </c>
    </row>
    <row r="1710" spans="1:17" x14ac:dyDescent="0.3">
      <c r="A1710" t="s">
        <v>17</v>
      </c>
      <c r="B1710" t="str">
        <f>"605599"</f>
        <v>605599</v>
      </c>
      <c r="C1710" t="s">
        <v>3736</v>
      </c>
      <c r="D1710" t="s">
        <v>1238</v>
      </c>
      <c r="F1710">
        <v>100.5491</v>
      </c>
      <c r="P1710">
        <v>21</v>
      </c>
      <c r="Q1710" t="s">
        <v>3737</v>
      </c>
    </row>
    <row r="1711" spans="1:17" x14ac:dyDescent="0.3">
      <c r="A1711" t="s">
        <v>17</v>
      </c>
      <c r="B1711" t="str">
        <f>"688001"</f>
        <v>688001</v>
      </c>
      <c r="C1711" t="s">
        <v>3738</v>
      </c>
      <c r="D1711" t="s">
        <v>2551</v>
      </c>
      <c r="F1711">
        <v>230.53540000000001</v>
      </c>
      <c r="G1711">
        <v>152.3663</v>
      </c>
      <c r="H1711">
        <v>143.62569999999999</v>
      </c>
      <c r="P1711">
        <v>169</v>
      </c>
      <c r="Q1711" t="s">
        <v>3739</v>
      </c>
    </row>
    <row r="1712" spans="1:17" x14ac:dyDescent="0.3">
      <c r="A1712" t="s">
        <v>17</v>
      </c>
      <c r="B1712" t="str">
        <f>"688002"</f>
        <v>688002</v>
      </c>
      <c r="C1712" t="s">
        <v>3740</v>
      </c>
      <c r="D1712" t="s">
        <v>1136</v>
      </c>
      <c r="F1712">
        <v>677.89160000000004</v>
      </c>
      <c r="G1712">
        <v>426.71260000000001</v>
      </c>
      <c r="H1712">
        <v>494.06540000000001</v>
      </c>
      <c r="P1712">
        <v>407</v>
      </c>
      <c r="Q1712" t="s">
        <v>3741</v>
      </c>
    </row>
    <row r="1713" spans="1:17" x14ac:dyDescent="0.3">
      <c r="A1713" t="s">
        <v>17</v>
      </c>
      <c r="B1713" t="str">
        <f>"688003"</f>
        <v>688003</v>
      </c>
      <c r="C1713" t="s">
        <v>3742</v>
      </c>
      <c r="D1713" t="s">
        <v>3450</v>
      </c>
      <c r="F1713">
        <v>703.52459999999996</v>
      </c>
      <c r="G1713">
        <v>584.49969999999996</v>
      </c>
      <c r="H1713">
        <v>581.06979999999999</v>
      </c>
      <c r="I1713">
        <v>130.434</v>
      </c>
      <c r="P1713">
        <v>141</v>
      </c>
      <c r="Q1713" t="s">
        <v>3743</v>
      </c>
    </row>
    <row r="1714" spans="1:17" x14ac:dyDescent="0.3">
      <c r="A1714" t="s">
        <v>17</v>
      </c>
      <c r="B1714" t="str">
        <f>"688004"</f>
        <v>688004</v>
      </c>
      <c r="C1714" t="s">
        <v>3744</v>
      </c>
      <c r="D1714" t="s">
        <v>316</v>
      </c>
      <c r="F1714">
        <v>193.78460000000001</v>
      </c>
      <c r="G1714">
        <v>366.01170000000002</v>
      </c>
      <c r="H1714">
        <v>217.4384</v>
      </c>
      <c r="P1714">
        <v>37</v>
      </c>
      <c r="Q1714" t="s">
        <v>3745</v>
      </c>
    </row>
    <row r="1715" spans="1:17" x14ac:dyDescent="0.3">
      <c r="A1715" t="s">
        <v>17</v>
      </c>
      <c r="B1715" t="str">
        <f>"688005"</f>
        <v>688005</v>
      </c>
      <c r="C1715" t="s">
        <v>3746</v>
      </c>
      <c r="D1715" t="s">
        <v>1786</v>
      </c>
      <c r="F1715">
        <v>63.234900000000003</v>
      </c>
      <c r="G1715">
        <v>111.43219999999999</v>
      </c>
      <c r="H1715">
        <v>69.334299999999999</v>
      </c>
      <c r="P1715">
        <v>318</v>
      </c>
      <c r="Q1715" t="s">
        <v>3747</v>
      </c>
    </row>
    <row r="1716" spans="1:17" x14ac:dyDescent="0.3">
      <c r="A1716" t="s">
        <v>17</v>
      </c>
      <c r="B1716" t="str">
        <f>"688006"</f>
        <v>688006</v>
      </c>
      <c r="C1716" t="s">
        <v>3748</v>
      </c>
      <c r="D1716" t="s">
        <v>3749</v>
      </c>
      <c r="F1716">
        <v>293.37560000000002</v>
      </c>
      <c r="G1716">
        <v>541.8886</v>
      </c>
      <c r="H1716">
        <v>558.69870000000003</v>
      </c>
      <c r="P1716">
        <v>255</v>
      </c>
      <c r="Q1716" t="s">
        <v>3750</v>
      </c>
    </row>
    <row r="1717" spans="1:17" x14ac:dyDescent="0.3">
      <c r="A1717" t="s">
        <v>17</v>
      </c>
      <c r="B1717" t="str">
        <f>"688007"</f>
        <v>688007</v>
      </c>
      <c r="C1717" t="s">
        <v>3751</v>
      </c>
      <c r="D1717" t="s">
        <v>3499</v>
      </c>
      <c r="F1717">
        <v>195.8459</v>
      </c>
      <c r="G1717">
        <v>156.8569</v>
      </c>
      <c r="H1717">
        <v>155.33349999999999</v>
      </c>
      <c r="P1717">
        <v>123</v>
      </c>
      <c r="Q1717" t="s">
        <v>3752</v>
      </c>
    </row>
    <row r="1718" spans="1:17" x14ac:dyDescent="0.3">
      <c r="A1718" t="s">
        <v>17</v>
      </c>
      <c r="B1718" t="str">
        <f>"688008"</f>
        <v>688008</v>
      </c>
      <c r="C1718" t="s">
        <v>3753</v>
      </c>
      <c r="D1718" t="s">
        <v>461</v>
      </c>
      <c r="F1718">
        <v>106.6741</v>
      </c>
      <c r="G1718">
        <v>160.77590000000001</v>
      </c>
      <c r="H1718">
        <v>102.4933</v>
      </c>
      <c r="P1718">
        <v>522</v>
      </c>
      <c r="Q1718" t="s">
        <v>3754</v>
      </c>
    </row>
    <row r="1719" spans="1:17" x14ac:dyDescent="0.3">
      <c r="A1719" t="s">
        <v>17</v>
      </c>
      <c r="B1719" t="str">
        <f>"688009"</f>
        <v>688009</v>
      </c>
      <c r="C1719" t="s">
        <v>3755</v>
      </c>
      <c r="D1719" t="s">
        <v>1012</v>
      </c>
      <c r="F1719">
        <v>49.1828</v>
      </c>
      <c r="G1719">
        <v>48.183599999999998</v>
      </c>
      <c r="H1719">
        <v>53.551699999999997</v>
      </c>
      <c r="P1719">
        <v>201</v>
      </c>
      <c r="Q1719" t="s">
        <v>3756</v>
      </c>
    </row>
    <row r="1720" spans="1:17" x14ac:dyDescent="0.3">
      <c r="A1720" t="s">
        <v>17</v>
      </c>
      <c r="B1720" t="str">
        <f>"688010"</f>
        <v>688010</v>
      </c>
      <c r="C1720" t="s">
        <v>3757</v>
      </c>
      <c r="D1720" t="s">
        <v>164</v>
      </c>
      <c r="F1720">
        <v>264.21949999999998</v>
      </c>
      <c r="G1720">
        <v>250.42</v>
      </c>
      <c r="H1720">
        <v>217.0069</v>
      </c>
      <c r="P1720">
        <v>125</v>
      </c>
      <c r="Q1720" t="s">
        <v>3758</v>
      </c>
    </row>
    <row r="1721" spans="1:17" x14ac:dyDescent="0.3">
      <c r="A1721" t="s">
        <v>17</v>
      </c>
      <c r="B1721" t="str">
        <f>"688011"</f>
        <v>688011</v>
      </c>
      <c r="C1721" t="s">
        <v>3759</v>
      </c>
      <c r="D1721" t="s">
        <v>1136</v>
      </c>
      <c r="F1721">
        <v>800.77189999999996</v>
      </c>
      <c r="G1721">
        <v>690.7</v>
      </c>
      <c r="H1721">
        <v>547.39229999999998</v>
      </c>
      <c r="P1721">
        <v>88</v>
      </c>
      <c r="Q1721" t="s">
        <v>3760</v>
      </c>
    </row>
    <row r="1722" spans="1:17" x14ac:dyDescent="0.3">
      <c r="A1722" t="s">
        <v>17</v>
      </c>
      <c r="B1722" t="str">
        <f>"688012"</f>
        <v>688012</v>
      </c>
      <c r="C1722" t="s">
        <v>3761</v>
      </c>
      <c r="D1722" t="s">
        <v>3160</v>
      </c>
      <c r="F1722">
        <v>412.37520000000001</v>
      </c>
      <c r="G1722">
        <v>427.78789999999998</v>
      </c>
      <c r="H1722">
        <v>652.851</v>
      </c>
      <c r="P1722">
        <v>620</v>
      </c>
      <c r="Q1722" t="s">
        <v>3762</v>
      </c>
    </row>
    <row r="1723" spans="1:17" x14ac:dyDescent="0.3">
      <c r="A1723" t="s">
        <v>17</v>
      </c>
      <c r="B1723" t="str">
        <f>"688013"</f>
        <v>688013</v>
      </c>
      <c r="C1723" t="s">
        <v>3763</v>
      </c>
      <c r="D1723" t="s">
        <v>1077</v>
      </c>
      <c r="F1723">
        <v>146.39080000000001</v>
      </c>
      <c r="G1723">
        <v>211.49889999999999</v>
      </c>
      <c r="P1723">
        <v>64</v>
      </c>
      <c r="Q1723" t="s">
        <v>3764</v>
      </c>
    </row>
    <row r="1724" spans="1:17" x14ac:dyDescent="0.3">
      <c r="A1724" t="s">
        <v>17</v>
      </c>
      <c r="B1724" t="str">
        <f>"688015"</f>
        <v>688015</v>
      </c>
      <c r="C1724" t="s">
        <v>3765</v>
      </c>
      <c r="D1724" t="s">
        <v>1012</v>
      </c>
      <c r="F1724">
        <v>290.65030000000002</v>
      </c>
      <c r="G1724">
        <v>368.79509999999999</v>
      </c>
      <c r="H1724">
        <v>321.27319999999997</v>
      </c>
      <c r="P1724">
        <v>278</v>
      </c>
      <c r="Q1724" t="s">
        <v>3766</v>
      </c>
    </row>
    <row r="1725" spans="1:17" x14ac:dyDescent="0.3">
      <c r="A1725" t="s">
        <v>17</v>
      </c>
      <c r="B1725" t="str">
        <f>"688016"</f>
        <v>688016</v>
      </c>
      <c r="C1725" t="s">
        <v>3767</v>
      </c>
      <c r="D1725" t="s">
        <v>1077</v>
      </c>
      <c r="F1725">
        <v>309.10649999999998</v>
      </c>
      <c r="G1725">
        <v>346.33839999999998</v>
      </c>
      <c r="H1725">
        <v>292.61189999999999</v>
      </c>
      <c r="P1725">
        <v>551</v>
      </c>
      <c r="Q1725" t="s">
        <v>3768</v>
      </c>
    </row>
    <row r="1726" spans="1:17" x14ac:dyDescent="0.3">
      <c r="A1726" t="s">
        <v>17</v>
      </c>
      <c r="B1726" t="str">
        <f>"688017"</f>
        <v>688017</v>
      </c>
      <c r="C1726" t="s">
        <v>3769</v>
      </c>
      <c r="D1726" t="s">
        <v>2911</v>
      </c>
      <c r="F1726">
        <v>333.44510000000002</v>
      </c>
      <c r="G1726">
        <v>651.82920000000001</v>
      </c>
      <c r="P1726">
        <v>152</v>
      </c>
      <c r="Q1726" t="s">
        <v>3770</v>
      </c>
    </row>
    <row r="1727" spans="1:17" x14ac:dyDescent="0.3">
      <c r="A1727" t="s">
        <v>17</v>
      </c>
      <c r="B1727" t="str">
        <f>"688018"</f>
        <v>688018</v>
      </c>
      <c r="C1727" t="s">
        <v>3771</v>
      </c>
      <c r="D1727" t="s">
        <v>461</v>
      </c>
      <c r="F1727">
        <v>150.03569999999999</v>
      </c>
      <c r="G1727">
        <v>147.82579999999999</v>
      </c>
      <c r="H1727">
        <v>143.44049999999999</v>
      </c>
      <c r="P1727">
        <v>317</v>
      </c>
      <c r="Q1727" t="s">
        <v>3772</v>
      </c>
    </row>
    <row r="1728" spans="1:17" x14ac:dyDescent="0.3">
      <c r="A1728" t="s">
        <v>17</v>
      </c>
      <c r="B1728" t="str">
        <f>"688019"</f>
        <v>688019</v>
      </c>
      <c r="C1728" t="s">
        <v>3773</v>
      </c>
      <c r="D1728" t="s">
        <v>2399</v>
      </c>
      <c r="F1728">
        <v>231.00370000000001</v>
      </c>
      <c r="G1728">
        <v>207.0085</v>
      </c>
      <c r="H1728">
        <v>238.7987</v>
      </c>
      <c r="P1728">
        <v>286</v>
      </c>
      <c r="Q1728" t="s">
        <v>3774</v>
      </c>
    </row>
    <row r="1729" spans="1:17" x14ac:dyDescent="0.3">
      <c r="A1729" t="s">
        <v>17</v>
      </c>
      <c r="B1729" t="str">
        <f>"688020"</f>
        <v>688020</v>
      </c>
      <c r="C1729" t="s">
        <v>3775</v>
      </c>
      <c r="D1729" t="s">
        <v>425</v>
      </c>
      <c r="F1729">
        <v>191.06979999999999</v>
      </c>
      <c r="G1729">
        <v>131.2825</v>
      </c>
      <c r="H1729">
        <v>83.251499999999993</v>
      </c>
      <c r="P1729">
        <v>253</v>
      </c>
      <c r="Q1729" t="s">
        <v>3776</v>
      </c>
    </row>
    <row r="1730" spans="1:17" x14ac:dyDescent="0.3">
      <c r="A1730" t="s">
        <v>17</v>
      </c>
      <c r="B1730" t="str">
        <f>"688021"</f>
        <v>688021</v>
      </c>
      <c r="C1730" t="s">
        <v>3777</v>
      </c>
      <c r="D1730" t="s">
        <v>985</v>
      </c>
      <c r="F1730">
        <v>529.45169999999996</v>
      </c>
      <c r="G1730">
        <v>576.82719999999995</v>
      </c>
      <c r="H1730">
        <v>500.53050000000002</v>
      </c>
      <c r="P1730">
        <v>79</v>
      </c>
      <c r="Q1730" t="s">
        <v>3778</v>
      </c>
    </row>
    <row r="1731" spans="1:17" x14ac:dyDescent="0.3">
      <c r="A1731" t="s">
        <v>17</v>
      </c>
      <c r="B1731" t="str">
        <f>"688022"</f>
        <v>688022</v>
      </c>
      <c r="C1731" t="s">
        <v>3779</v>
      </c>
      <c r="D1731" t="s">
        <v>741</v>
      </c>
      <c r="F1731">
        <v>422.67649999999998</v>
      </c>
      <c r="G1731">
        <v>416.61810000000003</v>
      </c>
      <c r="H1731">
        <v>429.40089999999998</v>
      </c>
      <c r="P1731">
        <v>164</v>
      </c>
      <c r="Q1731" t="s">
        <v>3780</v>
      </c>
    </row>
    <row r="1732" spans="1:17" x14ac:dyDescent="0.3">
      <c r="A1732" t="s">
        <v>17</v>
      </c>
      <c r="B1732" t="str">
        <f>"688023"</f>
        <v>688023</v>
      </c>
      <c r="C1732" t="s">
        <v>3781</v>
      </c>
      <c r="D1732" t="s">
        <v>1189</v>
      </c>
      <c r="F1732">
        <v>161.97669999999999</v>
      </c>
      <c r="G1732">
        <v>187.7423</v>
      </c>
      <c r="H1732">
        <v>164.4958</v>
      </c>
      <c r="P1732">
        <v>249</v>
      </c>
      <c r="Q1732" t="s">
        <v>3782</v>
      </c>
    </row>
    <row r="1733" spans="1:17" x14ac:dyDescent="0.3">
      <c r="A1733" t="s">
        <v>17</v>
      </c>
      <c r="B1733" t="str">
        <f>"688025"</f>
        <v>688025</v>
      </c>
      <c r="C1733" t="s">
        <v>3783</v>
      </c>
      <c r="D1733" t="s">
        <v>3784</v>
      </c>
      <c r="F1733">
        <v>335.5908</v>
      </c>
      <c r="G1733">
        <v>287.59289999999999</v>
      </c>
      <c r="H1733">
        <v>316.91820000000001</v>
      </c>
      <c r="I1733">
        <v>142.67320000000001</v>
      </c>
      <c r="P1733">
        <v>158</v>
      </c>
      <c r="Q1733" t="s">
        <v>3785</v>
      </c>
    </row>
    <row r="1734" spans="1:17" x14ac:dyDescent="0.3">
      <c r="A1734" t="s">
        <v>17</v>
      </c>
      <c r="B1734" t="str">
        <f>"688026"</f>
        <v>688026</v>
      </c>
      <c r="C1734" t="s">
        <v>3786</v>
      </c>
      <c r="D1734" t="s">
        <v>1192</v>
      </c>
      <c r="F1734">
        <v>120.473</v>
      </c>
      <c r="G1734">
        <v>151.614</v>
      </c>
      <c r="H1734">
        <v>131.03639999999999</v>
      </c>
      <c r="I1734">
        <v>54.287700000000001</v>
      </c>
      <c r="P1734">
        <v>211</v>
      </c>
      <c r="Q1734" t="s">
        <v>3787</v>
      </c>
    </row>
    <row r="1735" spans="1:17" x14ac:dyDescent="0.3">
      <c r="A1735" t="s">
        <v>17</v>
      </c>
      <c r="B1735" t="str">
        <f>"688027"</f>
        <v>688027</v>
      </c>
      <c r="C1735" t="s">
        <v>3788</v>
      </c>
      <c r="D1735" t="s">
        <v>786</v>
      </c>
      <c r="F1735">
        <v>2239.9587999999999</v>
      </c>
      <c r="G1735">
        <v>2765.9344999999998</v>
      </c>
      <c r="H1735">
        <v>2654.0612999999998</v>
      </c>
      <c r="P1735">
        <v>98</v>
      </c>
      <c r="Q1735" t="s">
        <v>3789</v>
      </c>
    </row>
    <row r="1736" spans="1:17" x14ac:dyDescent="0.3">
      <c r="A1736" t="s">
        <v>17</v>
      </c>
      <c r="B1736" t="str">
        <f>"688028"</f>
        <v>688028</v>
      </c>
      <c r="C1736" t="s">
        <v>3790</v>
      </c>
      <c r="D1736" t="s">
        <v>404</v>
      </c>
      <c r="F1736">
        <v>246.53129999999999</v>
      </c>
      <c r="G1736">
        <v>209.25649999999999</v>
      </c>
      <c r="H1736">
        <v>185.65260000000001</v>
      </c>
      <c r="P1736">
        <v>76</v>
      </c>
      <c r="Q1736" t="s">
        <v>3791</v>
      </c>
    </row>
    <row r="1737" spans="1:17" x14ac:dyDescent="0.3">
      <c r="A1737" t="s">
        <v>17</v>
      </c>
      <c r="B1737" t="str">
        <f>"688029"</f>
        <v>688029</v>
      </c>
      <c r="C1737" t="s">
        <v>3792</v>
      </c>
      <c r="D1737" t="s">
        <v>1077</v>
      </c>
      <c r="F1737">
        <v>207.18209999999999</v>
      </c>
      <c r="G1737">
        <v>242.92590000000001</v>
      </c>
      <c r="H1737">
        <v>178.1875</v>
      </c>
      <c r="I1737">
        <v>78.678399999999996</v>
      </c>
      <c r="P1737">
        <v>392</v>
      </c>
      <c r="Q1737" t="s">
        <v>3793</v>
      </c>
    </row>
    <row r="1738" spans="1:17" x14ac:dyDescent="0.3">
      <c r="A1738" t="s">
        <v>17</v>
      </c>
      <c r="B1738" t="str">
        <f>"688030"</f>
        <v>688030</v>
      </c>
      <c r="C1738" t="s">
        <v>3794</v>
      </c>
      <c r="D1738" t="s">
        <v>1189</v>
      </c>
      <c r="F1738">
        <v>233.0651</v>
      </c>
      <c r="G1738">
        <v>153.00030000000001</v>
      </c>
      <c r="H1738">
        <v>192.97839999999999</v>
      </c>
      <c r="P1738">
        <v>145</v>
      </c>
      <c r="Q1738" t="s">
        <v>3795</v>
      </c>
    </row>
    <row r="1739" spans="1:17" x14ac:dyDescent="0.3">
      <c r="A1739" t="s">
        <v>17</v>
      </c>
      <c r="B1739" t="str">
        <f>"688032"</f>
        <v>688032</v>
      </c>
      <c r="C1739" t="s">
        <v>3796</v>
      </c>
      <c r="D1739" t="s">
        <v>3797</v>
      </c>
      <c r="F1739">
        <v>193.63220000000001</v>
      </c>
      <c r="P1739">
        <v>31</v>
      </c>
      <c r="Q1739" t="s">
        <v>3798</v>
      </c>
    </row>
    <row r="1740" spans="1:17" x14ac:dyDescent="0.3">
      <c r="A1740" t="s">
        <v>17</v>
      </c>
      <c r="B1740" t="str">
        <f>"688033"</f>
        <v>688033</v>
      </c>
      <c r="C1740" t="s">
        <v>3799</v>
      </c>
      <c r="D1740" t="s">
        <v>1012</v>
      </c>
      <c r="F1740">
        <v>271.7321</v>
      </c>
      <c r="G1740">
        <v>302.38990000000001</v>
      </c>
      <c r="H1740">
        <v>145.6619</v>
      </c>
      <c r="P1740">
        <v>86</v>
      </c>
      <c r="Q1740" t="s">
        <v>3800</v>
      </c>
    </row>
    <row r="1741" spans="1:17" x14ac:dyDescent="0.3">
      <c r="A1741" t="s">
        <v>17</v>
      </c>
      <c r="B1741" t="str">
        <f>"688036"</f>
        <v>688036</v>
      </c>
      <c r="C1741" t="s">
        <v>3801</v>
      </c>
      <c r="D1741" t="s">
        <v>3499</v>
      </c>
      <c r="F1741">
        <v>86.207099999999997</v>
      </c>
      <c r="G1741">
        <v>80.688100000000006</v>
      </c>
      <c r="H1741">
        <v>74.133799999999994</v>
      </c>
      <c r="P1741">
        <v>596</v>
      </c>
      <c r="Q1741" t="s">
        <v>3802</v>
      </c>
    </row>
    <row r="1742" spans="1:17" x14ac:dyDescent="0.3">
      <c r="A1742" t="s">
        <v>17</v>
      </c>
      <c r="B1742" t="str">
        <f>"688037"</f>
        <v>688037</v>
      </c>
      <c r="C1742" t="s">
        <v>3803</v>
      </c>
      <c r="D1742" t="s">
        <v>3160</v>
      </c>
      <c r="F1742">
        <v>681.63</v>
      </c>
      <c r="G1742">
        <v>728.23530000000005</v>
      </c>
      <c r="H1742">
        <v>1043.5564999999999</v>
      </c>
      <c r="P1742">
        <v>168</v>
      </c>
      <c r="Q1742" t="s">
        <v>3804</v>
      </c>
    </row>
    <row r="1743" spans="1:17" x14ac:dyDescent="0.3">
      <c r="A1743" t="s">
        <v>17</v>
      </c>
      <c r="B1743" t="str">
        <f>"688038"</f>
        <v>688038</v>
      </c>
      <c r="C1743" t="s">
        <v>3805</v>
      </c>
      <c r="D1743" t="s">
        <v>945</v>
      </c>
      <c r="F1743">
        <v>138.44290000000001</v>
      </c>
      <c r="P1743">
        <v>17</v>
      </c>
      <c r="Q1743" t="s">
        <v>3806</v>
      </c>
    </row>
    <row r="1744" spans="1:17" x14ac:dyDescent="0.3">
      <c r="A1744" t="s">
        <v>17</v>
      </c>
      <c r="B1744" t="str">
        <f>"688039"</f>
        <v>688039</v>
      </c>
      <c r="C1744" t="s">
        <v>3807</v>
      </c>
      <c r="D1744" t="s">
        <v>316</v>
      </c>
      <c r="F1744">
        <v>166.58600000000001</v>
      </c>
      <c r="G1744">
        <v>139.72540000000001</v>
      </c>
      <c r="H1744">
        <v>193.28309999999999</v>
      </c>
      <c r="P1744">
        <v>155</v>
      </c>
      <c r="Q1744" t="s">
        <v>3808</v>
      </c>
    </row>
    <row r="1745" spans="1:17" x14ac:dyDescent="0.3">
      <c r="A1745" t="s">
        <v>17</v>
      </c>
      <c r="B1745" t="str">
        <f>"688049"</f>
        <v>688049</v>
      </c>
      <c r="C1745" t="s">
        <v>3809</v>
      </c>
      <c r="D1745" t="s">
        <v>461</v>
      </c>
      <c r="F1745">
        <v>124.69199999999999</v>
      </c>
      <c r="G1745">
        <v>151.7115</v>
      </c>
      <c r="P1745">
        <v>21</v>
      </c>
      <c r="Q1745" t="s">
        <v>3810</v>
      </c>
    </row>
    <row r="1746" spans="1:17" x14ac:dyDescent="0.3">
      <c r="A1746" t="s">
        <v>17</v>
      </c>
      <c r="B1746" t="str">
        <f>"688050"</f>
        <v>688050</v>
      </c>
      <c r="C1746" t="s">
        <v>3811</v>
      </c>
      <c r="D1746" t="s">
        <v>1077</v>
      </c>
      <c r="F1746">
        <v>385.13319999999999</v>
      </c>
      <c r="G1746">
        <v>795.32560000000001</v>
      </c>
      <c r="P1746">
        <v>411</v>
      </c>
      <c r="Q1746" t="s">
        <v>3812</v>
      </c>
    </row>
    <row r="1747" spans="1:17" x14ac:dyDescent="0.3">
      <c r="A1747" t="s">
        <v>17</v>
      </c>
      <c r="B1747" t="str">
        <f>"688051"</f>
        <v>688051</v>
      </c>
      <c r="C1747" t="s">
        <v>3813</v>
      </c>
      <c r="D1747" t="s">
        <v>316</v>
      </c>
      <c r="F1747">
        <v>102.12560000000001</v>
      </c>
      <c r="G1747">
        <v>52.344299999999997</v>
      </c>
      <c r="H1747">
        <v>65.605000000000004</v>
      </c>
      <c r="P1747">
        <v>91</v>
      </c>
      <c r="Q1747" t="s">
        <v>3814</v>
      </c>
    </row>
    <row r="1748" spans="1:17" x14ac:dyDescent="0.3">
      <c r="A1748" t="s">
        <v>17</v>
      </c>
      <c r="B1748" t="str">
        <f>"688055"</f>
        <v>688055</v>
      </c>
      <c r="C1748" t="s">
        <v>3815</v>
      </c>
      <c r="D1748" t="s">
        <v>1117</v>
      </c>
      <c r="F1748">
        <v>103.863</v>
      </c>
      <c r="G1748">
        <v>140.6414</v>
      </c>
      <c r="H1748">
        <v>131.6448</v>
      </c>
      <c r="P1748">
        <v>76</v>
      </c>
      <c r="Q1748" t="s">
        <v>3816</v>
      </c>
    </row>
    <row r="1749" spans="1:17" x14ac:dyDescent="0.3">
      <c r="A1749" t="s">
        <v>17</v>
      </c>
      <c r="B1749" t="str">
        <f>"688056"</f>
        <v>688056</v>
      </c>
      <c r="C1749" t="s">
        <v>3817</v>
      </c>
      <c r="D1749" t="s">
        <v>2551</v>
      </c>
      <c r="F1749">
        <v>247.565</v>
      </c>
      <c r="G1749">
        <v>279.5564</v>
      </c>
      <c r="P1749">
        <v>50</v>
      </c>
      <c r="Q1749" t="s">
        <v>3818</v>
      </c>
    </row>
    <row r="1750" spans="1:17" x14ac:dyDescent="0.3">
      <c r="A1750" t="s">
        <v>17</v>
      </c>
      <c r="B1750" t="str">
        <f>"688057"</f>
        <v>688057</v>
      </c>
      <c r="C1750" t="s">
        <v>3819</v>
      </c>
      <c r="D1750" t="s">
        <v>33</v>
      </c>
      <c r="F1750">
        <v>170.1926</v>
      </c>
      <c r="G1750">
        <v>263.81189999999998</v>
      </c>
      <c r="H1750">
        <v>315.23349999999999</v>
      </c>
      <c r="I1750">
        <v>295.83550000000002</v>
      </c>
      <c r="P1750">
        <v>116</v>
      </c>
      <c r="Q1750" t="s">
        <v>3820</v>
      </c>
    </row>
    <row r="1751" spans="1:17" x14ac:dyDescent="0.3">
      <c r="A1751" t="s">
        <v>17</v>
      </c>
      <c r="B1751" t="str">
        <f>"688058"</f>
        <v>688058</v>
      </c>
      <c r="C1751" t="s">
        <v>3821</v>
      </c>
      <c r="D1751" t="s">
        <v>1189</v>
      </c>
      <c r="F1751">
        <v>167.95959999999999</v>
      </c>
      <c r="G1751">
        <v>170.22919999999999</v>
      </c>
      <c r="P1751">
        <v>96</v>
      </c>
      <c r="Q1751" t="s">
        <v>3822</v>
      </c>
    </row>
    <row r="1752" spans="1:17" x14ac:dyDescent="0.3">
      <c r="A1752" t="s">
        <v>17</v>
      </c>
      <c r="B1752" t="str">
        <f>"688059"</f>
        <v>688059</v>
      </c>
      <c r="C1752" t="s">
        <v>3823</v>
      </c>
      <c r="D1752" t="s">
        <v>274</v>
      </c>
      <c r="F1752">
        <v>142.16399999999999</v>
      </c>
      <c r="G1752">
        <v>186.56190000000001</v>
      </c>
      <c r="P1752">
        <v>105</v>
      </c>
      <c r="Q1752" t="s">
        <v>3824</v>
      </c>
    </row>
    <row r="1753" spans="1:17" x14ac:dyDescent="0.3">
      <c r="A1753" t="s">
        <v>17</v>
      </c>
      <c r="B1753" t="str">
        <f>"688060"</f>
        <v>688060</v>
      </c>
      <c r="C1753" t="s">
        <v>3825</v>
      </c>
      <c r="D1753" t="s">
        <v>236</v>
      </c>
      <c r="F1753">
        <v>391.44589999999999</v>
      </c>
      <c r="G1753">
        <v>223.5069</v>
      </c>
      <c r="H1753">
        <v>121.6236</v>
      </c>
      <c r="P1753">
        <v>75</v>
      </c>
      <c r="Q1753" t="s">
        <v>3826</v>
      </c>
    </row>
    <row r="1754" spans="1:17" x14ac:dyDescent="0.3">
      <c r="A1754" t="s">
        <v>17</v>
      </c>
      <c r="B1754" t="str">
        <f>"688062"</f>
        <v>688062</v>
      </c>
      <c r="C1754" t="s">
        <v>3827</v>
      </c>
      <c r="D1754" t="s">
        <v>143</v>
      </c>
      <c r="F1754">
        <v>4814.2169000000004</v>
      </c>
      <c r="P1754">
        <v>14</v>
      </c>
      <c r="Q1754" t="s">
        <v>3828</v>
      </c>
    </row>
    <row r="1755" spans="1:17" x14ac:dyDescent="0.3">
      <c r="A1755" t="s">
        <v>17</v>
      </c>
      <c r="B1755" t="str">
        <f>"688063"</f>
        <v>688063</v>
      </c>
      <c r="C1755" t="s">
        <v>3829</v>
      </c>
      <c r="D1755" t="s">
        <v>359</v>
      </c>
      <c r="F1755">
        <v>172.19489999999999</v>
      </c>
      <c r="G1755">
        <v>135.6756</v>
      </c>
      <c r="P1755">
        <v>212</v>
      </c>
      <c r="Q1755" t="s">
        <v>3830</v>
      </c>
    </row>
    <row r="1756" spans="1:17" x14ac:dyDescent="0.3">
      <c r="A1756" t="s">
        <v>17</v>
      </c>
      <c r="B1756" t="str">
        <f>"688065"</f>
        <v>688065</v>
      </c>
      <c r="C1756" t="s">
        <v>3831</v>
      </c>
      <c r="D1756" t="s">
        <v>386</v>
      </c>
      <c r="F1756">
        <v>309.08229999999998</v>
      </c>
      <c r="G1756">
        <v>456.51659999999998</v>
      </c>
      <c r="H1756">
        <v>247.14869999999999</v>
      </c>
      <c r="P1756">
        <v>107</v>
      </c>
      <c r="Q1756" t="s">
        <v>3832</v>
      </c>
    </row>
    <row r="1757" spans="1:17" x14ac:dyDescent="0.3">
      <c r="A1757" t="s">
        <v>17</v>
      </c>
      <c r="B1757" t="str">
        <f>"688066"</f>
        <v>688066</v>
      </c>
      <c r="C1757" t="s">
        <v>3833</v>
      </c>
      <c r="D1757" t="s">
        <v>316</v>
      </c>
      <c r="F1757">
        <v>235.65539999999999</v>
      </c>
      <c r="G1757">
        <v>350.19299999999998</v>
      </c>
      <c r="H1757">
        <v>374.30349999999999</v>
      </c>
      <c r="P1757">
        <v>159</v>
      </c>
      <c r="Q1757" t="s">
        <v>3834</v>
      </c>
    </row>
    <row r="1758" spans="1:17" x14ac:dyDescent="0.3">
      <c r="A1758" t="s">
        <v>17</v>
      </c>
      <c r="B1758" t="str">
        <f>"688067"</f>
        <v>688067</v>
      </c>
      <c r="C1758" t="s">
        <v>3835</v>
      </c>
      <c r="D1758" t="s">
        <v>1305</v>
      </c>
      <c r="F1758">
        <v>240.9443</v>
      </c>
      <c r="P1758">
        <v>35</v>
      </c>
      <c r="Q1758" t="s">
        <v>3836</v>
      </c>
    </row>
    <row r="1759" spans="1:17" x14ac:dyDescent="0.3">
      <c r="A1759" t="s">
        <v>17</v>
      </c>
      <c r="B1759" t="str">
        <f>"688068"</f>
        <v>688068</v>
      </c>
      <c r="C1759" t="s">
        <v>3837</v>
      </c>
      <c r="D1759" t="s">
        <v>1305</v>
      </c>
      <c r="F1759">
        <v>36.947499999999998</v>
      </c>
      <c r="G1759">
        <v>644.60059999999999</v>
      </c>
      <c r="H1759">
        <v>408.6925</v>
      </c>
      <c r="P1759">
        <v>254</v>
      </c>
      <c r="Q1759" t="s">
        <v>3838</v>
      </c>
    </row>
    <row r="1760" spans="1:17" x14ac:dyDescent="0.3">
      <c r="A1760" t="s">
        <v>17</v>
      </c>
      <c r="B1760" t="str">
        <f>"688069"</f>
        <v>688069</v>
      </c>
      <c r="C1760" t="s">
        <v>3839</v>
      </c>
      <c r="D1760" t="s">
        <v>33</v>
      </c>
      <c r="F1760">
        <v>166.83459999999999</v>
      </c>
      <c r="G1760">
        <v>148.58109999999999</v>
      </c>
      <c r="H1760">
        <v>41.934399999999997</v>
      </c>
      <c r="P1760">
        <v>79</v>
      </c>
      <c r="Q1760" t="s">
        <v>3840</v>
      </c>
    </row>
    <row r="1761" spans="1:17" x14ac:dyDescent="0.3">
      <c r="A1761" t="s">
        <v>17</v>
      </c>
      <c r="B1761" t="str">
        <f>"688070"</f>
        <v>688070</v>
      </c>
      <c r="C1761" t="s">
        <v>3841</v>
      </c>
      <c r="D1761" t="s">
        <v>98</v>
      </c>
      <c r="F1761">
        <v>503.21800000000002</v>
      </c>
      <c r="G1761">
        <v>349.92239999999998</v>
      </c>
      <c r="P1761">
        <v>43</v>
      </c>
      <c r="Q1761" t="s">
        <v>3842</v>
      </c>
    </row>
    <row r="1762" spans="1:17" x14ac:dyDescent="0.3">
      <c r="A1762" t="s">
        <v>17</v>
      </c>
      <c r="B1762" t="str">
        <f>"688071"</f>
        <v>688071</v>
      </c>
      <c r="C1762" t="s">
        <v>3843</v>
      </c>
      <c r="D1762" t="s">
        <v>741</v>
      </c>
      <c r="F1762">
        <v>170.4692</v>
      </c>
      <c r="G1762">
        <v>219.6679</v>
      </c>
      <c r="P1762">
        <v>28</v>
      </c>
      <c r="Q1762" t="s">
        <v>3844</v>
      </c>
    </row>
    <row r="1763" spans="1:17" x14ac:dyDescent="0.3">
      <c r="A1763" t="s">
        <v>17</v>
      </c>
      <c r="B1763" t="str">
        <f>"688072"</f>
        <v>688072</v>
      </c>
      <c r="C1763" t="s">
        <v>3845</v>
      </c>
      <c r="F1763">
        <v>1323.4884</v>
      </c>
      <c r="P1763">
        <v>5</v>
      </c>
      <c r="Q1763" t="s">
        <v>3846</v>
      </c>
    </row>
    <row r="1764" spans="1:17" x14ac:dyDescent="0.3">
      <c r="A1764" t="s">
        <v>17</v>
      </c>
      <c r="B1764" t="str">
        <f>"688075"</f>
        <v>688075</v>
      </c>
      <c r="C1764" t="s">
        <v>3847</v>
      </c>
      <c r="D1764" t="s">
        <v>1305</v>
      </c>
      <c r="F1764">
        <v>180.1054</v>
      </c>
      <c r="P1764">
        <v>37</v>
      </c>
      <c r="Q1764" t="s">
        <v>3848</v>
      </c>
    </row>
    <row r="1765" spans="1:17" x14ac:dyDescent="0.3">
      <c r="A1765" t="s">
        <v>17</v>
      </c>
      <c r="B1765" t="str">
        <f>"688076"</f>
        <v>688076</v>
      </c>
      <c r="C1765" t="s">
        <v>3849</v>
      </c>
      <c r="D1765" t="s">
        <v>1461</v>
      </c>
      <c r="F1765">
        <v>387.43979999999999</v>
      </c>
      <c r="P1765">
        <v>53</v>
      </c>
      <c r="Q1765" t="s">
        <v>3850</v>
      </c>
    </row>
    <row r="1766" spans="1:17" x14ac:dyDescent="0.3">
      <c r="A1766" t="s">
        <v>17</v>
      </c>
      <c r="B1766" t="str">
        <f>"688077"</f>
        <v>688077</v>
      </c>
      <c r="C1766" t="s">
        <v>3851</v>
      </c>
      <c r="D1766" t="s">
        <v>808</v>
      </c>
      <c r="F1766">
        <v>143.2063</v>
      </c>
      <c r="G1766">
        <v>173.26580000000001</v>
      </c>
      <c r="H1766">
        <v>65.891199999999998</v>
      </c>
      <c r="P1766">
        <v>78</v>
      </c>
      <c r="Q1766" t="s">
        <v>3852</v>
      </c>
    </row>
    <row r="1767" spans="1:17" x14ac:dyDescent="0.3">
      <c r="A1767" t="s">
        <v>17</v>
      </c>
      <c r="B1767" t="str">
        <f>"688078"</f>
        <v>688078</v>
      </c>
      <c r="C1767" t="s">
        <v>3853</v>
      </c>
      <c r="D1767" t="s">
        <v>1189</v>
      </c>
      <c r="F1767">
        <v>148.3914</v>
      </c>
      <c r="G1767">
        <v>124.0864</v>
      </c>
      <c r="H1767">
        <v>65.139399999999995</v>
      </c>
      <c r="I1767">
        <v>58.433100000000003</v>
      </c>
      <c r="P1767">
        <v>83</v>
      </c>
      <c r="Q1767" t="s">
        <v>3854</v>
      </c>
    </row>
    <row r="1768" spans="1:17" x14ac:dyDescent="0.3">
      <c r="A1768" t="s">
        <v>17</v>
      </c>
      <c r="B1768" t="str">
        <f>"688079"</f>
        <v>688079</v>
      </c>
      <c r="C1768" t="s">
        <v>3855</v>
      </c>
      <c r="D1768" t="s">
        <v>164</v>
      </c>
      <c r="F1768">
        <v>148.49979999999999</v>
      </c>
      <c r="P1768">
        <v>36</v>
      </c>
      <c r="Q1768" t="s">
        <v>3856</v>
      </c>
    </row>
    <row r="1769" spans="1:17" x14ac:dyDescent="0.3">
      <c r="A1769" t="s">
        <v>17</v>
      </c>
      <c r="B1769" t="str">
        <f>"688080"</f>
        <v>688080</v>
      </c>
      <c r="C1769" t="s">
        <v>3857</v>
      </c>
      <c r="D1769" t="s">
        <v>595</v>
      </c>
      <c r="F1769">
        <v>184.56460000000001</v>
      </c>
      <c r="G1769">
        <v>222.3381</v>
      </c>
      <c r="H1769">
        <v>207.61920000000001</v>
      </c>
      <c r="I1769">
        <v>105.8489</v>
      </c>
      <c r="P1769">
        <v>87</v>
      </c>
      <c r="Q1769" t="s">
        <v>3858</v>
      </c>
    </row>
    <row r="1770" spans="1:17" x14ac:dyDescent="0.3">
      <c r="A1770" t="s">
        <v>17</v>
      </c>
      <c r="B1770" t="str">
        <f>"688081"</f>
        <v>688081</v>
      </c>
      <c r="C1770" t="s">
        <v>3859</v>
      </c>
      <c r="D1770" t="s">
        <v>1136</v>
      </c>
      <c r="F1770">
        <v>433.60890000000001</v>
      </c>
      <c r="G1770">
        <v>417.82870000000003</v>
      </c>
      <c r="H1770">
        <v>917.48839999999996</v>
      </c>
      <c r="P1770">
        <v>55</v>
      </c>
      <c r="Q1770" t="s">
        <v>3860</v>
      </c>
    </row>
    <row r="1771" spans="1:17" x14ac:dyDescent="0.3">
      <c r="A1771" t="s">
        <v>17</v>
      </c>
      <c r="B1771" t="str">
        <f>"688082"</f>
        <v>688082</v>
      </c>
      <c r="C1771" t="s">
        <v>3861</v>
      </c>
      <c r="D1771" t="s">
        <v>3160</v>
      </c>
      <c r="F1771">
        <v>498.52820000000003</v>
      </c>
      <c r="P1771">
        <v>35</v>
      </c>
      <c r="Q1771" t="s">
        <v>3862</v>
      </c>
    </row>
    <row r="1772" spans="1:17" x14ac:dyDescent="0.3">
      <c r="A1772" t="s">
        <v>17</v>
      </c>
      <c r="B1772" t="str">
        <f>"688083"</f>
        <v>688083</v>
      </c>
      <c r="C1772" t="s">
        <v>3863</v>
      </c>
      <c r="D1772" t="s">
        <v>945</v>
      </c>
      <c r="F1772">
        <v>98.974199999999996</v>
      </c>
      <c r="G1772">
        <v>162.00710000000001</v>
      </c>
      <c r="P1772">
        <v>130</v>
      </c>
      <c r="Q1772" t="s">
        <v>3864</v>
      </c>
    </row>
    <row r="1773" spans="1:17" x14ac:dyDescent="0.3">
      <c r="A1773" t="s">
        <v>17</v>
      </c>
      <c r="B1773" t="str">
        <f>"688085"</f>
        <v>688085</v>
      </c>
      <c r="C1773" t="s">
        <v>3865</v>
      </c>
      <c r="D1773" t="s">
        <v>1077</v>
      </c>
      <c r="F1773">
        <v>940.65250000000003</v>
      </c>
      <c r="G1773">
        <v>1072.1949</v>
      </c>
      <c r="H1773">
        <v>375.40949999999998</v>
      </c>
      <c r="P1773">
        <v>197</v>
      </c>
      <c r="Q1773" t="s">
        <v>3866</v>
      </c>
    </row>
    <row r="1774" spans="1:17" x14ac:dyDescent="0.3">
      <c r="A1774" t="s">
        <v>17</v>
      </c>
      <c r="B1774" t="str">
        <f>"688086"</f>
        <v>688086</v>
      </c>
      <c r="C1774" t="s">
        <v>3867</v>
      </c>
      <c r="D1774" t="s">
        <v>236</v>
      </c>
      <c r="F1774">
        <v>295.14800000000002</v>
      </c>
      <c r="G1774">
        <v>268.13029999999998</v>
      </c>
      <c r="H1774">
        <v>194.1722</v>
      </c>
      <c r="P1774">
        <v>84</v>
      </c>
      <c r="Q1774" t="s">
        <v>3868</v>
      </c>
    </row>
    <row r="1775" spans="1:17" x14ac:dyDescent="0.3">
      <c r="A1775" t="s">
        <v>17</v>
      </c>
      <c r="B1775" t="str">
        <f>"688087"</f>
        <v>688087</v>
      </c>
      <c r="C1775" t="s">
        <v>3869</v>
      </c>
      <c r="D1775" t="s">
        <v>1192</v>
      </c>
      <c r="F1775">
        <v>72.740200000000002</v>
      </c>
      <c r="G1775">
        <v>85.977199999999996</v>
      </c>
      <c r="P1775">
        <v>36</v>
      </c>
      <c r="Q1775" t="s">
        <v>3870</v>
      </c>
    </row>
    <row r="1776" spans="1:17" x14ac:dyDescent="0.3">
      <c r="A1776" t="s">
        <v>17</v>
      </c>
      <c r="B1776" t="str">
        <f>"688088"</f>
        <v>688088</v>
      </c>
      <c r="C1776" t="s">
        <v>3871</v>
      </c>
      <c r="D1776" t="s">
        <v>316</v>
      </c>
      <c r="F1776">
        <v>169.124</v>
      </c>
      <c r="G1776">
        <v>81.653000000000006</v>
      </c>
      <c r="H1776">
        <v>111.6658</v>
      </c>
      <c r="P1776">
        <v>271</v>
      </c>
      <c r="Q1776" t="s">
        <v>3872</v>
      </c>
    </row>
    <row r="1777" spans="1:17" x14ac:dyDescent="0.3">
      <c r="A1777" t="s">
        <v>17</v>
      </c>
      <c r="B1777" t="str">
        <f>"688089"</f>
        <v>688089</v>
      </c>
      <c r="C1777" t="s">
        <v>3873</v>
      </c>
      <c r="D1777" t="s">
        <v>677</v>
      </c>
      <c r="F1777">
        <v>223.83539999999999</v>
      </c>
      <c r="G1777">
        <v>236.0582</v>
      </c>
      <c r="P1777">
        <v>150</v>
      </c>
      <c r="Q1777" t="s">
        <v>3874</v>
      </c>
    </row>
    <row r="1778" spans="1:17" x14ac:dyDescent="0.3">
      <c r="A1778" t="s">
        <v>17</v>
      </c>
      <c r="B1778" t="str">
        <f>"688090"</f>
        <v>688090</v>
      </c>
      <c r="C1778" t="s">
        <v>3875</v>
      </c>
      <c r="D1778" t="s">
        <v>2911</v>
      </c>
      <c r="F1778">
        <v>106.5115</v>
      </c>
      <c r="G1778">
        <v>153.20820000000001</v>
      </c>
      <c r="H1778">
        <v>337.92989999999998</v>
      </c>
      <c r="P1778">
        <v>63</v>
      </c>
      <c r="Q1778" t="s">
        <v>3876</v>
      </c>
    </row>
    <row r="1779" spans="1:17" x14ac:dyDescent="0.3">
      <c r="A1779" t="s">
        <v>17</v>
      </c>
      <c r="B1779" t="str">
        <f>"688091"</f>
        <v>688091</v>
      </c>
      <c r="C1779" t="s">
        <v>3877</v>
      </c>
      <c r="D1779" t="s">
        <v>143</v>
      </c>
      <c r="P1779">
        <v>14</v>
      </c>
      <c r="Q1779" t="s">
        <v>3878</v>
      </c>
    </row>
    <row r="1780" spans="1:17" x14ac:dyDescent="0.3">
      <c r="A1780" t="s">
        <v>17</v>
      </c>
      <c r="B1780" t="str">
        <f>"688092"</f>
        <v>688092</v>
      </c>
      <c r="C1780" t="s">
        <v>3879</v>
      </c>
      <c r="D1780" t="s">
        <v>741</v>
      </c>
      <c r="F1780">
        <v>256.62169999999998</v>
      </c>
      <c r="P1780">
        <v>29</v>
      </c>
      <c r="Q1780" t="s">
        <v>3880</v>
      </c>
    </row>
    <row r="1781" spans="1:17" x14ac:dyDescent="0.3">
      <c r="A1781" t="s">
        <v>17</v>
      </c>
      <c r="B1781" t="str">
        <f>"688093"</f>
        <v>688093</v>
      </c>
      <c r="C1781" t="s">
        <v>3881</v>
      </c>
      <c r="D1781" t="s">
        <v>651</v>
      </c>
      <c r="F1781">
        <v>132.46180000000001</v>
      </c>
      <c r="G1781">
        <v>138.63589999999999</v>
      </c>
      <c r="P1781">
        <v>59</v>
      </c>
      <c r="Q1781" t="s">
        <v>3882</v>
      </c>
    </row>
    <row r="1782" spans="1:17" x14ac:dyDescent="0.3">
      <c r="A1782" t="s">
        <v>17</v>
      </c>
      <c r="B1782" t="str">
        <f>"688095"</f>
        <v>688095</v>
      </c>
      <c r="C1782" t="s">
        <v>3883</v>
      </c>
      <c r="D1782" t="s">
        <v>1189</v>
      </c>
      <c r="F1782">
        <v>0</v>
      </c>
      <c r="G1782">
        <v>0</v>
      </c>
      <c r="H1782">
        <v>0.31730000000000003</v>
      </c>
      <c r="P1782">
        <v>141</v>
      </c>
      <c r="Q1782" t="s">
        <v>3884</v>
      </c>
    </row>
    <row r="1783" spans="1:17" x14ac:dyDescent="0.3">
      <c r="A1783" t="s">
        <v>17</v>
      </c>
      <c r="B1783" t="str">
        <f>"688096"</f>
        <v>688096</v>
      </c>
      <c r="C1783" t="s">
        <v>3885</v>
      </c>
      <c r="D1783" t="s">
        <v>33</v>
      </c>
      <c r="F1783">
        <v>79.460899999999995</v>
      </c>
      <c r="G1783">
        <v>62.493299999999998</v>
      </c>
      <c r="H1783">
        <v>39.995100000000001</v>
      </c>
      <c r="I1783">
        <v>7.4461000000000004</v>
      </c>
      <c r="P1783">
        <v>73</v>
      </c>
      <c r="Q1783" t="s">
        <v>3886</v>
      </c>
    </row>
    <row r="1784" spans="1:17" x14ac:dyDescent="0.3">
      <c r="A1784" t="s">
        <v>17</v>
      </c>
      <c r="B1784" t="str">
        <f>"688097"</f>
        <v>688097</v>
      </c>
      <c r="C1784" t="s">
        <v>3887</v>
      </c>
      <c r="D1784" t="s">
        <v>3450</v>
      </c>
      <c r="F1784">
        <v>472.83530000000002</v>
      </c>
      <c r="G1784">
        <v>359.74310000000003</v>
      </c>
      <c r="P1784">
        <v>25</v>
      </c>
      <c r="Q1784" t="s">
        <v>3888</v>
      </c>
    </row>
    <row r="1785" spans="1:17" x14ac:dyDescent="0.3">
      <c r="A1785" t="s">
        <v>17</v>
      </c>
      <c r="B1785" t="str">
        <f>"688098"</f>
        <v>688098</v>
      </c>
      <c r="C1785" t="s">
        <v>3889</v>
      </c>
      <c r="D1785" t="s">
        <v>453</v>
      </c>
      <c r="F1785">
        <v>523.19290000000001</v>
      </c>
      <c r="G1785">
        <v>481.18189999999998</v>
      </c>
      <c r="H1785">
        <v>446.57060000000001</v>
      </c>
      <c r="I1785">
        <v>191.1737</v>
      </c>
      <c r="P1785">
        <v>73</v>
      </c>
      <c r="Q1785" t="s">
        <v>3890</v>
      </c>
    </row>
    <row r="1786" spans="1:17" x14ac:dyDescent="0.3">
      <c r="A1786" t="s">
        <v>17</v>
      </c>
      <c r="B1786" t="str">
        <f>"688099"</f>
        <v>688099</v>
      </c>
      <c r="C1786" t="s">
        <v>3891</v>
      </c>
      <c r="D1786" t="s">
        <v>461</v>
      </c>
      <c r="F1786">
        <v>107.3159</v>
      </c>
      <c r="G1786">
        <v>101.4269</v>
      </c>
      <c r="H1786">
        <v>166.21010000000001</v>
      </c>
      <c r="P1786">
        <v>301</v>
      </c>
      <c r="Q1786" t="s">
        <v>3892</v>
      </c>
    </row>
    <row r="1787" spans="1:17" x14ac:dyDescent="0.3">
      <c r="A1787" t="s">
        <v>17</v>
      </c>
      <c r="B1787" t="str">
        <f>"688100"</f>
        <v>688100</v>
      </c>
      <c r="C1787" t="s">
        <v>3893</v>
      </c>
      <c r="D1787" t="s">
        <v>786</v>
      </c>
      <c r="F1787">
        <v>80.062799999999996</v>
      </c>
      <c r="G1787">
        <v>79.1541</v>
      </c>
      <c r="H1787">
        <v>81.9833</v>
      </c>
      <c r="P1787">
        <v>103</v>
      </c>
      <c r="Q1787" t="s">
        <v>3894</v>
      </c>
    </row>
    <row r="1788" spans="1:17" x14ac:dyDescent="0.3">
      <c r="A1788" t="s">
        <v>17</v>
      </c>
      <c r="B1788" t="str">
        <f>"688101"</f>
        <v>688101</v>
      </c>
      <c r="C1788" t="s">
        <v>3895</v>
      </c>
      <c r="D1788" t="s">
        <v>33</v>
      </c>
      <c r="F1788">
        <v>374.88510000000002</v>
      </c>
      <c r="G1788">
        <v>446.20929999999998</v>
      </c>
      <c r="H1788">
        <v>286.03969999999998</v>
      </c>
      <c r="P1788">
        <v>77</v>
      </c>
      <c r="Q1788" t="s">
        <v>3896</v>
      </c>
    </row>
    <row r="1789" spans="1:17" x14ac:dyDescent="0.3">
      <c r="A1789" t="s">
        <v>17</v>
      </c>
      <c r="B1789" t="str">
        <f>"688102"</f>
        <v>688102</v>
      </c>
      <c r="C1789" t="s">
        <v>3897</v>
      </c>
      <c r="F1789">
        <v>107.2829</v>
      </c>
      <c r="P1789">
        <v>3</v>
      </c>
      <c r="Q1789" t="s">
        <v>3898</v>
      </c>
    </row>
    <row r="1790" spans="1:17" x14ac:dyDescent="0.3">
      <c r="A1790" t="s">
        <v>17</v>
      </c>
      <c r="B1790" t="str">
        <f>"688103"</f>
        <v>688103</v>
      </c>
      <c r="C1790" t="s">
        <v>3899</v>
      </c>
      <c r="D1790" t="s">
        <v>651</v>
      </c>
      <c r="F1790">
        <v>215.8271</v>
      </c>
      <c r="P1790">
        <v>13</v>
      </c>
      <c r="Q1790" t="s">
        <v>3900</v>
      </c>
    </row>
    <row r="1791" spans="1:17" x14ac:dyDescent="0.3">
      <c r="A1791" t="s">
        <v>17</v>
      </c>
      <c r="B1791" t="str">
        <f>"688105"</f>
        <v>688105</v>
      </c>
      <c r="C1791" t="s">
        <v>3901</v>
      </c>
      <c r="D1791" t="s">
        <v>1305</v>
      </c>
      <c r="F1791">
        <v>431.12819999999999</v>
      </c>
      <c r="P1791">
        <v>51</v>
      </c>
      <c r="Q1791" t="s">
        <v>3902</v>
      </c>
    </row>
    <row r="1792" spans="1:17" x14ac:dyDescent="0.3">
      <c r="A1792" t="s">
        <v>17</v>
      </c>
      <c r="B1792" t="str">
        <f>"688106"</f>
        <v>688106</v>
      </c>
      <c r="C1792" t="s">
        <v>3903</v>
      </c>
      <c r="D1792" t="s">
        <v>2399</v>
      </c>
      <c r="F1792">
        <v>30.000699999999998</v>
      </c>
      <c r="G1792">
        <v>48.425600000000003</v>
      </c>
      <c r="H1792">
        <v>21.772200000000002</v>
      </c>
      <c r="P1792">
        <v>136</v>
      </c>
      <c r="Q1792" t="s">
        <v>3904</v>
      </c>
    </row>
    <row r="1793" spans="1:17" x14ac:dyDescent="0.3">
      <c r="A1793" t="s">
        <v>17</v>
      </c>
      <c r="B1793" t="str">
        <f>"688107"</f>
        <v>688107</v>
      </c>
      <c r="C1793" t="s">
        <v>3905</v>
      </c>
      <c r="D1793" t="s">
        <v>461</v>
      </c>
      <c r="F1793">
        <v>165.56020000000001</v>
      </c>
      <c r="P1793">
        <v>31</v>
      </c>
      <c r="Q1793" t="s">
        <v>3906</v>
      </c>
    </row>
    <row r="1794" spans="1:17" x14ac:dyDescent="0.3">
      <c r="A1794" t="s">
        <v>17</v>
      </c>
      <c r="B1794" t="str">
        <f>"688108"</f>
        <v>688108</v>
      </c>
      <c r="C1794" t="s">
        <v>3907</v>
      </c>
      <c r="D1794" t="s">
        <v>1077</v>
      </c>
      <c r="F1794">
        <v>680.56240000000003</v>
      </c>
      <c r="G1794">
        <v>443.79759999999999</v>
      </c>
      <c r="H1794">
        <v>447.48669999999998</v>
      </c>
      <c r="P1794">
        <v>104</v>
      </c>
      <c r="Q1794" t="s">
        <v>3908</v>
      </c>
    </row>
    <row r="1795" spans="1:17" x14ac:dyDescent="0.3">
      <c r="A1795" t="s">
        <v>17</v>
      </c>
      <c r="B1795" t="str">
        <f>"688109"</f>
        <v>688109</v>
      </c>
      <c r="C1795" t="s">
        <v>3909</v>
      </c>
      <c r="D1795" t="s">
        <v>945</v>
      </c>
      <c r="F1795">
        <v>109.7624</v>
      </c>
      <c r="P1795">
        <v>72</v>
      </c>
      <c r="Q1795" t="s">
        <v>3910</v>
      </c>
    </row>
    <row r="1796" spans="1:17" x14ac:dyDescent="0.3">
      <c r="A1796" t="s">
        <v>17</v>
      </c>
      <c r="B1796" t="str">
        <f>"688110"</f>
        <v>688110</v>
      </c>
      <c r="C1796" t="s">
        <v>3911</v>
      </c>
      <c r="D1796" t="s">
        <v>461</v>
      </c>
      <c r="F1796">
        <v>225.09180000000001</v>
      </c>
      <c r="P1796">
        <v>28</v>
      </c>
      <c r="Q1796" t="s">
        <v>3912</v>
      </c>
    </row>
    <row r="1797" spans="1:17" x14ac:dyDescent="0.3">
      <c r="A1797" t="s">
        <v>17</v>
      </c>
      <c r="B1797" t="str">
        <f>"688111"</f>
        <v>688111</v>
      </c>
      <c r="C1797" t="s">
        <v>3913</v>
      </c>
      <c r="D1797" t="s">
        <v>1189</v>
      </c>
      <c r="F1797">
        <v>2.2824</v>
      </c>
      <c r="G1797">
        <v>2.1486999999999998</v>
      </c>
      <c r="H1797">
        <v>2.323</v>
      </c>
      <c r="I1797">
        <v>1.8136000000000001</v>
      </c>
      <c r="P1797">
        <v>964</v>
      </c>
      <c r="Q1797" t="s">
        <v>3914</v>
      </c>
    </row>
    <row r="1798" spans="1:17" x14ac:dyDescent="0.3">
      <c r="A1798" t="s">
        <v>17</v>
      </c>
      <c r="B1798" t="str">
        <f>"688112"</f>
        <v>688112</v>
      </c>
      <c r="C1798" t="s">
        <v>3915</v>
      </c>
      <c r="D1798" t="s">
        <v>2551</v>
      </c>
      <c r="F1798">
        <v>290.33670000000001</v>
      </c>
      <c r="P1798">
        <v>42</v>
      </c>
      <c r="Q1798" t="s">
        <v>3916</v>
      </c>
    </row>
    <row r="1799" spans="1:17" x14ac:dyDescent="0.3">
      <c r="A1799" t="s">
        <v>17</v>
      </c>
      <c r="B1799" t="str">
        <f>"688113"</f>
        <v>688113</v>
      </c>
      <c r="C1799" t="s">
        <v>3917</v>
      </c>
      <c r="D1799" t="s">
        <v>741</v>
      </c>
      <c r="F1799">
        <v>446.81400000000002</v>
      </c>
      <c r="P1799">
        <v>40</v>
      </c>
      <c r="Q1799" t="s">
        <v>3918</v>
      </c>
    </row>
    <row r="1800" spans="1:17" x14ac:dyDescent="0.3">
      <c r="A1800" t="s">
        <v>17</v>
      </c>
      <c r="B1800" t="str">
        <f>"688115"</f>
        <v>688115</v>
      </c>
      <c r="C1800" t="s">
        <v>3919</v>
      </c>
      <c r="F1800">
        <v>311.87029999999999</v>
      </c>
      <c r="P1800">
        <v>7</v>
      </c>
      <c r="Q1800" t="s">
        <v>3920</v>
      </c>
    </row>
    <row r="1801" spans="1:17" x14ac:dyDescent="0.3">
      <c r="A1801" t="s">
        <v>17</v>
      </c>
      <c r="B1801" t="str">
        <f>"688116"</f>
        <v>688116</v>
      </c>
      <c r="C1801" t="s">
        <v>3921</v>
      </c>
      <c r="D1801" t="s">
        <v>1786</v>
      </c>
      <c r="F1801">
        <v>48.156700000000001</v>
      </c>
      <c r="G1801">
        <v>117.6691</v>
      </c>
      <c r="H1801">
        <v>144.65459999999999</v>
      </c>
      <c r="P1801">
        <v>197</v>
      </c>
      <c r="Q1801" t="s">
        <v>3922</v>
      </c>
    </row>
    <row r="1802" spans="1:17" x14ac:dyDescent="0.3">
      <c r="A1802" t="s">
        <v>17</v>
      </c>
      <c r="B1802" t="str">
        <f>"688117"</f>
        <v>688117</v>
      </c>
      <c r="C1802" t="s">
        <v>3923</v>
      </c>
      <c r="D1802" t="s">
        <v>143</v>
      </c>
      <c r="F1802">
        <v>507.56490000000002</v>
      </c>
      <c r="P1802">
        <v>29</v>
      </c>
      <c r="Q1802" t="s">
        <v>3924</v>
      </c>
    </row>
    <row r="1803" spans="1:17" x14ac:dyDescent="0.3">
      <c r="A1803" t="s">
        <v>17</v>
      </c>
      <c r="B1803" t="str">
        <f>"688118"</f>
        <v>688118</v>
      </c>
      <c r="C1803" t="s">
        <v>3925</v>
      </c>
      <c r="D1803" t="s">
        <v>945</v>
      </c>
      <c r="F1803">
        <v>138.8835</v>
      </c>
      <c r="G1803">
        <v>163.41550000000001</v>
      </c>
      <c r="H1803">
        <v>198.56270000000001</v>
      </c>
      <c r="P1803">
        <v>71</v>
      </c>
      <c r="Q1803" t="s">
        <v>3926</v>
      </c>
    </row>
    <row r="1804" spans="1:17" x14ac:dyDescent="0.3">
      <c r="A1804" t="s">
        <v>17</v>
      </c>
      <c r="B1804" t="str">
        <f>"688121"</f>
        <v>688121</v>
      </c>
      <c r="C1804" t="s">
        <v>3927</v>
      </c>
      <c r="D1804" t="s">
        <v>395</v>
      </c>
      <c r="F1804">
        <v>460.53550000000001</v>
      </c>
      <c r="G1804">
        <v>380.68150000000003</v>
      </c>
      <c r="P1804">
        <v>24</v>
      </c>
      <c r="Q1804" t="s">
        <v>3928</v>
      </c>
    </row>
    <row r="1805" spans="1:17" x14ac:dyDescent="0.3">
      <c r="A1805" t="s">
        <v>17</v>
      </c>
      <c r="B1805" t="str">
        <f>"688122"</f>
        <v>688122</v>
      </c>
      <c r="C1805" t="s">
        <v>3929</v>
      </c>
      <c r="D1805" t="s">
        <v>98</v>
      </c>
      <c r="F1805">
        <v>398.36599999999999</v>
      </c>
      <c r="G1805">
        <v>397.5258</v>
      </c>
      <c r="H1805">
        <v>484.28500000000003</v>
      </c>
      <c r="I1805">
        <v>276.9074</v>
      </c>
      <c r="P1805">
        <v>309</v>
      </c>
      <c r="Q1805" t="s">
        <v>3930</v>
      </c>
    </row>
    <row r="1806" spans="1:17" x14ac:dyDescent="0.3">
      <c r="A1806" t="s">
        <v>17</v>
      </c>
      <c r="B1806" t="str">
        <f>"688123"</f>
        <v>688123</v>
      </c>
      <c r="C1806" t="s">
        <v>3931</v>
      </c>
      <c r="D1806" t="s">
        <v>461</v>
      </c>
      <c r="F1806">
        <v>101.9841</v>
      </c>
      <c r="G1806">
        <v>90.641599999999997</v>
      </c>
      <c r="H1806">
        <v>94.498699999999999</v>
      </c>
      <c r="P1806">
        <v>163</v>
      </c>
      <c r="Q1806" t="s">
        <v>3932</v>
      </c>
    </row>
    <row r="1807" spans="1:17" x14ac:dyDescent="0.3">
      <c r="A1807" t="s">
        <v>17</v>
      </c>
      <c r="B1807" t="str">
        <f>"688125"</f>
        <v>688125</v>
      </c>
      <c r="C1807" t="s">
        <v>3933</v>
      </c>
      <c r="F1807">
        <v>335.41789999999997</v>
      </c>
      <c r="P1807">
        <v>2</v>
      </c>
      <c r="Q1807" t="s">
        <v>3934</v>
      </c>
    </row>
    <row r="1808" spans="1:17" x14ac:dyDescent="0.3">
      <c r="A1808" t="s">
        <v>17</v>
      </c>
      <c r="B1808" t="str">
        <f>"688126"</f>
        <v>688126</v>
      </c>
      <c r="C1808" t="s">
        <v>3935</v>
      </c>
      <c r="D1808" t="s">
        <v>475</v>
      </c>
      <c r="F1808">
        <v>142.35980000000001</v>
      </c>
      <c r="G1808">
        <v>160.08860000000001</v>
      </c>
      <c r="H1808">
        <v>114.16549999999999</v>
      </c>
      <c r="P1808">
        <v>329</v>
      </c>
      <c r="Q1808" t="s">
        <v>3936</v>
      </c>
    </row>
    <row r="1809" spans="1:17" x14ac:dyDescent="0.3">
      <c r="A1809" t="s">
        <v>17</v>
      </c>
      <c r="B1809" t="str">
        <f>"688127"</f>
        <v>688127</v>
      </c>
      <c r="C1809" t="s">
        <v>3937</v>
      </c>
      <c r="D1809" t="s">
        <v>164</v>
      </c>
      <c r="F1809">
        <v>171.52170000000001</v>
      </c>
      <c r="G1809">
        <v>173.89830000000001</v>
      </c>
      <c r="H1809">
        <v>95.855199999999996</v>
      </c>
      <c r="P1809">
        <v>86</v>
      </c>
      <c r="Q1809" t="s">
        <v>3938</v>
      </c>
    </row>
    <row r="1810" spans="1:17" x14ac:dyDescent="0.3">
      <c r="A1810" t="s">
        <v>17</v>
      </c>
      <c r="B1810" t="str">
        <f>"688128"</f>
        <v>688128</v>
      </c>
      <c r="C1810" t="s">
        <v>3939</v>
      </c>
      <c r="D1810" t="s">
        <v>741</v>
      </c>
      <c r="F1810">
        <v>131.07409999999999</v>
      </c>
      <c r="G1810">
        <v>148.9641</v>
      </c>
      <c r="H1810">
        <v>147.74100000000001</v>
      </c>
      <c r="P1810">
        <v>68</v>
      </c>
      <c r="Q1810" t="s">
        <v>3940</v>
      </c>
    </row>
    <row r="1811" spans="1:17" x14ac:dyDescent="0.3">
      <c r="A1811" t="s">
        <v>17</v>
      </c>
      <c r="B1811" t="str">
        <f>"688129"</f>
        <v>688129</v>
      </c>
      <c r="C1811" t="s">
        <v>3941</v>
      </c>
      <c r="D1811" t="s">
        <v>2570</v>
      </c>
      <c r="F1811">
        <v>151.20429999999999</v>
      </c>
      <c r="G1811">
        <v>159.41810000000001</v>
      </c>
      <c r="P1811">
        <v>38</v>
      </c>
      <c r="Q1811" t="s">
        <v>3942</v>
      </c>
    </row>
    <row r="1812" spans="1:17" x14ac:dyDescent="0.3">
      <c r="A1812" t="s">
        <v>17</v>
      </c>
      <c r="B1812" t="str">
        <f>"688131"</f>
        <v>688131</v>
      </c>
      <c r="C1812" t="s">
        <v>3943</v>
      </c>
      <c r="D1812" t="s">
        <v>496</v>
      </c>
      <c r="F1812">
        <v>315.8211</v>
      </c>
      <c r="P1812">
        <v>88</v>
      </c>
      <c r="Q1812" t="s">
        <v>3944</v>
      </c>
    </row>
    <row r="1813" spans="1:17" x14ac:dyDescent="0.3">
      <c r="A1813" t="s">
        <v>17</v>
      </c>
      <c r="B1813" t="str">
        <f>"688133"</f>
        <v>688133</v>
      </c>
      <c r="C1813" t="s">
        <v>3945</v>
      </c>
      <c r="D1813" t="s">
        <v>386</v>
      </c>
      <c r="F1813">
        <v>113.837</v>
      </c>
      <c r="G1813">
        <v>109.4059</v>
      </c>
      <c r="H1813">
        <v>39.059100000000001</v>
      </c>
      <c r="P1813">
        <v>118</v>
      </c>
      <c r="Q1813" t="s">
        <v>3946</v>
      </c>
    </row>
    <row r="1814" spans="1:17" x14ac:dyDescent="0.3">
      <c r="A1814" t="s">
        <v>17</v>
      </c>
      <c r="B1814" t="str">
        <f>"688135"</f>
        <v>688135</v>
      </c>
      <c r="C1814" t="s">
        <v>3947</v>
      </c>
      <c r="D1814" t="s">
        <v>1180</v>
      </c>
      <c r="F1814">
        <v>24.160799999999998</v>
      </c>
      <c r="G1814">
        <v>20.344799999999999</v>
      </c>
      <c r="H1814">
        <v>14.7555</v>
      </c>
      <c r="P1814">
        <v>87</v>
      </c>
      <c r="Q1814" t="s">
        <v>3948</v>
      </c>
    </row>
    <row r="1815" spans="1:17" x14ac:dyDescent="0.3">
      <c r="A1815" t="s">
        <v>17</v>
      </c>
      <c r="B1815" t="str">
        <f>"688136"</f>
        <v>688136</v>
      </c>
      <c r="C1815" t="s">
        <v>3949</v>
      </c>
      <c r="D1815" t="s">
        <v>1379</v>
      </c>
      <c r="F1815">
        <v>283.27359999999999</v>
      </c>
      <c r="G1815">
        <v>286.60239999999999</v>
      </c>
      <c r="P1815">
        <v>66</v>
      </c>
      <c r="Q1815" t="s">
        <v>3950</v>
      </c>
    </row>
    <row r="1816" spans="1:17" x14ac:dyDescent="0.3">
      <c r="A1816" t="s">
        <v>17</v>
      </c>
      <c r="B1816" t="str">
        <f>"688138"</f>
        <v>688138</v>
      </c>
      <c r="C1816" t="s">
        <v>3951</v>
      </c>
      <c r="D1816" t="s">
        <v>475</v>
      </c>
      <c r="F1816">
        <v>94.338300000000004</v>
      </c>
      <c r="G1816">
        <v>92.808499999999995</v>
      </c>
      <c r="H1816">
        <v>83.072100000000006</v>
      </c>
      <c r="I1816">
        <v>33.7331</v>
      </c>
      <c r="P1816">
        <v>92</v>
      </c>
      <c r="Q1816" t="s">
        <v>3952</v>
      </c>
    </row>
    <row r="1817" spans="1:17" x14ac:dyDescent="0.3">
      <c r="A1817" t="s">
        <v>17</v>
      </c>
      <c r="B1817" t="str">
        <f>"688139"</f>
        <v>688139</v>
      </c>
      <c r="C1817" t="s">
        <v>3953</v>
      </c>
      <c r="D1817" t="s">
        <v>122</v>
      </c>
      <c r="F1817">
        <v>153.71449999999999</v>
      </c>
      <c r="G1817">
        <v>78.3947</v>
      </c>
      <c r="H1817">
        <v>66.073599999999999</v>
      </c>
      <c r="I1817">
        <v>36.642899999999997</v>
      </c>
      <c r="P1817">
        <v>349</v>
      </c>
      <c r="Q1817" t="s">
        <v>3954</v>
      </c>
    </row>
    <row r="1818" spans="1:17" x14ac:dyDescent="0.3">
      <c r="A1818" t="s">
        <v>17</v>
      </c>
      <c r="B1818" t="str">
        <f>"688148"</f>
        <v>688148</v>
      </c>
      <c r="C1818" t="s">
        <v>3955</v>
      </c>
      <c r="D1818" t="s">
        <v>1786</v>
      </c>
      <c r="F1818">
        <v>163.22149999999999</v>
      </c>
      <c r="P1818">
        <v>29</v>
      </c>
      <c r="Q1818" t="s">
        <v>3956</v>
      </c>
    </row>
    <row r="1819" spans="1:17" x14ac:dyDescent="0.3">
      <c r="A1819" t="s">
        <v>17</v>
      </c>
      <c r="B1819" t="str">
        <f>"688151"</f>
        <v>688151</v>
      </c>
      <c r="C1819" t="s">
        <v>3957</v>
      </c>
      <c r="D1819" t="s">
        <v>428</v>
      </c>
      <c r="F1819">
        <v>182.93960000000001</v>
      </c>
      <c r="P1819">
        <v>13</v>
      </c>
      <c r="Q1819" t="s">
        <v>3958</v>
      </c>
    </row>
    <row r="1820" spans="1:17" x14ac:dyDescent="0.3">
      <c r="A1820" t="s">
        <v>17</v>
      </c>
      <c r="B1820" t="str">
        <f>"688155"</f>
        <v>688155</v>
      </c>
      <c r="C1820" t="s">
        <v>3959</v>
      </c>
      <c r="D1820" t="s">
        <v>3749</v>
      </c>
      <c r="F1820">
        <v>150.12200000000001</v>
      </c>
      <c r="G1820">
        <v>308.59789999999998</v>
      </c>
      <c r="P1820">
        <v>101</v>
      </c>
      <c r="Q1820" t="s">
        <v>3960</v>
      </c>
    </row>
    <row r="1821" spans="1:17" x14ac:dyDescent="0.3">
      <c r="A1821" t="s">
        <v>17</v>
      </c>
      <c r="B1821" t="str">
        <f>"688156"</f>
        <v>688156</v>
      </c>
      <c r="C1821" t="s">
        <v>3961</v>
      </c>
      <c r="D1821" t="s">
        <v>499</v>
      </c>
      <c r="F1821">
        <v>32.464799999999997</v>
      </c>
      <c r="G1821">
        <v>40.943300000000001</v>
      </c>
      <c r="H1821">
        <v>10.0512</v>
      </c>
      <c r="P1821">
        <v>41</v>
      </c>
      <c r="Q1821" t="s">
        <v>3962</v>
      </c>
    </row>
    <row r="1822" spans="1:17" x14ac:dyDescent="0.3">
      <c r="A1822" t="s">
        <v>17</v>
      </c>
      <c r="B1822" t="str">
        <f>"688157"</f>
        <v>688157</v>
      </c>
      <c r="C1822" t="s">
        <v>3963</v>
      </c>
      <c r="D1822" t="s">
        <v>2570</v>
      </c>
      <c r="F1822">
        <v>96.619699999999995</v>
      </c>
      <c r="G1822">
        <v>106.33839999999999</v>
      </c>
      <c r="P1822">
        <v>100</v>
      </c>
      <c r="Q1822" t="s">
        <v>3964</v>
      </c>
    </row>
    <row r="1823" spans="1:17" x14ac:dyDescent="0.3">
      <c r="A1823" t="s">
        <v>17</v>
      </c>
      <c r="B1823" t="str">
        <f>"688158"</f>
        <v>688158</v>
      </c>
      <c r="C1823" t="s">
        <v>3965</v>
      </c>
      <c r="D1823" t="s">
        <v>316</v>
      </c>
      <c r="F1823">
        <v>10.5053</v>
      </c>
      <c r="G1823">
        <v>15.8848</v>
      </c>
      <c r="P1823">
        <v>104</v>
      </c>
      <c r="Q1823" t="s">
        <v>3966</v>
      </c>
    </row>
    <row r="1824" spans="1:17" x14ac:dyDescent="0.3">
      <c r="A1824" t="s">
        <v>17</v>
      </c>
      <c r="B1824" t="str">
        <f>"688159"</f>
        <v>688159</v>
      </c>
      <c r="C1824" t="s">
        <v>3967</v>
      </c>
      <c r="D1824" t="s">
        <v>786</v>
      </c>
      <c r="F1824">
        <v>159.40600000000001</v>
      </c>
      <c r="G1824">
        <v>213.73070000000001</v>
      </c>
      <c r="H1824">
        <v>111.4325</v>
      </c>
      <c r="I1824">
        <v>39.057099999999998</v>
      </c>
      <c r="P1824">
        <v>94</v>
      </c>
      <c r="Q1824" t="s">
        <v>3968</v>
      </c>
    </row>
    <row r="1825" spans="1:17" x14ac:dyDescent="0.3">
      <c r="A1825" t="s">
        <v>17</v>
      </c>
      <c r="B1825" t="str">
        <f>"688160"</f>
        <v>688160</v>
      </c>
      <c r="C1825" t="s">
        <v>3969</v>
      </c>
      <c r="D1825" t="s">
        <v>2423</v>
      </c>
      <c r="F1825">
        <v>197.45519999999999</v>
      </c>
      <c r="G1825">
        <v>148.23310000000001</v>
      </c>
      <c r="H1825">
        <v>64.938500000000005</v>
      </c>
      <c r="P1825">
        <v>44</v>
      </c>
      <c r="Q1825" t="s">
        <v>3970</v>
      </c>
    </row>
    <row r="1826" spans="1:17" x14ac:dyDescent="0.3">
      <c r="A1826" t="s">
        <v>17</v>
      </c>
      <c r="B1826" t="str">
        <f>"688161"</f>
        <v>688161</v>
      </c>
      <c r="C1826" t="s">
        <v>3971</v>
      </c>
      <c r="D1826" t="s">
        <v>1077</v>
      </c>
      <c r="F1826">
        <v>698.29499999999996</v>
      </c>
      <c r="P1826">
        <v>101</v>
      </c>
      <c r="Q1826" t="s">
        <v>3972</v>
      </c>
    </row>
    <row r="1827" spans="1:17" x14ac:dyDescent="0.3">
      <c r="A1827" t="s">
        <v>17</v>
      </c>
      <c r="B1827" t="str">
        <f>"688162"</f>
        <v>688162</v>
      </c>
      <c r="C1827" t="s">
        <v>3973</v>
      </c>
      <c r="D1827" t="s">
        <v>348</v>
      </c>
      <c r="F1827">
        <v>562.5068</v>
      </c>
      <c r="P1827">
        <v>31</v>
      </c>
      <c r="Q1827" t="s">
        <v>3974</v>
      </c>
    </row>
    <row r="1828" spans="1:17" x14ac:dyDescent="0.3">
      <c r="A1828" t="s">
        <v>17</v>
      </c>
      <c r="B1828" t="str">
        <f>"688163"</f>
        <v>688163</v>
      </c>
      <c r="C1828" t="s">
        <v>3975</v>
      </c>
      <c r="F1828">
        <v>673.2002</v>
      </c>
      <c r="P1828">
        <v>12</v>
      </c>
      <c r="Q1828" t="s">
        <v>3976</v>
      </c>
    </row>
    <row r="1829" spans="1:17" x14ac:dyDescent="0.3">
      <c r="A1829" t="s">
        <v>17</v>
      </c>
      <c r="B1829" t="str">
        <f>"688165"</f>
        <v>688165</v>
      </c>
      <c r="C1829" t="s">
        <v>3977</v>
      </c>
      <c r="D1829" t="s">
        <v>2911</v>
      </c>
      <c r="F1829">
        <v>106.3809</v>
      </c>
      <c r="G1829">
        <v>190.2912</v>
      </c>
      <c r="P1829">
        <v>64</v>
      </c>
      <c r="Q1829" t="s">
        <v>3978</v>
      </c>
    </row>
    <row r="1830" spans="1:17" x14ac:dyDescent="0.3">
      <c r="A1830" t="s">
        <v>17</v>
      </c>
      <c r="B1830" t="str">
        <f>"688166"</f>
        <v>688166</v>
      </c>
      <c r="C1830" t="s">
        <v>3979</v>
      </c>
      <c r="D1830" t="s">
        <v>143</v>
      </c>
      <c r="F1830">
        <v>251.28980000000001</v>
      </c>
      <c r="G1830">
        <v>310.21449999999999</v>
      </c>
      <c r="H1830">
        <v>378.15530000000001</v>
      </c>
      <c r="P1830">
        <v>190</v>
      </c>
      <c r="Q1830" t="s">
        <v>3980</v>
      </c>
    </row>
    <row r="1831" spans="1:17" x14ac:dyDescent="0.3">
      <c r="A1831" t="s">
        <v>17</v>
      </c>
      <c r="B1831" t="str">
        <f>"688167"</f>
        <v>688167</v>
      </c>
      <c r="C1831" t="s">
        <v>3981</v>
      </c>
      <c r="D1831" t="s">
        <v>3784</v>
      </c>
      <c r="F1831">
        <v>357.37670000000003</v>
      </c>
      <c r="G1831">
        <v>375.44729999999998</v>
      </c>
      <c r="P1831">
        <v>32</v>
      </c>
      <c r="Q1831" t="s">
        <v>3982</v>
      </c>
    </row>
    <row r="1832" spans="1:17" x14ac:dyDescent="0.3">
      <c r="A1832" t="s">
        <v>17</v>
      </c>
      <c r="B1832" t="str">
        <f>"688168"</f>
        <v>688168</v>
      </c>
      <c r="C1832" t="s">
        <v>3983</v>
      </c>
      <c r="D1832" t="s">
        <v>1189</v>
      </c>
      <c r="F1832">
        <v>166.74010000000001</v>
      </c>
      <c r="G1832">
        <v>136.62119999999999</v>
      </c>
      <c r="H1832">
        <v>89.663200000000003</v>
      </c>
      <c r="I1832">
        <v>47.850499999999997</v>
      </c>
      <c r="P1832">
        <v>144</v>
      </c>
      <c r="Q1832" t="s">
        <v>3984</v>
      </c>
    </row>
    <row r="1833" spans="1:17" x14ac:dyDescent="0.3">
      <c r="A1833" t="s">
        <v>17</v>
      </c>
      <c r="B1833" t="str">
        <f>"688169"</f>
        <v>688169</v>
      </c>
      <c r="C1833" t="s">
        <v>3985</v>
      </c>
      <c r="D1833" t="s">
        <v>2697</v>
      </c>
      <c r="F1833">
        <v>93.049099999999996</v>
      </c>
      <c r="G1833">
        <v>103.3206</v>
      </c>
      <c r="H1833">
        <v>57.470199999999998</v>
      </c>
      <c r="P1833">
        <v>758</v>
      </c>
      <c r="Q1833" t="s">
        <v>3986</v>
      </c>
    </row>
    <row r="1834" spans="1:17" x14ac:dyDescent="0.3">
      <c r="A1834" t="s">
        <v>17</v>
      </c>
      <c r="B1834" t="str">
        <f>"688171"</f>
        <v>688171</v>
      </c>
      <c r="C1834" t="s">
        <v>3987</v>
      </c>
      <c r="F1834">
        <v>150.66059999999999</v>
      </c>
      <c r="G1834">
        <v>196.49930000000001</v>
      </c>
      <c r="P1834">
        <v>12</v>
      </c>
      <c r="Q1834" t="s">
        <v>3988</v>
      </c>
    </row>
    <row r="1835" spans="1:17" x14ac:dyDescent="0.3">
      <c r="A1835" t="s">
        <v>17</v>
      </c>
      <c r="B1835" t="str">
        <f>"688173"</f>
        <v>688173</v>
      </c>
      <c r="C1835" t="s">
        <v>3989</v>
      </c>
      <c r="F1835">
        <v>73.801699999999997</v>
      </c>
      <c r="P1835">
        <v>11</v>
      </c>
      <c r="Q1835" t="s">
        <v>3990</v>
      </c>
    </row>
    <row r="1836" spans="1:17" x14ac:dyDescent="0.3">
      <c r="A1836" t="s">
        <v>17</v>
      </c>
      <c r="B1836" t="str">
        <f>"688176"</f>
        <v>688176</v>
      </c>
      <c r="C1836" t="s">
        <v>3991</v>
      </c>
      <c r="D1836" t="s">
        <v>143</v>
      </c>
      <c r="P1836">
        <v>9</v>
      </c>
      <c r="Q1836" t="s">
        <v>3992</v>
      </c>
    </row>
    <row r="1837" spans="1:17" x14ac:dyDescent="0.3">
      <c r="A1837" t="s">
        <v>17</v>
      </c>
      <c r="B1837" t="str">
        <f>"688177"</f>
        <v>688177</v>
      </c>
      <c r="C1837" t="s">
        <v>3993</v>
      </c>
      <c r="D1837" t="s">
        <v>1379</v>
      </c>
      <c r="F1837">
        <v>1112.8037999999999</v>
      </c>
      <c r="G1837">
        <v>1456.5626</v>
      </c>
      <c r="H1837">
        <v>108162.7031</v>
      </c>
      <c r="P1837">
        <v>98</v>
      </c>
      <c r="Q1837" t="s">
        <v>3994</v>
      </c>
    </row>
    <row r="1838" spans="1:17" x14ac:dyDescent="0.3">
      <c r="A1838" t="s">
        <v>17</v>
      </c>
      <c r="B1838" t="str">
        <f>"688178"</f>
        <v>688178</v>
      </c>
      <c r="C1838" t="s">
        <v>3995</v>
      </c>
      <c r="D1838" t="s">
        <v>33</v>
      </c>
      <c r="F1838">
        <v>49.966099999999997</v>
      </c>
      <c r="G1838">
        <v>119.13200000000001</v>
      </c>
      <c r="H1838">
        <v>188.667</v>
      </c>
      <c r="P1838">
        <v>69</v>
      </c>
      <c r="Q1838" t="s">
        <v>3996</v>
      </c>
    </row>
    <row r="1839" spans="1:17" x14ac:dyDescent="0.3">
      <c r="A1839" t="s">
        <v>17</v>
      </c>
      <c r="B1839" t="str">
        <f>"688179"</f>
        <v>688179</v>
      </c>
      <c r="C1839" t="s">
        <v>3997</v>
      </c>
      <c r="D1839" t="s">
        <v>386</v>
      </c>
      <c r="F1839">
        <v>616.63499999999999</v>
      </c>
      <c r="G1839">
        <v>656.9778</v>
      </c>
      <c r="H1839">
        <v>324.17079999999999</v>
      </c>
      <c r="I1839">
        <v>720.9973</v>
      </c>
      <c r="P1839">
        <v>156</v>
      </c>
      <c r="Q1839" t="s">
        <v>3998</v>
      </c>
    </row>
    <row r="1840" spans="1:17" x14ac:dyDescent="0.3">
      <c r="A1840" t="s">
        <v>17</v>
      </c>
      <c r="B1840" t="str">
        <f>"688180"</f>
        <v>688180</v>
      </c>
      <c r="C1840" t="s">
        <v>3999</v>
      </c>
      <c r="D1840" t="s">
        <v>1379</v>
      </c>
      <c r="F1840">
        <v>178.7456</v>
      </c>
      <c r="G1840">
        <v>439.55040000000002</v>
      </c>
      <c r="H1840">
        <v>621.7799</v>
      </c>
      <c r="P1840">
        <v>206</v>
      </c>
      <c r="Q1840" t="s">
        <v>4000</v>
      </c>
    </row>
    <row r="1841" spans="1:17" x14ac:dyDescent="0.3">
      <c r="A1841" t="s">
        <v>17</v>
      </c>
      <c r="B1841" t="str">
        <f>"688181"</f>
        <v>688181</v>
      </c>
      <c r="C1841" t="s">
        <v>4001</v>
      </c>
      <c r="D1841" t="s">
        <v>1117</v>
      </c>
      <c r="F1841">
        <v>239.47800000000001</v>
      </c>
      <c r="G1841">
        <v>287.80520000000001</v>
      </c>
      <c r="H1841">
        <v>262.98829999999998</v>
      </c>
      <c r="I1841">
        <v>108.5689</v>
      </c>
      <c r="P1841">
        <v>108</v>
      </c>
      <c r="Q1841" t="s">
        <v>4002</v>
      </c>
    </row>
    <row r="1842" spans="1:17" x14ac:dyDescent="0.3">
      <c r="A1842" t="s">
        <v>17</v>
      </c>
      <c r="B1842" t="str">
        <f>"688182"</f>
        <v>688182</v>
      </c>
      <c r="C1842" t="s">
        <v>4003</v>
      </c>
      <c r="D1842" t="s">
        <v>1019</v>
      </c>
      <c r="F1842">
        <v>373.97910000000002</v>
      </c>
      <c r="P1842">
        <v>17</v>
      </c>
      <c r="Q1842" t="s">
        <v>4004</v>
      </c>
    </row>
    <row r="1843" spans="1:17" x14ac:dyDescent="0.3">
      <c r="A1843" t="s">
        <v>17</v>
      </c>
      <c r="B1843" t="str">
        <f>"688183"</f>
        <v>688183</v>
      </c>
      <c r="C1843" t="s">
        <v>4005</v>
      </c>
      <c r="D1843" t="s">
        <v>425</v>
      </c>
      <c r="F1843">
        <v>105.7482</v>
      </c>
      <c r="G1843">
        <v>105.7353</v>
      </c>
      <c r="P1843">
        <v>41</v>
      </c>
      <c r="Q1843" t="s">
        <v>4006</v>
      </c>
    </row>
    <row r="1844" spans="1:17" x14ac:dyDescent="0.3">
      <c r="A1844" t="s">
        <v>17</v>
      </c>
      <c r="B1844" t="str">
        <f>"688185"</f>
        <v>688185</v>
      </c>
      <c r="C1844" t="s">
        <v>4007</v>
      </c>
      <c r="D1844" t="s">
        <v>1499</v>
      </c>
      <c r="F1844">
        <v>130.8134</v>
      </c>
      <c r="G1844">
        <v>27640.808300000001</v>
      </c>
      <c r="H1844">
        <v>30302.052199999998</v>
      </c>
      <c r="P1844">
        <v>266</v>
      </c>
      <c r="Q1844" t="s">
        <v>4008</v>
      </c>
    </row>
    <row r="1845" spans="1:17" x14ac:dyDescent="0.3">
      <c r="A1845" t="s">
        <v>17</v>
      </c>
      <c r="B1845" t="str">
        <f>"688186"</f>
        <v>688186</v>
      </c>
      <c r="C1845" t="s">
        <v>4009</v>
      </c>
      <c r="D1845" t="s">
        <v>281</v>
      </c>
      <c r="F1845">
        <v>262.35300000000001</v>
      </c>
      <c r="G1845">
        <v>275.76310000000001</v>
      </c>
      <c r="H1845">
        <v>268.10109999999997</v>
      </c>
      <c r="P1845">
        <v>110</v>
      </c>
      <c r="Q1845" t="s">
        <v>4010</v>
      </c>
    </row>
    <row r="1846" spans="1:17" x14ac:dyDescent="0.3">
      <c r="A1846" t="s">
        <v>17</v>
      </c>
      <c r="B1846" t="str">
        <f>"688187"</f>
        <v>688187</v>
      </c>
      <c r="C1846" t="s">
        <v>4011</v>
      </c>
      <c r="D1846" t="s">
        <v>1012</v>
      </c>
      <c r="F1846">
        <v>350.1651</v>
      </c>
      <c r="G1846">
        <v>269.90519999999998</v>
      </c>
      <c r="P1846">
        <v>59</v>
      </c>
      <c r="Q1846" t="s">
        <v>4012</v>
      </c>
    </row>
    <row r="1847" spans="1:17" x14ac:dyDescent="0.3">
      <c r="A1847" t="s">
        <v>17</v>
      </c>
      <c r="B1847" t="str">
        <f>"688188"</f>
        <v>688188</v>
      </c>
      <c r="C1847" t="s">
        <v>4013</v>
      </c>
      <c r="D1847" t="s">
        <v>236</v>
      </c>
      <c r="F1847">
        <v>206.1447</v>
      </c>
      <c r="G1847">
        <v>173.9367</v>
      </c>
      <c r="H1847">
        <v>106.7749</v>
      </c>
      <c r="P1847">
        <v>363</v>
      </c>
      <c r="Q1847" t="s">
        <v>4014</v>
      </c>
    </row>
    <row r="1848" spans="1:17" x14ac:dyDescent="0.3">
      <c r="A1848" t="s">
        <v>17</v>
      </c>
      <c r="B1848" t="str">
        <f>"688189"</f>
        <v>688189</v>
      </c>
      <c r="C1848" t="s">
        <v>4015</v>
      </c>
      <c r="D1848" t="s">
        <v>143</v>
      </c>
      <c r="F1848">
        <v>401.86779999999999</v>
      </c>
      <c r="G1848">
        <v>147.55189999999999</v>
      </c>
      <c r="H1848">
        <v>81.068399999999997</v>
      </c>
      <c r="P1848">
        <v>97</v>
      </c>
      <c r="Q1848" t="s">
        <v>4016</v>
      </c>
    </row>
    <row r="1849" spans="1:17" x14ac:dyDescent="0.3">
      <c r="A1849" t="s">
        <v>17</v>
      </c>
      <c r="B1849" t="str">
        <f>"688190"</f>
        <v>688190</v>
      </c>
      <c r="C1849" t="s">
        <v>4017</v>
      </c>
      <c r="D1849" t="s">
        <v>581</v>
      </c>
      <c r="F1849">
        <v>52.1038</v>
      </c>
      <c r="P1849">
        <v>15</v>
      </c>
      <c r="Q1849" t="s">
        <v>4018</v>
      </c>
    </row>
    <row r="1850" spans="1:17" x14ac:dyDescent="0.3">
      <c r="A1850" t="s">
        <v>17</v>
      </c>
      <c r="B1850" t="str">
        <f>"688191"</f>
        <v>688191</v>
      </c>
      <c r="C1850" t="s">
        <v>4019</v>
      </c>
      <c r="D1850" t="s">
        <v>610</v>
      </c>
      <c r="F1850">
        <v>408.24</v>
      </c>
      <c r="G1850">
        <v>450.18729999999999</v>
      </c>
      <c r="P1850">
        <v>56</v>
      </c>
      <c r="Q1850" t="s">
        <v>4020</v>
      </c>
    </row>
    <row r="1851" spans="1:17" x14ac:dyDescent="0.3">
      <c r="A1851" t="s">
        <v>17</v>
      </c>
      <c r="B1851" t="str">
        <f>"688192"</f>
        <v>688192</v>
      </c>
      <c r="C1851" t="s">
        <v>4021</v>
      </c>
      <c r="D1851" t="s">
        <v>143</v>
      </c>
      <c r="F1851">
        <v>0</v>
      </c>
      <c r="P1851">
        <v>11</v>
      </c>
      <c r="Q1851" t="s">
        <v>4022</v>
      </c>
    </row>
    <row r="1852" spans="1:17" x14ac:dyDescent="0.3">
      <c r="A1852" t="s">
        <v>17</v>
      </c>
      <c r="B1852" t="str">
        <f>"688195"</f>
        <v>688195</v>
      </c>
      <c r="C1852" t="s">
        <v>4023</v>
      </c>
      <c r="D1852" t="s">
        <v>164</v>
      </c>
      <c r="F1852">
        <v>114.58069999999999</v>
      </c>
      <c r="P1852">
        <v>41</v>
      </c>
      <c r="Q1852" t="s">
        <v>4024</v>
      </c>
    </row>
    <row r="1853" spans="1:17" x14ac:dyDescent="0.3">
      <c r="A1853" t="s">
        <v>17</v>
      </c>
      <c r="B1853" t="str">
        <f>"688196"</f>
        <v>688196</v>
      </c>
      <c r="C1853" t="s">
        <v>4025</v>
      </c>
      <c r="D1853" t="s">
        <v>386</v>
      </c>
      <c r="F1853">
        <v>67.703999999999994</v>
      </c>
      <c r="G1853">
        <v>81.858400000000003</v>
      </c>
      <c r="H1853">
        <v>67.075999999999993</v>
      </c>
      <c r="J1853">
        <v>92.766999999999996</v>
      </c>
      <c r="P1853">
        <v>188</v>
      </c>
      <c r="Q1853" t="s">
        <v>4026</v>
      </c>
    </row>
    <row r="1854" spans="1:17" x14ac:dyDescent="0.3">
      <c r="A1854" t="s">
        <v>17</v>
      </c>
      <c r="B1854" t="str">
        <f>"688197"</f>
        <v>688197</v>
      </c>
      <c r="C1854" t="s">
        <v>4027</v>
      </c>
      <c r="G1854">
        <v>66874.429099999994</v>
      </c>
      <c r="P1854">
        <v>3</v>
      </c>
      <c r="Q1854" t="s">
        <v>4028</v>
      </c>
    </row>
    <row r="1855" spans="1:17" x14ac:dyDescent="0.3">
      <c r="A1855" t="s">
        <v>17</v>
      </c>
      <c r="B1855" t="str">
        <f>"688198"</f>
        <v>688198</v>
      </c>
      <c r="C1855" t="s">
        <v>4029</v>
      </c>
      <c r="D1855" t="s">
        <v>1077</v>
      </c>
      <c r="F1855">
        <v>311.96109999999999</v>
      </c>
      <c r="G1855">
        <v>318.0181</v>
      </c>
      <c r="H1855">
        <v>273.59179999999998</v>
      </c>
      <c r="P1855">
        <v>190</v>
      </c>
      <c r="Q1855" t="s">
        <v>4030</v>
      </c>
    </row>
    <row r="1856" spans="1:17" x14ac:dyDescent="0.3">
      <c r="A1856" t="s">
        <v>17</v>
      </c>
      <c r="B1856" t="str">
        <f>"688199"</f>
        <v>688199</v>
      </c>
      <c r="C1856" t="s">
        <v>4031</v>
      </c>
      <c r="D1856" t="s">
        <v>386</v>
      </c>
      <c r="F1856">
        <v>118.1485</v>
      </c>
      <c r="G1856">
        <v>188.84700000000001</v>
      </c>
      <c r="H1856">
        <v>151.8655</v>
      </c>
      <c r="I1856">
        <v>101.9308</v>
      </c>
      <c r="P1856">
        <v>94</v>
      </c>
      <c r="Q1856" t="s">
        <v>4032</v>
      </c>
    </row>
    <row r="1857" spans="1:17" x14ac:dyDescent="0.3">
      <c r="A1857" t="s">
        <v>17</v>
      </c>
      <c r="B1857" t="str">
        <f>"688200"</f>
        <v>688200</v>
      </c>
      <c r="C1857" t="s">
        <v>4033</v>
      </c>
      <c r="D1857" t="s">
        <v>3160</v>
      </c>
      <c r="F1857">
        <v>329.71870000000001</v>
      </c>
      <c r="G1857">
        <v>377.1551</v>
      </c>
      <c r="H1857">
        <v>464.01830000000001</v>
      </c>
      <c r="P1857">
        <v>291</v>
      </c>
      <c r="Q1857" t="s">
        <v>4034</v>
      </c>
    </row>
    <row r="1858" spans="1:17" x14ac:dyDescent="0.3">
      <c r="A1858" t="s">
        <v>17</v>
      </c>
      <c r="B1858" t="str">
        <f>"688201"</f>
        <v>688201</v>
      </c>
      <c r="C1858" t="s">
        <v>4035</v>
      </c>
      <c r="D1858" t="s">
        <v>1189</v>
      </c>
      <c r="F1858">
        <v>355.40570000000002</v>
      </c>
      <c r="P1858">
        <v>62</v>
      </c>
      <c r="Q1858" t="s">
        <v>4036</v>
      </c>
    </row>
    <row r="1859" spans="1:17" x14ac:dyDescent="0.3">
      <c r="A1859" t="s">
        <v>17</v>
      </c>
      <c r="B1859" t="str">
        <f>"688202"</f>
        <v>688202</v>
      </c>
      <c r="C1859" t="s">
        <v>4037</v>
      </c>
      <c r="D1859" t="s">
        <v>1461</v>
      </c>
      <c r="F1859">
        <v>42.217500000000001</v>
      </c>
      <c r="G1859">
        <v>24.561399999999999</v>
      </c>
      <c r="H1859">
        <v>14.505100000000001</v>
      </c>
      <c r="P1859">
        <v>382</v>
      </c>
      <c r="Q1859" t="s">
        <v>4038</v>
      </c>
    </row>
    <row r="1860" spans="1:17" x14ac:dyDescent="0.3">
      <c r="A1860" t="s">
        <v>17</v>
      </c>
      <c r="B1860" t="str">
        <f>"688206"</f>
        <v>688206</v>
      </c>
      <c r="C1860" t="s">
        <v>4039</v>
      </c>
      <c r="D1860" t="s">
        <v>3160</v>
      </c>
      <c r="F1860">
        <v>497.2278</v>
      </c>
      <c r="P1860">
        <v>26</v>
      </c>
      <c r="Q1860" t="s">
        <v>4040</v>
      </c>
    </row>
    <row r="1861" spans="1:17" x14ac:dyDescent="0.3">
      <c r="A1861" t="s">
        <v>17</v>
      </c>
      <c r="B1861" t="str">
        <f>"688208"</f>
        <v>688208</v>
      </c>
      <c r="C1861" t="s">
        <v>4041</v>
      </c>
      <c r="D1861" t="s">
        <v>236</v>
      </c>
      <c r="F1861">
        <v>325.86509999999998</v>
      </c>
      <c r="G1861">
        <v>343.26979999999998</v>
      </c>
      <c r="H1861">
        <v>374.2919</v>
      </c>
      <c r="P1861">
        <v>220</v>
      </c>
      <c r="Q1861" t="s">
        <v>4042</v>
      </c>
    </row>
    <row r="1862" spans="1:17" x14ac:dyDescent="0.3">
      <c r="A1862" t="s">
        <v>17</v>
      </c>
      <c r="B1862" t="str">
        <f>"688209"</f>
        <v>688209</v>
      </c>
      <c r="C1862" t="s">
        <v>4043</v>
      </c>
      <c r="F1862">
        <v>165.51009999999999</v>
      </c>
      <c r="P1862">
        <v>5</v>
      </c>
      <c r="Q1862" t="s">
        <v>4044</v>
      </c>
    </row>
    <row r="1863" spans="1:17" x14ac:dyDescent="0.3">
      <c r="A1863" t="s">
        <v>17</v>
      </c>
      <c r="B1863" t="str">
        <f>"688210"</f>
        <v>688210</v>
      </c>
      <c r="C1863" t="s">
        <v>4045</v>
      </c>
      <c r="D1863" t="s">
        <v>313</v>
      </c>
      <c r="F1863">
        <v>204.10990000000001</v>
      </c>
      <c r="P1863">
        <v>9</v>
      </c>
      <c r="Q1863" t="s">
        <v>4046</v>
      </c>
    </row>
    <row r="1864" spans="1:17" x14ac:dyDescent="0.3">
      <c r="A1864" t="s">
        <v>17</v>
      </c>
      <c r="B1864" t="str">
        <f>"688211"</f>
        <v>688211</v>
      </c>
      <c r="C1864" t="s">
        <v>4047</v>
      </c>
      <c r="D1864" t="s">
        <v>741</v>
      </c>
      <c r="F1864">
        <v>986.5095</v>
      </c>
      <c r="G1864">
        <v>871.29629999999997</v>
      </c>
      <c r="P1864">
        <v>27</v>
      </c>
      <c r="Q1864" t="s">
        <v>4048</v>
      </c>
    </row>
    <row r="1865" spans="1:17" x14ac:dyDescent="0.3">
      <c r="A1865" t="s">
        <v>17</v>
      </c>
      <c r="B1865" t="str">
        <f>"688212"</f>
        <v>688212</v>
      </c>
      <c r="C1865" t="s">
        <v>4049</v>
      </c>
      <c r="D1865" t="s">
        <v>122</v>
      </c>
      <c r="F1865">
        <v>532.29830000000004</v>
      </c>
      <c r="P1865">
        <v>31</v>
      </c>
      <c r="Q1865" t="s">
        <v>4050</v>
      </c>
    </row>
    <row r="1866" spans="1:17" x14ac:dyDescent="0.3">
      <c r="A1866" t="s">
        <v>17</v>
      </c>
      <c r="B1866" t="str">
        <f>"688213"</f>
        <v>688213</v>
      </c>
      <c r="C1866" t="s">
        <v>4051</v>
      </c>
      <c r="F1866">
        <v>148.63319999999999</v>
      </c>
      <c r="Q1866" t="s">
        <v>4052</v>
      </c>
    </row>
    <row r="1867" spans="1:17" x14ac:dyDescent="0.3">
      <c r="A1867" t="s">
        <v>17</v>
      </c>
      <c r="B1867" t="str">
        <f>"688215"</f>
        <v>688215</v>
      </c>
      <c r="C1867" t="s">
        <v>4053</v>
      </c>
      <c r="D1867" t="s">
        <v>3450</v>
      </c>
      <c r="F1867">
        <v>219.94380000000001</v>
      </c>
      <c r="G1867">
        <v>163.06139999999999</v>
      </c>
      <c r="H1867">
        <v>153.84690000000001</v>
      </c>
      <c r="P1867">
        <v>62</v>
      </c>
      <c r="Q1867" t="s">
        <v>4054</v>
      </c>
    </row>
    <row r="1868" spans="1:17" x14ac:dyDescent="0.3">
      <c r="A1868" t="s">
        <v>17</v>
      </c>
      <c r="B1868" t="str">
        <f>"688216"</f>
        <v>688216</v>
      </c>
      <c r="C1868" t="s">
        <v>4055</v>
      </c>
      <c r="D1868" t="s">
        <v>1180</v>
      </c>
      <c r="F1868">
        <v>90.128600000000006</v>
      </c>
      <c r="P1868">
        <v>26</v>
      </c>
      <c r="Q1868" t="s">
        <v>4056</v>
      </c>
    </row>
    <row r="1869" spans="1:17" x14ac:dyDescent="0.3">
      <c r="A1869" t="s">
        <v>17</v>
      </c>
      <c r="B1869" t="str">
        <f>"688217"</f>
        <v>688217</v>
      </c>
      <c r="C1869" t="s">
        <v>4057</v>
      </c>
      <c r="D1869" t="s">
        <v>1305</v>
      </c>
      <c r="F1869">
        <v>311.06740000000002</v>
      </c>
      <c r="P1869">
        <v>31</v>
      </c>
      <c r="Q1869" t="s">
        <v>4058</v>
      </c>
    </row>
    <row r="1870" spans="1:17" x14ac:dyDescent="0.3">
      <c r="A1870" t="s">
        <v>17</v>
      </c>
      <c r="B1870" t="str">
        <f>"688218"</f>
        <v>688218</v>
      </c>
      <c r="C1870" t="s">
        <v>4059</v>
      </c>
      <c r="D1870" t="s">
        <v>2911</v>
      </c>
      <c r="F1870">
        <v>514.21289999999999</v>
      </c>
      <c r="G1870">
        <v>544.83699999999999</v>
      </c>
      <c r="H1870">
        <v>596.59619999999995</v>
      </c>
      <c r="I1870">
        <v>271.31209999999999</v>
      </c>
      <c r="P1870">
        <v>47</v>
      </c>
      <c r="Q1870" t="s">
        <v>4060</v>
      </c>
    </row>
    <row r="1871" spans="1:17" x14ac:dyDescent="0.3">
      <c r="A1871" t="s">
        <v>17</v>
      </c>
      <c r="B1871" t="str">
        <f>"688219"</f>
        <v>688219</v>
      </c>
      <c r="C1871" t="s">
        <v>4061</v>
      </c>
      <c r="D1871" t="s">
        <v>341</v>
      </c>
      <c r="F1871">
        <v>67.5364</v>
      </c>
      <c r="G1871">
        <v>84.127099999999999</v>
      </c>
      <c r="P1871">
        <v>50</v>
      </c>
      <c r="Q1871" t="s">
        <v>4062</v>
      </c>
    </row>
    <row r="1872" spans="1:17" x14ac:dyDescent="0.3">
      <c r="A1872" t="s">
        <v>17</v>
      </c>
      <c r="B1872" t="str">
        <f>"688220"</f>
        <v>688220</v>
      </c>
      <c r="C1872" t="s">
        <v>4063</v>
      </c>
      <c r="D1872" t="s">
        <v>401</v>
      </c>
      <c r="F1872">
        <v>223.13579999999999</v>
      </c>
      <c r="G1872">
        <v>295.505</v>
      </c>
      <c r="P1872">
        <v>19</v>
      </c>
      <c r="Q1872" t="s">
        <v>4064</v>
      </c>
    </row>
    <row r="1873" spans="1:17" x14ac:dyDescent="0.3">
      <c r="A1873" t="s">
        <v>17</v>
      </c>
      <c r="B1873" t="str">
        <f>"688221"</f>
        <v>688221</v>
      </c>
      <c r="C1873" t="s">
        <v>4065</v>
      </c>
      <c r="D1873" t="s">
        <v>143</v>
      </c>
      <c r="F1873">
        <v>128.1491</v>
      </c>
      <c r="G1873">
        <v>301.1687</v>
      </c>
      <c r="H1873">
        <v>102.6183</v>
      </c>
      <c r="P1873">
        <v>51</v>
      </c>
      <c r="Q1873" t="s">
        <v>4066</v>
      </c>
    </row>
    <row r="1874" spans="1:17" x14ac:dyDescent="0.3">
      <c r="A1874" t="s">
        <v>17</v>
      </c>
      <c r="B1874" t="str">
        <f>"688222"</f>
        <v>688222</v>
      </c>
      <c r="C1874" t="s">
        <v>4067</v>
      </c>
      <c r="D1874" t="s">
        <v>1461</v>
      </c>
      <c r="F1874">
        <v>76.721400000000003</v>
      </c>
      <c r="G1874">
        <v>216.66059999999999</v>
      </c>
      <c r="H1874">
        <v>49.340800000000002</v>
      </c>
      <c r="P1874">
        <v>128</v>
      </c>
      <c r="Q1874" t="s">
        <v>4068</v>
      </c>
    </row>
    <row r="1875" spans="1:17" x14ac:dyDescent="0.3">
      <c r="A1875" t="s">
        <v>17</v>
      </c>
      <c r="B1875" t="str">
        <f>"688223"</f>
        <v>688223</v>
      </c>
      <c r="C1875" t="s">
        <v>4069</v>
      </c>
      <c r="D1875" t="s">
        <v>475</v>
      </c>
      <c r="F1875">
        <v>189.06030000000001</v>
      </c>
      <c r="P1875">
        <v>29</v>
      </c>
      <c r="Q1875" t="s">
        <v>4070</v>
      </c>
    </row>
    <row r="1876" spans="1:17" x14ac:dyDescent="0.3">
      <c r="A1876" t="s">
        <v>17</v>
      </c>
      <c r="B1876" t="str">
        <f>"688225"</f>
        <v>688225</v>
      </c>
      <c r="C1876" t="s">
        <v>4071</v>
      </c>
      <c r="F1876">
        <v>254.98830000000001</v>
      </c>
      <c r="G1876">
        <v>327.55739999999997</v>
      </c>
      <c r="P1876">
        <v>9</v>
      </c>
      <c r="Q1876" t="s">
        <v>4072</v>
      </c>
    </row>
    <row r="1877" spans="1:17" x14ac:dyDescent="0.3">
      <c r="A1877" t="s">
        <v>17</v>
      </c>
      <c r="B1877" t="str">
        <f>"688226"</f>
        <v>688226</v>
      </c>
      <c r="C1877" t="s">
        <v>4073</v>
      </c>
      <c r="D1877" t="s">
        <v>1164</v>
      </c>
      <c r="F1877">
        <v>54.875</v>
      </c>
      <c r="P1877">
        <v>19</v>
      </c>
      <c r="Q1877" t="s">
        <v>4074</v>
      </c>
    </row>
    <row r="1878" spans="1:17" x14ac:dyDescent="0.3">
      <c r="A1878" t="s">
        <v>17</v>
      </c>
      <c r="B1878" t="str">
        <f>"688227"</f>
        <v>688227</v>
      </c>
      <c r="C1878" t="s">
        <v>4075</v>
      </c>
      <c r="D1878" t="s">
        <v>316</v>
      </c>
      <c r="F1878">
        <v>660.77340000000004</v>
      </c>
      <c r="P1878">
        <v>13</v>
      </c>
      <c r="Q1878" t="s">
        <v>4076</v>
      </c>
    </row>
    <row r="1879" spans="1:17" x14ac:dyDescent="0.3">
      <c r="A1879" t="s">
        <v>17</v>
      </c>
      <c r="B1879" t="str">
        <f>"688228"</f>
        <v>688228</v>
      </c>
      <c r="C1879" t="s">
        <v>4077</v>
      </c>
      <c r="D1879" t="s">
        <v>316</v>
      </c>
      <c r="F1879">
        <v>354.85210000000001</v>
      </c>
      <c r="G1879">
        <v>212.22880000000001</v>
      </c>
      <c r="H1879">
        <v>82.488500000000002</v>
      </c>
      <c r="P1879">
        <v>93</v>
      </c>
      <c r="Q1879" t="s">
        <v>4078</v>
      </c>
    </row>
    <row r="1880" spans="1:17" x14ac:dyDescent="0.3">
      <c r="A1880" t="s">
        <v>17</v>
      </c>
      <c r="B1880" t="str">
        <f>"688229"</f>
        <v>688229</v>
      </c>
      <c r="C1880" t="s">
        <v>4079</v>
      </c>
      <c r="D1880" t="s">
        <v>316</v>
      </c>
      <c r="F1880">
        <v>0</v>
      </c>
      <c r="G1880">
        <v>0</v>
      </c>
      <c r="P1880">
        <v>63</v>
      </c>
      <c r="Q1880" t="s">
        <v>4080</v>
      </c>
    </row>
    <row r="1881" spans="1:17" x14ac:dyDescent="0.3">
      <c r="A1881" t="s">
        <v>17</v>
      </c>
      <c r="B1881" t="str">
        <f>"688230"</f>
        <v>688230</v>
      </c>
      <c r="C1881" t="s">
        <v>4081</v>
      </c>
      <c r="D1881" t="s">
        <v>795</v>
      </c>
      <c r="F1881">
        <v>62.216700000000003</v>
      </c>
      <c r="P1881">
        <v>24</v>
      </c>
      <c r="Q1881" t="s">
        <v>4082</v>
      </c>
    </row>
    <row r="1882" spans="1:17" x14ac:dyDescent="0.3">
      <c r="A1882" t="s">
        <v>17</v>
      </c>
      <c r="B1882" t="str">
        <f>"688232"</f>
        <v>688232</v>
      </c>
      <c r="C1882" t="s">
        <v>4083</v>
      </c>
      <c r="D1882" t="s">
        <v>945</v>
      </c>
      <c r="F1882">
        <v>374.38650000000001</v>
      </c>
      <c r="G1882">
        <v>502.68630000000002</v>
      </c>
      <c r="P1882">
        <v>26</v>
      </c>
      <c r="Q1882" t="s">
        <v>4084</v>
      </c>
    </row>
    <row r="1883" spans="1:17" x14ac:dyDescent="0.3">
      <c r="A1883" t="s">
        <v>17</v>
      </c>
      <c r="B1883" t="str">
        <f>"688233"</f>
        <v>688233</v>
      </c>
      <c r="C1883" t="s">
        <v>4085</v>
      </c>
      <c r="D1883" t="s">
        <v>475</v>
      </c>
      <c r="F1883">
        <v>249.70320000000001</v>
      </c>
      <c r="G1883">
        <v>483.57240000000002</v>
      </c>
      <c r="H1883">
        <v>377.75330000000002</v>
      </c>
      <c r="P1883">
        <v>170</v>
      </c>
      <c r="Q1883" t="s">
        <v>4086</v>
      </c>
    </row>
    <row r="1884" spans="1:17" x14ac:dyDescent="0.3">
      <c r="A1884" t="s">
        <v>17</v>
      </c>
      <c r="B1884" t="str">
        <f>"688234"</f>
        <v>688234</v>
      </c>
      <c r="C1884" t="s">
        <v>4087</v>
      </c>
      <c r="D1884" t="s">
        <v>475</v>
      </c>
      <c r="F1884">
        <v>403.74029999999999</v>
      </c>
      <c r="P1884">
        <v>32</v>
      </c>
      <c r="Q1884" t="s">
        <v>4088</v>
      </c>
    </row>
    <row r="1885" spans="1:17" x14ac:dyDescent="0.3">
      <c r="A1885" t="s">
        <v>17</v>
      </c>
      <c r="B1885" t="str">
        <f>"688235"</f>
        <v>688235</v>
      </c>
      <c r="C1885" t="s">
        <v>4089</v>
      </c>
      <c r="D1885" t="s">
        <v>1379</v>
      </c>
      <c r="F1885">
        <v>372.5095</v>
      </c>
      <c r="G1885">
        <v>232.09389999999999</v>
      </c>
      <c r="P1885">
        <v>58</v>
      </c>
      <c r="Q1885" t="s">
        <v>4090</v>
      </c>
    </row>
    <row r="1886" spans="1:17" x14ac:dyDescent="0.3">
      <c r="A1886" t="s">
        <v>17</v>
      </c>
      <c r="B1886" t="str">
        <f>"688236"</f>
        <v>688236</v>
      </c>
      <c r="C1886" t="s">
        <v>4091</v>
      </c>
      <c r="D1886" t="s">
        <v>1077</v>
      </c>
      <c r="F1886">
        <v>388.41840000000002</v>
      </c>
      <c r="P1886">
        <v>20</v>
      </c>
      <c r="Q1886" t="s">
        <v>4092</v>
      </c>
    </row>
    <row r="1887" spans="1:17" x14ac:dyDescent="0.3">
      <c r="A1887" t="s">
        <v>17</v>
      </c>
      <c r="B1887" t="str">
        <f>"688238"</f>
        <v>688238</v>
      </c>
      <c r="C1887" t="s">
        <v>4093</v>
      </c>
      <c r="F1887">
        <v>135.53579999999999</v>
      </c>
      <c r="P1887">
        <v>7</v>
      </c>
      <c r="Q1887" t="s">
        <v>4094</v>
      </c>
    </row>
    <row r="1888" spans="1:17" x14ac:dyDescent="0.3">
      <c r="A1888" t="s">
        <v>17</v>
      </c>
      <c r="B1888" t="str">
        <f>"688239"</f>
        <v>688239</v>
      </c>
      <c r="C1888" t="s">
        <v>4095</v>
      </c>
      <c r="D1888" t="s">
        <v>98</v>
      </c>
      <c r="F1888">
        <v>411.02260000000001</v>
      </c>
      <c r="P1888">
        <v>57</v>
      </c>
      <c r="Q1888" t="s">
        <v>4096</v>
      </c>
    </row>
    <row r="1889" spans="1:17" x14ac:dyDescent="0.3">
      <c r="A1889" t="s">
        <v>17</v>
      </c>
      <c r="B1889" t="str">
        <f>"688246"</f>
        <v>688246</v>
      </c>
      <c r="C1889" t="s">
        <v>4097</v>
      </c>
      <c r="D1889" t="s">
        <v>945</v>
      </c>
      <c r="F1889">
        <v>583.35640000000001</v>
      </c>
      <c r="P1889">
        <v>12</v>
      </c>
      <c r="Q1889" t="s">
        <v>4098</v>
      </c>
    </row>
    <row r="1890" spans="1:17" x14ac:dyDescent="0.3">
      <c r="A1890" t="s">
        <v>17</v>
      </c>
      <c r="B1890" t="str">
        <f>"688248"</f>
        <v>688248</v>
      </c>
      <c r="C1890" t="s">
        <v>4099</v>
      </c>
      <c r="D1890" t="s">
        <v>610</v>
      </c>
      <c r="F1890">
        <v>159.0087</v>
      </c>
      <c r="P1890">
        <v>14</v>
      </c>
      <c r="Q1890" t="s">
        <v>4100</v>
      </c>
    </row>
    <row r="1891" spans="1:17" x14ac:dyDescent="0.3">
      <c r="A1891" t="s">
        <v>17</v>
      </c>
      <c r="B1891" t="str">
        <f>"688255"</f>
        <v>688255</v>
      </c>
      <c r="C1891" t="s">
        <v>4101</v>
      </c>
      <c r="D1891" t="s">
        <v>2911</v>
      </c>
      <c r="F1891">
        <v>146.49279999999999</v>
      </c>
      <c r="P1891">
        <v>19</v>
      </c>
      <c r="Q1891" t="s">
        <v>4102</v>
      </c>
    </row>
    <row r="1892" spans="1:17" x14ac:dyDescent="0.3">
      <c r="A1892" t="s">
        <v>17</v>
      </c>
      <c r="B1892" t="str">
        <f>"688256"</f>
        <v>688256</v>
      </c>
      <c r="C1892" t="s">
        <v>4103</v>
      </c>
      <c r="D1892" t="s">
        <v>461</v>
      </c>
      <c r="F1892">
        <v>510.4615</v>
      </c>
      <c r="G1892">
        <v>410.17410000000001</v>
      </c>
      <c r="P1892">
        <v>192</v>
      </c>
      <c r="Q1892" t="s">
        <v>4104</v>
      </c>
    </row>
    <row r="1893" spans="1:17" x14ac:dyDescent="0.3">
      <c r="A1893" t="s">
        <v>17</v>
      </c>
      <c r="B1893" t="str">
        <f>"688257"</f>
        <v>688257</v>
      </c>
      <c r="C1893" t="s">
        <v>4105</v>
      </c>
      <c r="D1893" t="s">
        <v>274</v>
      </c>
      <c r="F1893">
        <v>188.97790000000001</v>
      </c>
      <c r="P1893">
        <v>17</v>
      </c>
      <c r="Q1893" t="s">
        <v>4106</v>
      </c>
    </row>
    <row r="1894" spans="1:17" x14ac:dyDescent="0.3">
      <c r="A1894" t="s">
        <v>17</v>
      </c>
      <c r="B1894" t="str">
        <f>"688258"</f>
        <v>688258</v>
      </c>
      <c r="C1894" t="s">
        <v>4107</v>
      </c>
      <c r="D1894" t="s">
        <v>316</v>
      </c>
      <c r="F1894">
        <v>108.68380000000001</v>
      </c>
      <c r="G1894">
        <v>94.141300000000001</v>
      </c>
      <c r="H1894">
        <v>94.452600000000004</v>
      </c>
      <c r="P1894">
        <v>2718</v>
      </c>
      <c r="Q1894" t="s">
        <v>4108</v>
      </c>
    </row>
    <row r="1895" spans="1:17" x14ac:dyDescent="0.3">
      <c r="A1895" t="s">
        <v>17</v>
      </c>
      <c r="B1895" t="str">
        <f>"688259"</f>
        <v>688259</v>
      </c>
      <c r="C1895" t="s">
        <v>4109</v>
      </c>
      <c r="D1895" t="s">
        <v>461</v>
      </c>
      <c r="F1895">
        <v>68.010000000000005</v>
      </c>
      <c r="P1895">
        <v>17</v>
      </c>
      <c r="Q1895" t="s">
        <v>4110</v>
      </c>
    </row>
    <row r="1896" spans="1:17" x14ac:dyDescent="0.3">
      <c r="A1896" t="s">
        <v>17</v>
      </c>
      <c r="B1896" t="str">
        <f>"688260"</f>
        <v>688260</v>
      </c>
      <c r="C1896" t="s">
        <v>4111</v>
      </c>
      <c r="D1896" t="s">
        <v>313</v>
      </c>
      <c r="F1896">
        <v>97.978999999999999</v>
      </c>
      <c r="P1896">
        <v>24</v>
      </c>
      <c r="Q1896" t="s">
        <v>4112</v>
      </c>
    </row>
    <row r="1897" spans="1:17" x14ac:dyDescent="0.3">
      <c r="A1897" t="s">
        <v>17</v>
      </c>
      <c r="B1897" t="str">
        <f>"688261"</f>
        <v>688261</v>
      </c>
      <c r="C1897" t="s">
        <v>4113</v>
      </c>
      <c r="F1897">
        <v>74.451999999999998</v>
      </c>
      <c r="P1897">
        <v>11</v>
      </c>
      <c r="Q1897" t="s">
        <v>4114</v>
      </c>
    </row>
    <row r="1898" spans="1:17" x14ac:dyDescent="0.3">
      <c r="A1898" t="s">
        <v>17</v>
      </c>
      <c r="B1898" t="str">
        <f>"688262"</f>
        <v>688262</v>
      </c>
      <c r="C1898" t="s">
        <v>4115</v>
      </c>
      <c r="D1898" t="s">
        <v>461</v>
      </c>
      <c r="F1898">
        <v>339.49790000000002</v>
      </c>
      <c r="P1898">
        <v>19</v>
      </c>
      <c r="Q1898" t="s">
        <v>4116</v>
      </c>
    </row>
    <row r="1899" spans="1:17" x14ac:dyDescent="0.3">
      <c r="A1899" t="s">
        <v>17</v>
      </c>
      <c r="B1899" t="str">
        <f>"688265"</f>
        <v>688265</v>
      </c>
      <c r="C1899" t="s">
        <v>4117</v>
      </c>
      <c r="D1899" t="s">
        <v>1461</v>
      </c>
      <c r="F1899">
        <v>69.001000000000005</v>
      </c>
      <c r="P1899">
        <v>17</v>
      </c>
      <c r="Q1899" t="s">
        <v>4118</v>
      </c>
    </row>
    <row r="1900" spans="1:17" x14ac:dyDescent="0.3">
      <c r="A1900" t="s">
        <v>17</v>
      </c>
      <c r="B1900" t="str">
        <f>"688266"</f>
        <v>688266</v>
      </c>
      <c r="C1900" t="s">
        <v>4119</v>
      </c>
      <c r="D1900" t="s">
        <v>143</v>
      </c>
      <c r="F1900">
        <v>3443.3942999999999</v>
      </c>
      <c r="G1900">
        <v>382090.25839999999</v>
      </c>
      <c r="P1900">
        <v>102</v>
      </c>
      <c r="Q1900" t="s">
        <v>4120</v>
      </c>
    </row>
    <row r="1901" spans="1:17" x14ac:dyDescent="0.3">
      <c r="A1901" t="s">
        <v>17</v>
      </c>
      <c r="B1901" t="str">
        <f>"688267"</f>
        <v>688267</v>
      </c>
      <c r="C1901" t="s">
        <v>4121</v>
      </c>
      <c r="F1901">
        <v>347.24950000000001</v>
      </c>
      <c r="P1901">
        <v>7</v>
      </c>
      <c r="Q1901" t="s">
        <v>4122</v>
      </c>
    </row>
    <row r="1902" spans="1:17" x14ac:dyDescent="0.3">
      <c r="A1902" t="s">
        <v>17</v>
      </c>
      <c r="B1902" t="str">
        <f>"688268"</f>
        <v>688268</v>
      </c>
      <c r="C1902" t="s">
        <v>4123</v>
      </c>
      <c r="D1902" t="s">
        <v>2399</v>
      </c>
      <c r="F1902">
        <v>82.843100000000007</v>
      </c>
      <c r="G1902">
        <v>108.3986</v>
      </c>
      <c r="H1902">
        <v>92.7286</v>
      </c>
      <c r="I1902">
        <v>39.499299999999998</v>
      </c>
      <c r="P1902">
        <v>184</v>
      </c>
      <c r="Q1902" t="s">
        <v>4124</v>
      </c>
    </row>
    <row r="1903" spans="1:17" x14ac:dyDescent="0.3">
      <c r="A1903" t="s">
        <v>17</v>
      </c>
      <c r="B1903" t="str">
        <f>"688269"</f>
        <v>688269</v>
      </c>
      <c r="C1903" t="s">
        <v>4125</v>
      </c>
      <c r="D1903" t="s">
        <v>581</v>
      </c>
      <c r="F1903">
        <v>68.524900000000002</v>
      </c>
      <c r="P1903">
        <v>58</v>
      </c>
      <c r="Q1903" t="s">
        <v>4126</v>
      </c>
    </row>
    <row r="1904" spans="1:17" x14ac:dyDescent="0.3">
      <c r="A1904" t="s">
        <v>17</v>
      </c>
      <c r="B1904" t="str">
        <f>"688270"</f>
        <v>688270</v>
      </c>
      <c r="C1904" t="s">
        <v>4127</v>
      </c>
      <c r="F1904">
        <v>556.4742</v>
      </c>
      <c r="P1904">
        <v>12</v>
      </c>
      <c r="Q1904" t="s">
        <v>4128</v>
      </c>
    </row>
    <row r="1905" spans="1:17" x14ac:dyDescent="0.3">
      <c r="A1905" t="s">
        <v>17</v>
      </c>
      <c r="B1905" t="str">
        <f>"688272"</f>
        <v>688272</v>
      </c>
      <c r="C1905" t="s">
        <v>4129</v>
      </c>
      <c r="D1905" t="s">
        <v>1136</v>
      </c>
      <c r="F1905">
        <v>512.14880000000005</v>
      </c>
      <c r="G1905">
        <v>336.04719999999998</v>
      </c>
      <c r="P1905">
        <v>11</v>
      </c>
      <c r="Q1905" t="s">
        <v>4130</v>
      </c>
    </row>
    <row r="1906" spans="1:17" x14ac:dyDescent="0.3">
      <c r="A1906" t="s">
        <v>17</v>
      </c>
      <c r="B1906" t="str">
        <f>"688276"</f>
        <v>688276</v>
      </c>
      <c r="C1906" t="s">
        <v>4131</v>
      </c>
      <c r="D1906" t="s">
        <v>1499</v>
      </c>
      <c r="F1906">
        <v>715.58960000000002</v>
      </c>
      <c r="P1906">
        <v>46</v>
      </c>
      <c r="Q1906" t="s">
        <v>4132</v>
      </c>
    </row>
    <row r="1907" spans="1:17" x14ac:dyDescent="0.3">
      <c r="A1907" t="s">
        <v>17</v>
      </c>
      <c r="B1907" t="str">
        <f>"688277"</f>
        <v>688277</v>
      </c>
      <c r="C1907" t="s">
        <v>4133</v>
      </c>
      <c r="D1907" t="s">
        <v>122</v>
      </c>
      <c r="F1907">
        <v>407.74259999999998</v>
      </c>
      <c r="G1907">
        <v>586.06209999999999</v>
      </c>
      <c r="H1907">
        <v>328.9692</v>
      </c>
      <c r="P1907">
        <v>120</v>
      </c>
      <c r="Q1907" t="s">
        <v>4134</v>
      </c>
    </row>
    <row r="1908" spans="1:17" x14ac:dyDescent="0.3">
      <c r="A1908" t="s">
        <v>17</v>
      </c>
      <c r="B1908" t="str">
        <f>"688278"</f>
        <v>688278</v>
      </c>
      <c r="C1908" t="s">
        <v>4135</v>
      </c>
      <c r="D1908" t="s">
        <v>1379</v>
      </c>
      <c r="F1908">
        <v>489.80270000000002</v>
      </c>
      <c r="G1908">
        <v>456.6943</v>
      </c>
      <c r="H1908">
        <v>363.60500000000002</v>
      </c>
      <c r="P1908">
        <v>154</v>
      </c>
      <c r="Q1908" t="s">
        <v>4136</v>
      </c>
    </row>
    <row r="1909" spans="1:17" x14ac:dyDescent="0.3">
      <c r="A1909" t="s">
        <v>17</v>
      </c>
      <c r="B1909" t="str">
        <f>"688280"</f>
        <v>688280</v>
      </c>
      <c r="C1909" t="s">
        <v>4137</v>
      </c>
      <c r="D1909" t="s">
        <v>348</v>
      </c>
      <c r="F1909">
        <v>217.5369</v>
      </c>
      <c r="P1909">
        <v>22</v>
      </c>
      <c r="Q1909" t="s">
        <v>4138</v>
      </c>
    </row>
    <row r="1910" spans="1:17" x14ac:dyDescent="0.3">
      <c r="A1910" t="s">
        <v>17</v>
      </c>
      <c r="B1910" t="str">
        <f>"688281"</f>
        <v>688281</v>
      </c>
      <c r="C1910" t="s">
        <v>4139</v>
      </c>
      <c r="F1910">
        <v>81.191900000000004</v>
      </c>
      <c r="P1910">
        <v>13</v>
      </c>
      <c r="Q1910" t="s">
        <v>4140</v>
      </c>
    </row>
    <row r="1911" spans="1:17" x14ac:dyDescent="0.3">
      <c r="A1911" t="s">
        <v>17</v>
      </c>
      <c r="B1911" t="str">
        <f>"688283"</f>
        <v>688283</v>
      </c>
      <c r="C1911" t="s">
        <v>4141</v>
      </c>
      <c r="F1911">
        <v>604.89620000000002</v>
      </c>
      <c r="P1911">
        <v>17</v>
      </c>
      <c r="Q1911" t="s">
        <v>4142</v>
      </c>
    </row>
    <row r="1912" spans="1:17" x14ac:dyDescent="0.3">
      <c r="A1912" t="s">
        <v>17</v>
      </c>
      <c r="B1912" t="str">
        <f>"688285"</f>
        <v>688285</v>
      </c>
      <c r="C1912" t="s">
        <v>4143</v>
      </c>
      <c r="D1912" t="s">
        <v>1012</v>
      </c>
      <c r="F1912">
        <v>209.15360000000001</v>
      </c>
      <c r="P1912">
        <v>14</v>
      </c>
      <c r="Q1912" t="s">
        <v>4144</v>
      </c>
    </row>
    <row r="1913" spans="1:17" x14ac:dyDescent="0.3">
      <c r="A1913" t="s">
        <v>17</v>
      </c>
      <c r="B1913" t="str">
        <f>"688286"</f>
        <v>688286</v>
      </c>
      <c r="C1913" t="s">
        <v>4145</v>
      </c>
      <c r="D1913" t="s">
        <v>401</v>
      </c>
      <c r="F1913">
        <v>302.05849999999998</v>
      </c>
      <c r="G1913">
        <v>208.7115</v>
      </c>
      <c r="H1913">
        <v>82.951800000000006</v>
      </c>
      <c r="P1913">
        <v>91</v>
      </c>
      <c r="Q1913" t="s">
        <v>4146</v>
      </c>
    </row>
    <row r="1914" spans="1:17" x14ac:dyDescent="0.3">
      <c r="A1914" t="s">
        <v>17</v>
      </c>
      <c r="B1914" t="str">
        <f>"688288"</f>
        <v>688288</v>
      </c>
      <c r="C1914" t="s">
        <v>4147</v>
      </c>
      <c r="D1914" t="s">
        <v>236</v>
      </c>
      <c r="F1914">
        <v>183.97370000000001</v>
      </c>
      <c r="G1914">
        <v>101.8458</v>
      </c>
      <c r="H1914">
        <v>116.07550000000001</v>
      </c>
      <c r="P1914">
        <v>110</v>
      </c>
      <c r="Q1914" t="s">
        <v>4148</v>
      </c>
    </row>
    <row r="1915" spans="1:17" x14ac:dyDescent="0.3">
      <c r="A1915" t="s">
        <v>17</v>
      </c>
      <c r="B1915" t="str">
        <f>"688289"</f>
        <v>688289</v>
      </c>
      <c r="C1915" t="s">
        <v>4149</v>
      </c>
      <c r="D1915" t="s">
        <v>1305</v>
      </c>
      <c r="F1915">
        <v>155.35409999999999</v>
      </c>
      <c r="G1915">
        <v>82.629400000000004</v>
      </c>
      <c r="P1915">
        <v>209</v>
      </c>
      <c r="Q1915" t="s">
        <v>4150</v>
      </c>
    </row>
    <row r="1916" spans="1:17" x14ac:dyDescent="0.3">
      <c r="A1916" t="s">
        <v>17</v>
      </c>
      <c r="B1916" t="str">
        <f>"688296"</f>
        <v>688296</v>
      </c>
      <c r="C1916" t="s">
        <v>4151</v>
      </c>
      <c r="D1916" t="s">
        <v>945</v>
      </c>
      <c r="F1916">
        <v>178.92439999999999</v>
      </c>
      <c r="P1916">
        <v>24</v>
      </c>
      <c r="Q1916" t="s">
        <v>4152</v>
      </c>
    </row>
    <row r="1917" spans="1:17" x14ac:dyDescent="0.3">
      <c r="A1917" t="s">
        <v>17</v>
      </c>
      <c r="B1917" t="str">
        <f>"688298"</f>
        <v>688298</v>
      </c>
      <c r="C1917" t="s">
        <v>4153</v>
      </c>
      <c r="D1917" t="s">
        <v>1305</v>
      </c>
      <c r="F1917">
        <v>90.554000000000002</v>
      </c>
      <c r="G1917">
        <v>312.03269999999998</v>
      </c>
      <c r="H1917">
        <v>191.57089999999999</v>
      </c>
      <c r="P1917">
        <v>477</v>
      </c>
      <c r="Q1917" t="s">
        <v>4154</v>
      </c>
    </row>
    <row r="1918" spans="1:17" x14ac:dyDescent="0.3">
      <c r="A1918" t="s">
        <v>17</v>
      </c>
      <c r="B1918" t="str">
        <f>"688299"</f>
        <v>688299</v>
      </c>
      <c r="C1918" t="s">
        <v>4155</v>
      </c>
      <c r="D1918" t="s">
        <v>1117</v>
      </c>
      <c r="F1918">
        <v>78.653199999999998</v>
      </c>
      <c r="G1918">
        <v>67.900599999999997</v>
      </c>
      <c r="H1918">
        <v>70.531199999999998</v>
      </c>
      <c r="I1918">
        <v>33.179299999999998</v>
      </c>
      <c r="P1918">
        <v>239</v>
      </c>
      <c r="Q1918" t="s">
        <v>4156</v>
      </c>
    </row>
    <row r="1919" spans="1:17" x14ac:dyDescent="0.3">
      <c r="A1919" t="s">
        <v>17</v>
      </c>
      <c r="B1919" t="str">
        <f>"688300"</f>
        <v>688300</v>
      </c>
      <c r="C1919" t="s">
        <v>4157</v>
      </c>
      <c r="D1919" t="s">
        <v>2739</v>
      </c>
      <c r="F1919">
        <v>84.678899999999999</v>
      </c>
      <c r="G1919">
        <v>108.12</v>
      </c>
      <c r="H1919">
        <v>158.6951</v>
      </c>
      <c r="I1919">
        <v>69.592399999999998</v>
      </c>
      <c r="P1919">
        <v>196</v>
      </c>
      <c r="Q1919" t="s">
        <v>4158</v>
      </c>
    </row>
    <row r="1920" spans="1:17" x14ac:dyDescent="0.3">
      <c r="A1920" t="s">
        <v>17</v>
      </c>
      <c r="B1920" t="str">
        <f>"688301"</f>
        <v>688301</v>
      </c>
      <c r="C1920" t="s">
        <v>4159</v>
      </c>
      <c r="D1920" t="s">
        <v>122</v>
      </c>
      <c r="F1920">
        <v>234.90710000000001</v>
      </c>
      <c r="G1920">
        <v>202.66319999999999</v>
      </c>
      <c r="P1920">
        <v>178</v>
      </c>
      <c r="Q1920" t="s">
        <v>4160</v>
      </c>
    </row>
    <row r="1921" spans="1:17" x14ac:dyDescent="0.3">
      <c r="A1921" t="s">
        <v>17</v>
      </c>
      <c r="B1921" t="str">
        <f>"688303"</f>
        <v>688303</v>
      </c>
      <c r="C1921" t="s">
        <v>4161</v>
      </c>
      <c r="D1921" t="s">
        <v>929</v>
      </c>
      <c r="F1921">
        <v>43.957299999999996</v>
      </c>
      <c r="G1921">
        <v>56.8367</v>
      </c>
      <c r="P1921">
        <v>109</v>
      </c>
      <c r="Q1921" t="s">
        <v>4162</v>
      </c>
    </row>
    <row r="1922" spans="1:17" x14ac:dyDescent="0.3">
      <c r="A1922" t="s">
        <v>17</v>
      </c>
      <c r="B1922" t="str">
        <f>"688305"</f>
        <v>688305</v>
      </c>
      <c r="C1922" t="s">
        <v>4163</v>
      </c>
      <c r="D1922" t="s">
        <v>2312</v>
      </c>
      <c r="F1922">
        <v>874.94069999999999</v>
      </c>
      <c r="P1922">
        <v>79</v>
      </c>
      <c r="Q1922" t="s">
        <v>4164</v>
      </c>
    </row>
    <row r="1923" spans="1:17" x14ac:dyDescent="0.3">
      <c r="A1923" t="s">
        <v>17</v>
      </c>
      <c r="B1923" t="str">
        <f>"688306"</f>
        <v>688306</v>
      </c>
      <c r="C1923" t="s">
        <v>4165</v>
      </c>
      <c r="F1923">
        <v>395.87520000000001</v>
      </c>
      <c r="P1923">
        <v>3</v>
      </c>
      <c r="Q1923" t="s">
        <v>4166</v>
      </c>
    </row>
    <row r="1924" spans="1:17" x14ac:dyDescent="0.3">
      <c r="A1924" t="s">
        <v>17</v>
      </c>
      <c r="B1924" t="str">
        <f>"688308"</f>
        <v>688308</v>
      </c>
      <c r="C1924" t="s">
        <v>4167</v>
      </c>
      <c r="D1924" t="s">
        <v>274</v>
      </c>
      <c r="F1924">
        <v>158.93680000000001</v>
      </c>
      <c r="G1924">
        <v>175.15539999999999</v>
      </c>
      <c r="P1924">
        <v>91</v>
      </c>
      <c r="Q1924" t="s">
        <v>4168</v>
      </c>
    </row>
    <row r="1925" spans="1:17" x14ac:dyDescent="0.3">
      <c r="A1925" t="s">
        <v>17</v>
      </c>
      <c r="B1925" t="str">
        <f>"688309"</f>
        <v>688309</v>
      </c>
      <c r="C1925" t="s">
        <v>4169</v>
      </c>
      <c r="D1925" t="s">
        <v>1070</v>
      </c>
      <c r="F1925">
        <v>176.31780000000001</v>
      </c>
      <c r="G1925">
        <v>471.61180000000002</v>
      </c>
      <c r="H1925">
        <v>72.050899999999999</v>
      </c>
      <c r="P1925">
        <v>30</v>
      </c>
      <c r="Q1925" t="s">
        <v>4170</v>
      </c>
    </row>
    <row r="1926" spans="1:17" x14ac:dyDescent="0.3">
      <c r="A1926" t="s">
        <v>17</v>
      </c>
      <c r="B1926" t="str">
        <f>"688310"</f>
        <v>688310</v>
      </c>
      <c r="C1926" t="s">
        <v>4171</v>
      </c>
      <c r="D1926" t="s">
        <v>3450</v>
      </c>
      <c r="F1926">
        <v>393.65440000000001</v>
      </c>
      <c r="G1926">
        <v>568.83339999999998</v>
      </c>
      <c r="H1926">
        <v>500.79140000000001</v>
      </c>
      <c r="I1926">
        <v>205.7038</v>
      </c>
      <c r="P1926">
        <v>92</v>
      </c>
      <c r="Q1926" t="s">
        <v>4172</v>
      </c>
    </row>
    <row r="1927" spans="1:17" x14ac:dyDescent="0.3">
      <c r="A1927" t="s">
        <v>17</v>
      </c>
      <c r="B1927" t="str">
        <f>"688311"</f>
        <v>688311</v>
      </c>
      <c r="C1927" t="s">
        <v>4173</v>
      </c>
      <c r="D1927" t="s">
        <v>1136</v>
      </c>
      <c r="F1927">
        <v>668.74670000000003</v>
      </c>
      <c r="G1927">
        <v>894.05930000000001</v>
      </c>
      <c r="P1927">
        <v>74</v>
      </c>
      <c r="Q1927" t="s">
        <v>4174</v>
      </c>
    </row>
    <row r="1928" spans="1:17" x14ac:dyDescent="0.3">
      <c r="A1928" t="s">
        <v>17</v>
      </c>
      <c r="B1928" t="str">
        <f>"688312"</f>
        <v>688312</v>
      </c>
      <c r="C1928" t="s">
        <v>4175</v>
      </c>
      <c r="D1928" t="s">
        <v>741</v>
      </c>
      <c r="F1928">
        <v>290.41680000000002</v>
      </c>
      <c r="G1928">
        <v>356.50659999999999</v>
      </c>
      <c r="H1928">
        <v>262.53489999999999</v>
      </c>
      <c r="P1928">
        <v>64</v>
      </c>
      <c r="Q1928" t="s">
        <v>4176</v>
      </c>
    </row>
    <row r="1929" spans="1:17" x14ac:dyDescent="0.3">
      <c r="A1929" t="s">
        <v>17</v>
      </c>
      <c r="B1929" t="str">
        <f>"688313"</f>
        <v>688313</v>
      </c>
      <c r="C1929" t="s">
        <v>4177</v>
      </c>
      <c r="D1929" t="s">
        <v>1019</v>
      </c>
      <c r="F1929">
        <v>141.1884</v>
      </c>
      <c r="G1929">
        <v>133.7208</v>
      </c>
      <c r="P1929">
        <v>50</v>
      </c>
      <c r="Q1929" t="s">
        <v>4178</v>
      </c>
    </row>
    <row r="1930" spans="1:17" x14ac:dyDescent="0.3">
      <c r="A1930" t="s">
        <v>17</v>
      </c>
      <c r="B1930" t="str">
        <f>"688314"</f>
        <v>688314</v>
      </c>
      <c r="C1930" t="s">
        <v>4179</v>
      </c>
      <c r="D1930" t="s">
        <v>1077</v>
      </c>
      <c r="F1930">
        <v>507.76139999999998</v>
      </c>
      <c r="P1930">
        <v>53</v>
      </c>
      <c r="Q1930" t="s">
        <v>4180</v>
      </c>
    </row>
    <row r="1931" spans="1:17" x14ac:dyDescent="0.3">
      <c r="A1931" t="s">
        <v>17</v>
      </c>
      <c r="B1931" t="str">
        <f>"688315"</f>
        <v>688315</v>
      </c>
      <c r="C1931" t="s">
        <v>4181</v>
      </c>
      <c r="D1931" t="s">
        <v>4182</v>
      </c>
      <c r="F1931">
        <v>110.6712</v>
      </c>
      <c r="P1931">
        <v>46</v>
      </c>
      <c r="Q1931" t="s">
        <v>4183</v>
      </c>
    </row>
    <row r="1932" spans="1:17" x14ac:dyDescent="0.3">
      <c r="A1932" t="s">
        <v>17</v>
      </c>
      <c r="B1932" t="str">
        <f>"688316"</f>
        <v>688316</v>
      </c>
      <c r="C1932" t="s">
        <v>4184</v>
      </c>
      <c r="D1932" t="s">
        <v>316</v>
      </c>
      <c r="F1932">
        <v>1.4529000000000001</v>
      </c>
      <c r="G1932">
        <v>1.2793000000000001</v>
      </c>
      <c r="P1932">
        <v>31</v>
      </c>
      <c r="Q1932" t="s">
        <v>4185</v>
      </c>
    </row>
    <row r="1933" spans="1:17" x14ac:dyDescent="0.3">
      <c r="A1933" t="s">
        <v>17</v>
      </c>
      <c r="B1933" t="str">
        <f>"688317"</f>
        <v>688317</v>
      </c>
      <c r="C1933" t="s">
        <v>4186</v>
      </c>
      <c r="D1933" t="s">
        <v>1305</v>
      </c>
      <c r="F1933">
        <v>164.3854</v>
      </c>
      <c r="G1933">
        <v>97.481399999999994</v>
      </c>
      <c r="P1933">
        <v>120</v>
      </c>
      <c r="Q1933" t="s">
        <v>4187</v>
      </c>
    </row>
    <row r="1934" spans="1:17" x14ac:dyDescent="0.3">
      <c r="A1934" t="s">
        <v>17</v>
      </c>
      <c r="B1934" t="str">
        <f>"688318"</f>
        <v>688318</v>
      </c>
      <c r="C1934" t="s">
        <v>4188</v>
      </c>
      <c r="D1934" t="s">
        <v>945</v>
      </c>
      <c r="F1934">
        <v>7.3243999999999998</v>
      </c>
      <c r="G1934">
        <v>0</v>
      </c>
      <c r="P1934">
        <v>155</v>
      </c>
      <c r="Q1934" t="s">
        <v>4189</v>
      </c>
    </row>
    <row r="1935" spans="1:17" x14ac:dyDescent="0.3">
      <c r="A1935" t="s">
        <v>17</v>
      </c>
      <c r="B1935" t="str">
        <f>"688319"</f>
        <v>688319</v>
      </c>
      <c r="C1935" t="s">
        <v>4190</v>
      </c>
      <c r="D1935" t="s">
        <v>1499</v>
      </c>
      <c r="F1935">
        <v>969.68719999999996</v>
      </c>
      <c r="P1935">
        <v>46</v>
      </c>
      <c r="Q1935" t="s">
        <v>4191</v>
      </c>
    </row>
    <row r="1936" spans="1:17" x14ac:dyDescent="0.3">
      <c r="A1936" t="s">
        <v>17</v>
      </c>
      <c r="B1936" t="str">
        <f>"688321"</f>
        <v>688321</v>
      </c>
      <c r="C1936" t="s">
        <v>4192</v>
      </c>
      <c r="D1936" t="s">
        <v>143</v>
      </c>
      <c r="F1936">
        <v>411.82479999999998</v>
      </c>
      <c r="G1936">
        <v>463.2611</v>
      </c>
      <c r="H1936">
        <v>651.51430000000005</v>
      </c>
      <c r="P1936">
        <v>157</v>
      </c>
      <c r="Q1936" t="s">
        <v>4193</v>
      </c>
    </row>
    <row r="1937" spans="1:17" x14ac:dyDescent="0.3">
      <c r="A1937" t="s">
        <v>17</v>
      </c>
      <c r="B1937" t="str">
        <f>"688323"</f>
        <v>688323</v>
      </c>
      <c r="C1937" t="s">
        <v>4194</v>
      </c>
      <c r="D1937" t="s">
        <v>324</v>
      </c>
      <c r="F1937">
        <v>75.728200000000001</v>
      </c>
      <c r="P1937">
        <v>26</v>
      </c>
      <c r="Q1937" t="s">
        <v>4195</v>
      </c>
    </row>
    <row r="1938" spans="1:17" x14ac:dyDescent="0.3">
      <c r="A1938" t="s">
        <v>17</v>
      </c>
      <c r="B1938" t="str">
        <f>"688326"</f>
        <v>688326</v>
      </c>
      <c r="C1938" t="s">
        <v>4196</v>
      </c>
      <c r="F1938">
        <v>282.75810000000001</v>
      </c>
      <c r="P1938">
        <v>3</v>
      </c>
      <c r="Q1938" t="s">
        <v>4197</v>
      </c>
    </row>
    <row r="1939" spans="1:17" x14ac:dyDescent="0.3">
      <c r="A1939" t="s">
        <v>17</v>
      </c>
      <c r="B1939" t="str">
        <f>"688328"</f>
        <v>688328</v>
      </c>
      <c r="C1939" t="s">
        <v>4198</v>
      </c>
      <c r="D1939" t="s">
        <v>741</v>
      </c>
      <c r="F1939">
        <v>200.66849999999999</v>
      </c>
      <c r="P1939">
        <v>39</v>
      </c>
      <c r="Q1939" t="s">
        <v>4199</v>
      </c>
    </row>
    <row r="1940" spans="1:17" x14ac:dyDescent="0.3">
      <c r="A1940" t="s">
        <v>17</v>
      </c>
      <c r="B1940" t="str">
        <f>"688329"</f>
        <v>688329</v>
      </c>
      <c r="C1940" t="s">
        <v>4200</v>
      </c>
      <c r="D1940" t="s">
        <v>3450</v>
      </c>
      <c r="F1940">
        <v>291.00479999999999</v>
      </c>
      <c r="P1940">
        <v>43</v>
      </c>
      <c r="Q1940" t="s">
        <v>4201</v>
      </c>
    </row>
    <row r="1941" spans="1:17" x14ac:dyDescent="0.3">
      <c r="A1941" t="s">
        <v>17</v>
      </c>
      <c r="B1941" t="str">
        <f>"688330"</f>
        <v>688330</v>
      </c>
      <c r="C1941" t="s">
        <v>4202</v>
      </c>
      <c r="D1941" t="s">
        <v>610</v>
      </c>
      <c r="F1941">
        <v>360.54509999999999</v>
      </c>
      <c r="G1941">
        <v>388.67079999999999</v>
      </c>
      <c r="H1941">
        <v>389.93889999999999</v>
      </c>
      <c r="P1941">
        <v>90</v>
      </c>
      <c r="Q1941" t="s">
        <v>4203</v>
      </c>
    </row>
    <row r="1942" spans="1:17" x14ac:dyDescent="0.3">
      <c r="A1942" t="s">
        <v>17</v>
      </c>
      <c r="B1942" t="str">
        <f>"688331"</f>
        <v>688331</v>
      </c>
      <c r="C1942" t="s">
        <v>4204</v>
      </c>
      <c r="F1942">
        <v>4596.3764000000001</v>
      </c>
      <c r="P1942">
        <v>5</v>
      </c>
      <c r="Q1942" t="s">
        <v>4205</v>
      </c>
    </row>
    <row r="1943" spans="1:17" x14ac:dyDescent="0.3">
      <c r="A1943" t="s">
        <v>17</v>
      </c>
      <c r="B1943" t="str">
        <f>"688333"</f>
        <v>688333</v>
      </c>
      <c r="C1943" t="s">
        <v>4206</v>
      </c>
      <c r="D1943" t="s">
        <v>2312</v>
      </c>
      <c r="F1943">
        <v>823.33929999999998</v>
      </c>
      <c r="G1943">
        <v>653.52099999999996</v>
      </c>
      <c r="H1943">
        <v>480.29939999999999</v>
      </c>
      <c r="P1943">
        <v>117</v>
      </c>
      <c r="Q1943" t="s">
        <v>4207</v>
      </c>
    </row>
    <row r="1944" spans="1:17" x14ac:dyDescent="0.3">
      <c r="A1944" t="s">
        <v>17</v>
      </c>
      <c r="B1944" t="str">
        <f>"688335"</f>
        <v>688335</v>
      </c>
      <c r="C1944" t="s">
        <v>4208</v>
      </c>
      <c r="D1944" t="s">
        <v>33</v>
      </c>
      <c r="F1944">
        <v>184.05279999999999</v>
      </c>
      <c r="G1944">
        <v>192.12639999999999</v>
      </c>
      <c r="H1944">
        <v>186.60409999999999</v>
      </c>
      <c r="P1944">
        <v>61</v>
      </c>
      <c r="Q1944" t="s">
        <v>4209</v>
      </c>
    </row>
    <row r="1945" spans="1:17" x14ac:dyDescent="0.3">
      <c r="A1945" t="s">
        <v>17</v>
      </c>
      <c r="B1945" t="str">
        <f>"688336"</f>
        <v>688336</v>
      </c>
      <c r="C1945" t="s">
        <v>4210</v>
      </c>
      <c r="D1945" t="s">
        <v>1379</v>
      </c>
      <c r="F1945">
        <v>623.26829999999995</v>
      </c>
      <c r="G1945">
        <v>908.46310000000005</v>
      </c>
      <c r="H1945">
        <v>226.81559999999999</v>
      </c>
      <c r="P1945">
        <v>52</v>
      </c>
      <c r="Q1945" t="s">
        <v>4211</v>
      </c>
    </row>
    <row r="1946" spans="1:17" x14ac:dyDescent="0.3">
      <c r="A1946" t="s">
        <v>17</v>
      </c>
      <c r="B1946" t="str">
        <f>"688338"</f>
        <v>688338</v>
      </c>
      <c r="C1946" t="s">
        <v>4212</v>
      </c>
      <c r="D1946" t="s">
        <v>1305</v>
      </c>
      <c r="F1946">
        <v>203.06700000000001</v>
      </c>
      <c r="G1946">
        <v>199.71700000000001</v>
      </c>
      <c r="P1946">
        <v>56</v>
      </c>
      <c r="Q1946" t="s">
        <v>4213</v>
      </c>
    </row>
    <row r="1947" spans="1:17" x14ac:dyDescent="0.3">
      <c r="A1947" t="s">
        <v>17</v>
      </c>
      <c r="B1947" t="str">
        <f>"688339"</f>
        <v>688339</v>
      </c>
      <c r="C1947" t="s">
        <v>4214</v>
      </c>
      <c r="D1947" t="s">
        <v>4215</v>
      </c>
      <c r="F1947">
        <v>302.26710000000003</v>
      </c>
      <c r="G1947">
        <v>939.24099999999999</v>
      </c>
      <c r="H1947">
        <v>743.1825</v>
      </c>
      <c r="P1947">
        <v>153</v>
      </c>
      <c r="Q1947" t="s">
        <v>4216</v>
      </c>
    </row>
    <row r="1948" spans="1:17" x14ac:dyDescent="0.3">
      <c r="A1948" t="s">
        <v>17</v>
      </c>
      <c r="B1948" t="str">
        <f>"688345"</f>
        <v>688345</v>
      </c>
      <c r="C1948" t="s">
        <v>4217</v>
      </c>
      <c r="D1948" t="s">
        <v>359</v>
      </c>
      <c r="F1948">
        <v>138.14619999999999</v>
      </c>
      <c r="P1948">
        <v>39</v>
      </c>
      <c r="Q1948" t="s">
        <v>4218</v>
      </c>
    </row>
    <row r="1949" spans="1:17" x14ac:dyDescent="0.3">
      <c r="A1949" t="s">
        <v>17</v>
      </c>
      <c r="B1949" t="str">
        <f>"688350"</f>
        <v>688350</v>
      </c>
      <c r="C1949" t="s">
        <v>4219</v>
      </c>
      <c r="D1949" t="s">
        <v>386</v>
      </c>
      <c r="F1949">
        <v>57.8566</v>
      </c>
      <c r="G1949">
        <v>64.679699999999997</v>
      </c>
      <c r="P1949">
        <v>34</v>
      </c>
      <c r="Q1949" t="s">
        <v>4220</v>
      </c>
    </row>
    <row r="1950" spans="1:17" x14ac:dyDescent="0.3">
      <c r="A1950" t="s">
        <v>17</v>
      </c>
      <c r="B1950" t="str">
        <f>"688355"</f>
        <v>688355</v>
      </c>
      <c r="C1950" t="s">
        <v>4221</v>
      </c>
      <c r="D1950" t="s">
        <v>274</v>
      </c>
      <c r="F1950">
        <v>200.67859999999999</v>
      </c>
      <c r="P1950">
        <v>21</v>
      </c>
      <c r="Q1950" t="s">
        <v>4222</v>
      </c>
    </row>
    <row r="1951" spans="1:17" x14ac:dyDescent="0.3">
      <c r="A1951" t="s">
        <v>17</v>
      </c>
      <c r="B1951" t="str">
        <f>"688356"</f>
        <v>688356</v>
      </c>
      <c r="C1951" t="s">
        <v>4223</v>
      </c>
      <c r="D1951" t="s">
        <v>496</v>
      </c>
      <c r="F1951">
        <v>300.02760000000001</v>
      </c>
      <c r="G1951">
        <v>404.99119999999999</v>
      </c>
      <c r="P1951">
        <v>152</v>
      </c>
      <c r="Q1951" t="s">
        <v>4224</v>
      </c>
    </row>
    <row r="1952" spans="1:17" x14ac:dyDescent="0.3">
      <c r="A1952" t="s">
        <v>17</v>
      </c>
      <c r="B1952" t="str">
        <f>"688357"</f>
        <v>688357</v>
      </c>
      <c r="C1952" t="s">
        <v>4225</v>
      </c>
      <c r="D1952" t="s">
        <v>2739</v>
      </c>
      <c r="F1952">
        <v>89.235200000000006</v>
      </c>
      <c r="G1952">
        <v>145.59710000000001</v>
      </c>
      <c r="H1952">
        <v>123.13809999999999</v>
      </c>
      <c r="I1952">
        <v>48.238</v>
      </c>
      <c r="P1952">
        <v>157</v>
      </c>
      <c r="Q1952" t="s">
        <v>4226</v>
      </c>
    </row>
    <row r="1953" spans="1:17" x14ac:dyDescent="0.3">
      <c r="A1953" t="s">
        <v>17</v>
      </c>
      <c r="B1953" t="str">
        <f>"688358"</f>
        <v>688358</v>
      </c>
      <c r="C1953" t="s">
        <v>4227</v>
      </c>
      <c r="D1953" t="s">
        <v>122</v>
      </c>
      <c r="F1953">
        <v>286.65710000000001</v>
      </c>
      <c r="G1953">
        <v>275.08839999999998</v>
      </c>
      <c r="H1953">
        <v>243.24709999999999</v>
      </c>
      <c r="P1953">
        <v>122</v>
      </c>
      <c r="Q1953" t="s">
        <v>4228</v>
      </c>
    </row>
    <row r="1954" spans="1:17" x14ac:dyDescent="0.3">
      <c r="A1954" t="s">
        <v>17</v>
      </c>
      <c r="B1954" t="str">
        <f>"688359"</f>
        <v>688359</v>
      </c>
      <c r="C1954" t="s">
        <v>4229</v>
      </c>
      <c r="D1954" t="s">
        <v>2399</v>
      </c>
      <c r="F1954">
        <v>77.652799999999999</v>
      </c>
      <c r="G1954">
        <v>91.067300000000003</v>
      </c>
      <c r="P1954">
        <v>23</v>
      </c>
      <c r="Q1954" t="s">
        <v>4230</v>
      </c>
    </row>
    <row r="1955" spans="1:17" x14ac:dyDescent="0.3">
      <c r="A1955" t="s">
        <v>17</v>
      </c>
      <c r="B1955" t="str">
        <f>"688360"</f>
        <v>688360</v>
      </c>
      <c r="C1955" t="s">
        <v>4231</v>
      </c>
      <c r="D1955" t="s">
        <v>560</v>
      </c>
      <c r="F1955">
        <v>271.59960000000001</v>
      </c>
      <c r="G1955">
        <v>333.79849999999999</v>
      </c>
      <c r="H1955">
        <v>95.085099999999997</v>
      </c>
      <c r="P1955">
        <v>84</v>
      </c>
      <c r="Q1955" t="s">
        <v>4232</v>
      </c>
    </row>
    <row r="1956" spans="1:17" x14ac:dyDescent="0.3">
      <c r="A1956" t="s">
        <v>17</v>
      </c>
      <c r="B1956" t="str">
        <f>"688363"</f>
        <v>688363</v>
      </c>
      <c r="C1956" t="s">
        <v>4233</v>
      </c>
      <c r="D1956" t="s">
        <v>4234</v>
      </c>
      <c r="F1956">
        <v>306.9522</v>
      </c>
      <c r="G1956">
        <v>429.74680000000001</v>
      </c>
      <c r="H1956">
        <v>294.59190000000001</v>
      </c>
      <c r="P1956">
        <v>1156</v>
      </c>
      <c r="Q1956" t="s">
        <v>4235</v>
      </c>
    </row>
    <row r="1957" spans="1:17" x14ac:dyDescent="0.3">
      <c r="A1957" t="s">
        <v>17</v>
      </c>
      <c r="B1957" t="str">
        <f>"688365"</f>
        <v>688365</v>
      </c>
      <c r="C1957" t="s">
        <v>4236</v>
      </c>
      <c r="D1957" t="s">
        <v>316</v>
      </c>
      <c r="F1957">
        <v>26.431000000000001</v>
      </c>
      <c r="G1957">
        <v>21.671399999999998</v>
      </c>
      <c r="H1957">
        <v>27.050799999999999</v>
      </c>
      <c r="P1957">
        <v>72</v>
      </c>
      <c r="Q1957" t="s">
        <v>4237</v>
      </c>
    </row>
    <row r="1958" spans="1:17" x14ac:dyDescent="0.3">
      <c r="A1958" t="s">
        <v>17</v>
      </c>
      <c r="B1958" t="str">
        <f>"688366"</f>
        <v>688366</v>
      </c>
      <c r="C1958" t="s">
        <v>4238</v>
      </c>
      <c r="D1958" t="s">
        <v>1077</v>
      </c>
      <c r="F1958">
        <v>312.30860000000001</v>
      </c>
      <c r="G1958">
        <v>452.11750000000001</v>
      </c>
      <c r="H1958">
        <v>313.01249999999999</v>
      </c>
      <c r="P1958">
        <v>265</v>
      </c>
      <c r="Q1958" t="s">
        <v>4239</v>
      </c>
    </row>
    <row r="1959" spans="1:17" x14ac:dyDescent="0.3">
      <c r="A1959" t="s">
        <v>17</v>
      </c>
      <c r="B1959" t="str">
        <f>"688367"</f>
        <v>688367</v>
      </c>
      <c r="C1959" t="s">
        <v>4240</v>
      </c>
      <c r="D1959" t="s">
        <v>1012</v>
      </c>
      <c r="F1959">
        <v>276.94510000000002</v>
      </c>
      <c r="P1959">
        <v>30</v>
      </c>
      <c r="Q1959" t="s">
        <v>4241</v>
      </c>
    </row>
    <row r="1960" spans="1:17" x14ac:dyDescent="0.3">
      <c r="A1960" t="s">
        <v>17</v>
      </c>
      <c r="B1960" t="str">
        <f>"688368"</f>
        <v>688368</v>
      </c>
      <c r="C1960" t="s">
        <v>4242</v>
      </c>
      <c r="D1960" t="s">
        <v>401</v>
      </c>
      <c r="F1960">
        <v>74.48</v>
      </c>
      <c r="G1960">
        <v>93.894999999999996</v>
      </c>
      <c r="H1960">
        <v>78.577200000000005</v>
      </c>
      <c r="P1960">
        <v>213</v>
      </c>
      <c r="Q1960" t="s">
        <v>4243</v>
      </c>
    </row>
    <row r="1961" spans="1:17" x14ac:dyDescent="0.3">
      <c r="A1961" t="s">
        <v>17</v>
      </c>
      <c r="B1961" t="str">
        <f>"688369"</f>
        <v>688369</v>
      </c>
      <c r="C1961" t="s">
        <v>4244</v>
      </c>
      <c r="D1961" t="s">
        <v>1189</v>
      </c>
      <c r="F1961">
        <v>14.525499999999999</v>
      </c>
      <c r="G1961">
        <v>27.060199999999998</v>
      </c>
      <c r="H1961">
        <v>26.846399999999999</v>
      </c>
      <c r="P1961">
        <v>168</v>
      </c>
      <c r="Q1961" t="s">
        <v>4245</v>
      </c>
    </row>
    <row r="1962" spans="1:17" x14ac:dyDescent="0.3">
      <c r="A1962" t="s">
        <v>17</v>
      </c>
      <c r="B1962" t="str">
        <f>"688377"</f>
        <v>688377</v>
      </c>
      <c r="C1962" t="s">
        <v>4246</v>
      </c>
      <c r="D1962" t="s">
        <v>395</v>
      </c>
      <c r="F1962">
        <v>278.78320000000002</v>
      </c>
      <c r="G1962">
        <v>191.95140000000001</v>
      </c>
      <c r="P1962">
        <v>52</v>
      </c>
      <c r="Q1962" t="s">
        <v>4247</v>
      </c>
    </row>
    <row r="1963" spans="1:17" x14ac:dyDescent="0.3">
      <c r="A1963" t="s">
        <v>17</v>
      </c>
      <c r="B1963" t="str">
        <f>"688378"</f>
        <v>688378</v>
      </c>
      <c r="C1963" t="s">
        <v>4248</v>
      </c>
      <c r="D1963" t="s">
        <v>741</v>
      </c>
      <c r="F1963">
        <v>408.48289999999997</v>
      </c>
      <c r="G1963">
        <v>799.09050000000002</v>
      </c>
      <c r="H1963">
        <v>401.36279999999999</v>
      </c>
      <c r="P1963">
        <v>50</v>
      </c>
      <c r="Q1963" t="s">
        <v>4249</v>
      </c>
    </row>
    <row r="1964" spans="1:17" x14ac:dyDescent="0.3">
      <c r="A1964" t="s">
        <v>17</v>
      </c>
      <c r="B1964" t="str">
        <f>"688379"</f>
        <v>688379</v>
      </c>
      <c r="C1964" t="s">
        <v>4250</v>
      </c>
      <c r="D1964" t="s">
        <v>274</v>
      </c>
      <c r="F1964">
        <v>144.69909999999999</v>
      </c>
      <c r="G1964">
        <v>157.92519999999999</v>
      </c>
      <c r="H1964">
        <v>60.689300000000003</v>
      </c>
      <c r="P1964">
        <v>36</v>
      </c>
      <c r="Q1964" t="s">
        <v>4251</v>
      </c>
    </row>
    <row r="1965" spans="1:17" x14ac:dyDescent="0.3">
      <c r="A1965" t="s">
        <v>17</v>
      </c>
      <c r="B1965" t="str">
        <f>"688383"</f>
        <v>688383</v>
      </c>
      <c r="C1965" t="s">
        <v>4252</v>
      </c>
      <c r="D1965" t="s">
        <v>741</v>
      </c>
      <c r="F1965">
        <v>479.12090000000001</v>
      </c>
      <c r="P1965">
        <v>49</v>
      </c>
      <c r="Q1965" t="s">
        <v>4253</v>
      </c>
    </row>
    <row r="1966" spans="1:17" x14ac:dyDescent="0.3">
      <c r="A1966" t="s">
        <v>17</v>
      </c>
      <c r="B1966" t="str">
        <f>"688385"</f>
        <v>688385</v>
      </c>
      <c r="C1966" t="s">
        <v>4254</v>
      </c>
      <c r="D1966" t="s">
        <v>461</v>
      </c>
      <c r="F1966">
        <v>343.26179999999999</v>
      </c>
      <c r="P1966">
        <v>47</v>
      </c>
      <c r="Q1966" t="s">
        <v>4255</v>
      </c>
    </row>
    <row r="1967" spans="1:17" x14ac:dyDescent="0.3">
      <c r="A1967" t="s">
        <v>17</v>
      </c>
      <c r="B1967" t="str">
        <f>"688386"</f>
        <v>688386</v>
      </c>
      <c r="C1967" t="s">
        <v>4256</v>
      </c>
      <c r="D1967" t="s">
        <v>324</v>
      </c>
      <c r="F1967">
        <v>185.0753</v>
      </c>
      <c r="G1967">
        <v>153.93870000000001</v>
      </c>
      <c r="P1967">
        <v>43</v>
      </c>
      <c r="Q1967" t="s">
        <v>4257</v>
      </c>
    </row>
    <row r="1968" spans="1:17" x14ac:dyDescent="0.3">
      <c r="A1968" t="s">
        <v>17</v>
      </c>
      <c r="B1968" t="str">
        <f>"688388"</f>
        <v>688388</v>
      </c>
      <c r="C1968" t="s">
        <v>4258</v>
      </c>
      <c r="D1968" t="s">
        <v>263</v>
      </c>
      <c r="F1968">
        <v>56.963500000000003</v>
      </c>
      <c r="G1968">
        <v>108.3312</v>
      </c>
      <c r="H1968">
        <v>44.223199999999999</v>
      </c>
      <c r="I1968">
        <v>60.622799999999998</v>
      </c>
      <c r="P1968">
        <v>286</v>
      </c>
      <c r="Q1968" t="s">
        <v>4259</v>
      </c>
    </row>
    <row r="1969" spans="1:17" x14ac:dyDescent="0.3">
      <c r="A1969" t="s">
        <v>17</v>
      </c>
      <c r="B1969" t="str">
        <f>"688389"</f>
        <v>688389</v>
      </c>
      <c r="C1969" t="s">
        <v>4260</v>
      </c>
      <c r="D1969" t="s">
        <v>1305</v>
      </c>
      <c r="F1969">
        <v>178.30080000000001</v>
      </c>
      <c r="G1969">
        <v>159.9556</v>
      </c>
      <c r="H1969">
        <v>135.80719999999999</v>
      </c>
      <c r="P1969">
        <v>161</v>
      </c>
      <c r="Q1969" t="s">
        <v>4261</v>
      </c>
    </row>
    <row r="1970" spans="1:17" x14ac:dyDescent="0.3">
      <c r="A1970" t="s">
        <v>17</v>
      </c>
      <c r="B1970" t="str">
        <f>"688390"</f>
        <v>688390</v>
      </c>
      <c r="C1970" t="s">
        <v>4262</v>
      </c>
      <c r="D1970" t="s">
        <v>3797</v>
      </c>
      <c r="F1970">
        <v>168.6369</v>
      </c>
      <c r="G1970">
        <v>133.7799</v>
      </c>
      <c r="H1970">
        <v>54.865200000000002</v>
      </c>
      <c r="P1970">
        <v>283</v>
      </c>
      <c r="Q1970" t="s">
        <v>4263</v>
      </c>
    </row>
    <row r="1971" spans="1:17" x14ac:dyDescent="0.3">
      <c r="A1971" t="s">
        <v>17</v>
      </c>
      <c r="B1971" t="str">
        <f>"688393"</f>
        <v>688393</v>
      </c>
      <c r="C1971" t="s">
        <v>4264</v>
      </c>
      <c r="D1971" t="s">
        <v>1305</v>
      </c>
      <c r="F1971">
        <v>141.57820000000001</v>
      </c>
      <c r="G1971">
        <v>176.76169999999999</v>
      </c>
      <c r="P1971">
        <v>76</v>
      </c>
      <c r="Q1971" t="s">
        <v>4265</v>
      </c>
    </row>
    <row r="1972" spans="1:17" x14ac:dyDescent="0.3">
      <c r="A1972" t="s">
        <v>17</v>
      </c>
      <c r="B1972" t="str">
        <f>"688395"</f>
        <v>688395</v>
      </c>
      <c r="C1972" t="s">
        <v>4266</v>
      </c>
      <c r="D1972" t="s">
        <v>2423</v>
      </c>
      <c r="F1972">
        <v>142.61619999999999</v>
      </c>
      <c r="P1972">
        <v>36</v>
      </c>
      <c r="Q1972" t="s">
        <v>4267</v>
      </c>
    </row>
    <row r="1973" spans="1:17" x14ac:dyDescent="0.3">
      <c r="A1973" t="s">
        <v>17</v>
      </c>
      <c r="B1973" t="str">
        <f>"688396"</f>
        <v>688396</v>
      </c>
      <c r="C1973" t="s">
        <v>4268</v>
      </c>
      <c r="D1973" t="s">
        <v>4269</v>
      </c>
      <c r="F1973">
        <v>105.64109999999999</v>
      </c>
      <c r="G1973">
        <v>119.7192</v>
      </c>
      <c r="H1973">
        <v>126.91930000000001</v>
      </c>
      <c r="P1973">
        <v>495</v>
      </c>
      <c r="Q1973" t="s">
        <v>4270</v>
      </c>
    </row>
    <row r="1974" spans="1:17" x14ac:dyDescent="0.3">
      <c r="A1974" t="s">
        <v>17</v>
      </c>
      <c r="B1974" t="str">
        <f>"688398"</f>
        <v>688398</v>
      </c>
      <c r="C1974" t="s">
        <v>4271</v>
      </c>
      <c r="D1974" t="s">
        <v>386</v>
      </c>
      <c r="F1974">
        <v>105.9859</v>
      </c>
      <c r="G1974">
        <v>95.838300000000004</v>
      </c>
      <c r="H1974">
        <v>117.99809999999999</v>
      </c>
      <c r="P1974">
        <v>81</v>
      </c>
      <c r="Q1974" t="s">
        <v>4272</v>
      </c>
    </row>
    <row r="1975" spans="1:17" x14ac:dyDescent="0.3">
      <c r="A1975" t="s">
        <v>17</v>
      </c>
      <c r="B1975" t="str">
        <f>"688399"</f>
        <v>688399</v>
      </c>
      <c r="C1975" t="s">
        <v>4273</v>
      </c>
      <c r="D1975" t="s">
        <v>1305</v>
      </c>
      <c r="F1975">
        <v>125.1138</v>
      </c>
      <c r="G1975">
        <v>172.43819999999999</v>
      </c>
      <c r="H1975">
        <v>198.47739999999999</v>
      </c>
      <c r="P1975">
        <v>373</v>
      </c>
      <c r="Q1975" t="s">
        <v>4274</v>
      </c>
    </row>
    <row r="1976" spans="1:17" x14ac:dyDescent="0.3">
      <c r="A1976" t="s">
        <v>17</v>
      </c>
      <c r="B1976" t="str">
        <f>"688408"</f>
        <v>688408</v>
      </c>
      <c r="C1976" t="s">
        <v>4275</v>
      </c>
      <c r="D1976" t="s">
        <v>478</v>
      </c>
      <c r="F1976">
        <v>93.224100000000007</v>
      </c>
      <c r="G1976">
        <v>68.296400000000006</v>
      </c>
      <c r="P1976">
        <v>114</v>
      </c>
      <c r="Q1976" t="s">
        <v>4276</v>
      </c>
    </row>
    <row r="1977" spans="1:17" x14ac:dyDescent="0.3">
      <c r="A1977" t="s">
        <v>17</v>
      </c>
      <c r="B1977" t="str">
        <f>"688418"</f>
        <v>688418</v>
      </c>
      <c r="C1977" t="s">
        <v>4277</v>
      </c>
      <c r="D1977" t="s">
        <v>595</v>
      </c>
      <c r="F1977">
        <v>503.80509999999998</v>
      </c>
      <c r="G1977">
        <v>407.37470000000002</v>
      </c>
      <c r="P1977">
        <v>40</v>
      </c>
      <c r="Q1977" t="s">
        <v>4278</v>
      </c>
    </row>
    <row r="1978" spans="1:17" x14ac:dyDescent="0.3">
      <c r="A1978" t="s">
        <v>17</v>
      </c>
      <c r="B1978" t="str">
        <f>"688425"</f>
        <v>688425</v>
      </c>
      <c r="C1978" t="s">
        <v>4279</v>
      </c>
      <c r="D1978" t="s">
        <v>83</v>
      </c>
      <c r="F1978">
        <v>215.51660000000001</v>
      </c>
      <c r="P1978">
        <v>40</v>
      </c>
      <c r="Q1978" t="s">
        <v>4280</v>
      </c>
    </row>
    <row r="1979" spans="1:17" x14ac:dyDescent="0.3">
      <c r="A1979" t="s">
        <v>17</v>
      </c>
      <c r="B1979" t="str">
        <f>"688456"</f>
        <v>688456</v>
      </c>
      <c r="C1979" t="s">
        <v>4281</v>
      </c>
      <c r="D1979" t="s">
        <v>263</v>
      </c>
      <c r="F1979">
        <v>38.133600000000001</v>
      </c>
      <c r="G1979">
        <v>49.986800000000002</v>
      </c>
      <c r="P1979">
        <v>28</v>
      </c>
      <c r="Q1979" t="s">
        <v>4282</v>
      </c>
    </row>
    <row r="1980" spans="1:17" x14ac:dyDescent="0.3">
      <c r="A1980" t="s">
        <v>17</v>
      </c>
      <c r="B1980" t="str">
        <f>"688466"</f>
        <v>688466</v>
      </c>
      <c r="C1980" t="s">
        <v>4283</v>
      </c>
      <c r="D1980" t="s">
        <v>33</v>
      </c>
      <c r="F1980">
        <v>99.621899999999997</v>
      </c>
      <c r="G1980">
        <v>255.10210000000001</v>
      </c>
      <c r="H1980">
        <v>255.7834</v>
      </c>
      <c r="P1980">
        <v>60</v>
      </c>
      <c r="Q1980" t="s">
        <v>4284</v>
      </c>
    </row>
    <row r="1981" spans="1:17" x14ac:dyDescent="0.3">
      <c r="A1981" t="s">
        <v>17</v>
      </c>
      <c r="B1981" t="str">
        <f>"688468"</f>
        <v>688468</v>
      </c>
      <c r="C1981" t="s">
        <v>4285</v>
      </c>
      <c r="D1981" t="s">
        <v>1305</v>
      </c>
      <c r="F1981">
        <v>452.09730000000002</v>
      </c>
      <c r="P1981">
        <v>39</v>
      </c>
      <c r="Q1981" t="s">
        <v>4286</v>
      </c>
    </row>
    <row r="1982" spans="1:17" x14ac:dyDescent="0.3">
      <c r="A1982" t="s">
        <v>17</v>
      </c>
      <c r="B1982" t="str">
        <f>"688488"</f>
        <v>688488</v>
      </c>
      <c r="C1982" t="s">
        <v>4287</v>
      </c>
      <c r="D1982" t="s">
        <v>1379</v>
      </c>
      <c r="F1982">
        <v>271.7122</v>
      </c>
      <c r="G1982">
        <v>277.42169999999999</v>
      </c>
      <c r="P1982">
        <v>44</v>
      </c>
      <c r="Q1982" t="s">
        <v>4288</v>
      </c>
    </row>
    <row r="1983" spans="1:17" x14ac:dyDescent="0.3">
      <c r="A1983" t="s">
        <v>17</v>
      </c>
      <c r="B1983" t="str">
        <f>"688499"</f>
        <v>688499</v>
      </c>
      <c r="C1983" t="s">
        <v>4289</v>
      </c>
      <c r="D1983" t="s">
        <v>3749</v>
      </c>
      <c r="F1983">
        <v>426.12400000000002</v>
      </c>
      <c r="G1983">
        <v>332.09570000000002</v>
      </c>
      <c r="P1983">
        <v>65</v>
      </c>
      <c r="Q1983" t="s">
        <v>4290</v>
      </c>
    </row>
    <row r="1984" spans="1:17" x14ac:dyDescent="0.3">
      <c r="A1984" t="s">
        <v>17</v>
      </c>
      <c r="B1984" t="str">
        <f>"688500"</f>
        <v>688500</v>
      </c>
      <c r="C1984" t="s">
        <v>4291</v>
      </c>
      <c r="D1984" t="s">
        <v>316</v>
      </c>
      <c r="F1984">
        <v>52.302700000000002</v>
      </c>
      <c r="G1984">
        <v>60.925899999999999</v>
      </c>
      <c r="H1984">
        <v>18.920400000000001</v>
      </c>
      <c r="P1984">
        <v>26</v>
      </c>
      <c r="Q1984" t="s">
        <v>4292</v>
      </c>
    </row>
    <row r="1985" spans="1:17" x14ac:dyDescent="0.3">
      <c r="A1985" t="s">
        <v>17</v>
      </c>
      <c r="B1985" t="str">
        <f>"688501"</f>
        <v>688501</v>
      </c>
      <c r="C1985" t="s">
        <v>4293</v>
      </c>
      <c r="D1985" t="s">
        <v>1070</v>
      </c>
      <c r="F1985">
        <v>532.67790000000002</v>
      </c>
      <c r="P1985">
        <v>24</v>
      </c>
      <c r="Q1985" t="s">
        <v>4294</v>
      </c>
    </row>
    <row r="1986" spans="1:17" x14ac:dyDescent="0.3">
      <c r="A1986" t="s">
        <v>17</v>
      </c>
      <c r="B1986" t="str">
        <f>"688505"</f>
        <v>688505</v>
      </c>
      <c r="C1986" t="s">
        <v>4295</v>
      </c>
      <c r="D1986" t="s">
        <v>143</v>
      </c>
      <c r="F1986">
        <v>279.53250000000003</v>
      </c>
      <c r="G1986">
        <v>335.28480000000002</v>
      </c>
      <c r="H1986">
        <v>108.889</v>
      </c>
      <c r="P1986">
        <v>69</v>
      </c>
      <c r="Q1986" t="s">
        <v>4296</v>
      </c>
    </row>
    <row r="1987" spans="1:17" x14ac:dyDescent="0.3">
      <c r="A1987" t="s">
        <v>17</v>
      </c>
      <c r="B1987" t="str">
        <f>"688508"</f>
        <v>688508</v>
      </c>
      <c r="C1987" t="s">
        <v>4297</v>
      </c>
      <c r="D1987" t="s">
        <v>401</v>
      </c>
      <c r="F1987">
        <v>100.90949999999999</v>
      </c>
      <c r="G1987">
        <v>144.3442</v>
      </c>
      <c r="H1987">
        <v>169.79220000000001</v>
      </c>
      <c r="P1987">
        <v>165</v>
      </c>
      <c r="Q1987" t="s">
        <v>4298</v>
      </c>
    </row>
    <row r="1988" spans="1:17" x14ac:dyDescent="0.3">
      <c r="A1988" t="s">
        <v>17</v>
      </c>
      <c r="B1988" t="str">
        <f>"688509"</f>
        <v>688509</v>
      </c>
      <c r="C1988" t="s">
        <v>4299</v>
      </c>
      <c r="D1988" t="s">
        <v>316</v>
      </c>
      <c r="F1988">
        <v>12.6563</v>
      </c>
      <c r="P1988">
        <v>17</v>
      </c>
      <c r="Q1988" t="s">
        <v>4300</v>
      </c>
    </row>
    <row r="1989" spans="1:17" x14ac:dyDescent="0.3">
      <c r="A1989" t="s">
        <v>17</v>
      </c>
      <c r="B1989" t="str">
        <f>"688510"</f>
        <v>688510</v>
      </c>
      <c r="C1989" t="s">
        <v>4301</v>
      </c>
      <c r="D1989" t="s">
        <v>98</v>
      </c>
      <c r="F1989">
        <v>225.417</v>
      </c>
      <c r="G1989">
        <v>206.5521</v>
      </c>
      <c r="P1989">
        <v>66</v>
      </c>
      <c r="Q1989" t="s">
        <v>4302</v>
      </c>
    </row>
    <row r="1990" spans="1:17" x14ac:dyDescent="0.3">
      <c r="A1990" t="s">
        <v>17</v>
      </c>
      <c r="B1990" t="str">
        <f>"688511"</f>
        <v>688511</v>
      </c>
      <c r="C1990" t="s">
        <v>4303</v>
      </c>
      <c r="D1990" t="s">
        <v>1136</v>
      </c>
      <c r="F1990">
        <v>534.90890000000002</v>
      </c>
      <c r="P1990">
        <v>23</v>
      </c>
      <c r="Q1990" t="s">
        <v>4304</v>
      </c>
    </row>
    <row r="1991" spans="1:17" x14ac:dyDescent="0.3">
      <c r="A1991" t="s">
        <v>17</v>
      </c>
      <c r="B1991" t="str">
        <f>"688513"</f>
        <v>688513</v>
      </c>
      <c r="C1991" t="s">
        <v>4305</v>
      </c>
      <c r="D1991" t="s">
        <v>143</v>
      </c>
      <c r="F1991">
        <v>315.81330000000003</v>
      </c>
      <c r="G1991">
        <v>343.79689999999999</v>
      </c>
      <c r="H1991">
        <v>139.77459999999999</v>
      </c>
      <c r="P1991">
        <v>58</v>
      </c>
      <c r="Q1991" t="s">
        <v>4306</v>
      </c>
    </row>
    <row r="1992" spans="1:17" x14ac:dyDescent="0.3">
      <c r="A1992" t="s">
        <v>17</v>
      </c>
      <c r="B1992" t="str">
        <f>"688516"</f>
        <v>688516</v>
      </c>
      <c r="C1992" t="s">
        <v>4307</v>
      </c>
      <c r="D1992" t="s">
        <v>2654</v>
      </c>
      <c r="F1992">
        <v>593.87689999999998</v>
      </c>
      <c r="G1992">
        <v>741.40009999999995</v>
      </c>
      <c r="H1992">
        <v>239.53380000000001</v>
      </c>
      <c r="P1992">
        <v>152</v>
      </c>
      <c r="Q1992" t="s">
        <v>4308</v>
      </c>
    </row>
    <row r="1993" spans="1:17" x14ac:dyDescent="0.3">
      <c r="A1993" t="s">
        <v>17</v>
      </c>
      <c r="B1993" t="str">
        <f>"688517"</f>
        <v>688517</v>
      </c>
      <c r="C1993" t="s">
        <v>4309</v>
      </c>
      <c r="D1993" t="s">
        <v>657</v>
      </c>
      <c r="F1993">
        <v>143.66560000000001</v>
      </c>
      <c r="P1993">
        <v>19</v>
      </c>
      <c r="Q1993" t="s">
        <v>4310</v>
      </c>
    </row>
    <row r="1994" spans="1:17" x14ac:dyDescent="0.3">
      <c r="A1994" t="s">
        <v>17</v>
      </c>
      <c r="B1994" t="str">
        <f>"688518"</f>
        <v>688518</v>
      </c>
      <c r="C1994" t="s">
        <v>4311</v>
      </c>
      <c r="D1994" t="s">
        <v>3784</v>
      </c>
      <c r="F1994">
        <v>717.89790000000005</v>
      </c>
      <c r="G1994">
        <v>823.43089999999995</v>
      </c>
      <c r="H1994">
        <v>559.70529999999997</v>
      </c>
      <c r="P1994">
        <v>65</v>
      </c>
      <c r="Q1994" t="s">
        <v>4312</v>
      </c>
    </row>
    <row r="1995" spans="1:17" x14ac:dyDescent="0.3">
      <c r="A1995" t="s">
        <v>17</v>
      </c>
      <c r="B1995" t="str">
        <f>"688519"</f>
        <v>688519</v>
      </c>
      <c r="C1995" t="s">
        <v>4313</v>
      </c>
      <c r="D1995" t="s">
        <v>425</v>
      </c>
      <c r="F1995">
        <v>53.293700000000001</v>
      </c>
      <c r="G1995">
        <v>69.203400000000002</v>
      </c>
      <c r="I1995">
        <v>45.836599999999997</v>
      </c>
      <c r="P1995">
        <v>80</v>
      </c>
      <c r="Q1995" t="s">
        <v>4314</v>
      </c>
    </row>
    <row r="1996" spans="1:17" x14ac:dyDescent="0.3">
      <c r="A1996" t="s">
        <v>17</v>
      </c>
      <c r="B1996" t="str">
        <f>"688520"</f>
        <v>688520</v>
      </c>
      <c r="C1996" t="s">
        <v>4315</v>
      </c>
      <c r="D1996" t="s">
        <v>1379</v>
      </c>
      <c r="F1996">
        <v>33513.639000000003</v>
      </c>
      <c r="G1996">
        <v>334419.03869999998</v>
      </c>
      <c r="H1996">
        <v>6549.0165999999999</v>
      </c>
      <c r="P1996">
        <v>90</v>
      </c>
      <c r="Q1996" t="s">
        <v>4316</v>
      </c>
    </row>
    <row r="1997" spans="1:17" x14ac:dyDescent="0.3">
      <c r="A1997" t="s">
        <v>17</v>
      </c>
      <c r="B1997" t="str">
        <f>"688521"</f>
        <v>688521</v>
      </c>
      <c r="C1997" t="s">
        <v>4317</v>
      </c>
      <c r="D1997" t="s">
        <v>461</v>
      </c>
      <c r="F1997">
        <v>38.5334</v>
      </c>
      <c r="G1997">
        <v>41.658700000000003</v>
      </c>
      <c r="H1997">
        <v>6.1401000000000003</v>
      </c>
      <c r="P1997">
        <v>140</v>
      </c>
      <c r="Q1997" t="s">
        <v>4318</v>
      </c>
    </row>
    <row r="1998" spans="1:17" x14ac:dyDescent="0.3">
      <c r="A1998" t="s">
        <v>17</v>
      </c>
      <c r="B1998" t="str">
        <f>"688526"</f>
        <v>688526</v>
      </c>
      <c r="C1998" t="s">
        <v>4319</v>
      </c>
      <c r="D1998" t="s">
        <v>453</v>
      </c>
      <c r="F1998">
        <v>207.12819999999999</v>
      </c>
      <c r="G1998">
        <v>219.8494</v>
      </c>
      <c r="H1998">
        <v>176.69739999999999</v>
      </c>
      <c r="P1998">
        <v>147</v>
      </c>
      <c r="Q1998" t="s">
        <v>4320</v>
      </c>
    </row>
    <row r="1999" spans="1:17" x14ac:dyDescent="0.3">
      <c r="A1999" t="s">
        <v>17</v>
      </c>
      <c r="B1999" t="str">
        <f>"688528"</f>
        <v>688528</v>
      </c>
      <c r="C1999" t="s">
        <v>4321</v>
      </c>
      <c r="D1999" t="s">
        <v>2551</v>
      </c>
      <c r="F1999">
        <v>123.1233</v>
      </c>
      <c r="G1999">
        <v>94.331599999999995</v>
      </c>
      <c r="H1999">
        <v>33.797499999999999</v>
      </c>
      <c r="P1999">
        <v>42</v>
      </c>
      <c r="Q1999" t="s">
        <v>4322</v>
      </c>
    </row>
    <row r="2000" spans="1:17" x14ac:dyDescent="0.3">
      <c r="A2000" t="s">
        <v>17</v>
      </c>
      <c r="B2000" t="str">
        <f>"688529"</f>
        <v>688529</v>
      </c>
      <c r="C2000" t="s">
        <v>4323</v>
      </c>
      <c r="D2000" t="s">
        <v>741</v>
      </c>
      <c r="F2000">
        <v>763.2047</v>
      </c>
      <c r="G2000">
        <v>651.87530000000004</v>
      </c>
      <c r="P2000">
        <v>33</v>
      </c>
      <c r="Q2000" t="s">
        <v>4324</v>
      </c>
    </row>
    <row r="2001" spans="1:17" x14ac:dyDescent="0.3">
      <c r="A2001" t="s">
        <v>17</v>
      </c>
      <c r="B2001" t="str">
        <f>"688533"</f>
        <v>688533</v>
      </c>
      <c r="C2001" t="s">
        <v>4325</v>
      </c>
      <c r="D2001" t="s">
        <v>1415</v>
      </c>
      <c r="F2001">
        <v>107.64960000000001</v>
      </c>
      <c r="P2001">
        <v>39</v>
      </c>
      <c r="Q2001" t="s">
        <v>4326</v>
      </c>
    </row>
    <row r="2002" spans="1:17" x14ac:dyDescent="0.3">
      <c r="A2002" t="s">
        <v>17</v>
      </c>
      <c r="B2002" t="str">
        <f>"688536"</f>
        <v>688536</v>
      </c>
      <c r="C2002" t="s">
        <v>4327</v>
      </c>
      <c r="D2002" t="s">
        <v>401</v>
      </c>
      <c r="F2002">
        <v>100.3552</v>
      </c>
      <c r="G2002">
        <v>125.2696</v>
      </c>
      <c r="H2002">
        <v>49.999200000000002</v>
      </c>
      <c r="P2002">
        <v>199</v>
      </c>
      <c r="Q2002" t="s">
        <v>4328</v>
      </c>
    </row>
    <row r="2003" spans="1:17" x14ac:dyDescent="0.3">
      <c r="A2003" t="s">
        <v>17</v>
      </c>
      <c r="B2003" t="str">
        <f>"688538"</f>
        <v>688538</v>
      </c>
      <c r="C2003" t="s">
        <v>4329</v>
      </c>
      <c r="D2003" t="s">
        <v>1117</v>
      </c>
      <c r="F2003">
        <v>97.399799999999999</v>
      </c>
      <c r="P2003">
        <v>37</v>
      </c>
      <c r="Q2003" t="s">
        <v>4330</v>
      </c>
    </row>
    <row r="2004" spans="1:17" x14ac:dyDescent="0.3">
      <c r="A2004" t="s">
        <v>17</v>
      </c>
      <c r="B2004" t="str">
        <f>"688550"</f>
        <v>688550</v>
      </c>
      <c r="C2004" t="s">
        <v>4331</v>
      </c>
      <c r="D2004" t="s">
        <v>2399</v>
      </c>
      <c r="F2004">
        <v>195.4854</v>
      </c>
      <c r="G2004">
        <v>250.87530000000001</v>
      </c>
      <c r="H2004">
        <v>110.2653</v>
      </c>
      <c r="P2004">
        <v>54</v>
      </c>
      <c r="Q2004" t="s">
        <v>4332</v>
      </c>
    </row>
    <row r="2005" spans="1:17" x14ac:dyDescent="0.3">
      <c r="A2005" t="s">
        <v>17</v>
      </c>
      <c r="B2005" t="str">
        <f>"688551"</f>
        <v>688551</v>
      </c>
      <c r="C2005" t="s">
        <v>4333</v>
      </c>
      <c r="D2005" t="s">
        <v>880</v>
      </c>
      <c r="F2005">
        <v>265.90050000000002</v>
      </c>
      <c r="G2005">
        <v>313.5308</v>
      </c>
      <c r="P2005">
        <v>39</v>
      </c>
      <c r="Q2005" t="s">
        <v>4334</v>
      </c>
    </row>
    <row r="2006" spans="1:17" x14ac:dyDescent="0.3">
      <c r="A2006" t="s">
        <v>17</v>
      </c>
      <c r="B2006" t="str">
        <f>"688553"</f>
        <v>688553</v>
      </c>
      <c r="C2006" t="s">
        <v>4335</v>
      </c>
      <c r="D2006" t="s">
        <v>143</v>
      </c>
      <c r="F2006">
        <v>417.7022</v>
      </c>
      <c r="P2006">
        <v>30</v>
      </c>
      <c r="Q2006" t="s">
        <v>4336</v>
      </c>
    </row>
    <row r="2007" spans="1:17" x14ac:dyDescent="0.3">
      <c r="A2007" t="s">
        <v>17</v>
      </c>
      <c r="B2007" t="str">
        <f>"688555"</f>
        <v>688555</v>
      </c>
      <c r="C2007" t="s">
        <v>4337</v>
      </c>
      <c r="D2007" t="s">
        <v>945</v>
      </c>
      <c r="F2007">
        <v>212.7285</v>
      </c>
      <c r="G2007">
        <v>110.3785</v>
      </c>
      <c r="H2007">
        <v>72.147800000000004</v>
      </c>
      <c r="P2007">
        <v>55</v>
      </c>
      <c r="Q2007" t="s">
        <v>4338</v>
      </c>
    </row>
    <row r="2008" spans="1:17" x14ac:dyDescent="0.3">
      <c r="A2008" t="s">
        <v>17</v>
      </c>
      <c r="B2008" t="str">
        <f>"688556"</f>
        <v>688556</v>
      </c>
      <c r="C2008" t="s">
        <v>4339</v>
      </c>
      <c r="D2008" t="s">
        <v>2654</v>
      </c>
      <c r="F2008">
        <v>244.73259999999999</v>
      </c>
      <c r="G2008">
        <v>346.19459999999998</v>
      </c>
      <c r="H2008">
        <v>121.0639</v>
      </c>
      <c r="P2008">
        <v>69</v>
      </c>
      <c r="Q2008" t="s">
        <v>4340</v>
      </c>
    </row>
    <row r="2009" spans="1:17" x14ac:dyDescent="0.3">
      <c r="A2009" t="s">
        <v>17</v>
      </c>
      <c r="B2009" t="str">
        <f>"688557"</f>
        <v>688557</v>
      </c>
      <c r="C2009" t="s">
        <v>4341</v>
      </c>
      <c r="D2009" t="s">
        <v>560</v>
      </c>
      <c r="F2009">
        <v>321.28899999999999</v>
      </c>
      <c r="G2009">
        <v>219.32939999999999</v>
      </c>
      <c r="P2009">
        <v>47</v>
      </c>
      <c r="Q2009" t="s">
        <v>4342</v>
      </c>
    </row>
    <row r="2010" spans="1:17" x14ac:dyDescent="0.3">
      <c r="A2010" t="s">
        <v>17</v>
      </c>
      <c r="B2010" t="str">
        <f>"688558"</f>
        <v>688558</v>
      </c>
      <c r="C2010" t="s">
        <v>4343</v>
      </c>
      <c r="D2010" t="s">
        <v>2312</v>
      </c>
      <c r="F2010">
        <v>169.59229999999999</v>
      </c>
      <c r="G2010">
        <v>170.22620000000001</v>
      </c>
      <c r="H2010">
        <v>173.80690000000001</v>
      </c>
      <c r="P2010">
        <v>95</v>
      </c>
      <c r="Q2010" t="s">
        <v>4344</v>
      </c>
    </row>
    <row r="2011" spans="1:17" x14ac:dyDescent="0.3">
      <c r="A2011" t="s">
        <v>17</v>
      </c>
      <c r="B2011" t="str">
        <f>"688559"</f>
        <v>688559</v>
      </c>
      <c r="C2011" t="s">
        <v>4345</v>
      </c>
      <c r="D2011" t="s">
        <v>3784</v>
      </c>
      <c r="F2011">
        <v>692.56389999999999</v>
      </c>
      <c r="G2011">
        <v>671.1979</v>
      </c>
      <c r="P2011">
        <v>68</v>
      </c>
      <c r="Q2011" t="s">
        <v>4346</v>
      </c>
    </row>
    <row r="2012" spans="1:17" x14ac:dyDescent="0.3">
      <c r="A2012" t="s">
        <v>17</v>
      </c>
      <c r="B2012" t="str">
        <f>"688560"</f>
        <v>688560</v>
      </c>
      <c r="C2012" t="s">
        <v>4347</v>
      </c>
      <c r="D2012" t="s">
        <v>478</v>
      </c>
      <c r="F2012">
        <v>81.308199999999999</v>
      </c>
      <c r="G2012">
        <v>77.264399999999995</v>
      </c>
      <c r="P2012">
        <v>38</v>
      </c>
      <c r="Q2012" t="s">
        <v>4348</v>
      </c>
    </row>
    <row r="2013" spans="1:17" x14ac:dyDescent="0.3">
      <c r="A2013" t="s">
        <v>17</v>
      </c>
      <c r="B2013" t="str">
        <f>"688561"</f>
        <v>688561</v>
      </c>
      <c r="C2013" t="s">
        <v>4349</v>
      </c>
      <c r="D2013" t="s">
        <v>1189</v>
      </c>
      <c r="F2013">
        <v>256.4667</v>
      </c>
      <c r="G2013">
        <v>342.93259999999998</v>
      </c>
      <c r="P2013">
        <v>192</v>
      </c>
      <c r="Q2013" t="s">
        <v>4350</v>
      </c>
    </row>
    <row r="2014" spans="1:17" x14ac:dyDescent="0.3">
      <c r="A2014" t="s">
        <v>17</v>
      </c>
      <c r="B2014" t="str">
        <f>"688565"</f>
        <v>688565</v>
      </c>
      <c r="C2014" t="s">
        <v>4351</v>
      </c>
      <c r="D2014" t="s">
        <v>33</v>
      </c>
      <c r="F2014">
        <v>154.35990000000001</v>
      </c>
      <c r="G2014">
        <v>87.453900000000004</v>
      </c>
      <c r="P2014">
        <v>38</v>
      </c>
      <c r="Q2014" t="s">
        <v>4352</v>
      </c>
    </row>
    <row r="2015" spans="1:17" x14ac:dyDescent="0.3">
      <c r="A2015" t="s">
        <v>17</v>
      </c>
      <c r="B2015" t="str">
        <f>"688566"</f>
        <v>688566</v>
      </c>
      <c r="C2015" t="s">
        <v>4353</v>
      </c>
      <c r="D2015" t="s">
        <v>143</v>
      </c>
      <c r="F2015">
        <v>267.06330000000003</v>
      </c>
      <c r="G2015">
        <v>245.57550000000001</v>
      </c>
      <c r="H2015">
        <v>225.63740000000001</v>
      </c>
      <c r="P2015">
        <v>69</v>
      </c>
      <c r="Q2015" t="s">
        <v>4354</v>
      </c>
    </row>
    <row r="2016" spans="1:17" x14ac:dyDescent="0.3">
      <c r="A2016" t="s">
        <v>17</v>
      </c>
      <c r="B2016" t="str">
        <f>"688567"</f>
        <v>688567</v>
      </c>
      <c r="C2016" t="s">
        <v>4355</v>
      </c>
      <c r="D2016" t="s">
        <v>359</v>
      </c>
      <c r="F2016">
        <v>276.72050000000002</v>
      </c>
      <c r="G2016">
        <v>829.62580000000003</v>
      </c>
      <c r="H2016">
        <v>196.0111</v>
      </c>
      <c r="P2016">
        <v>107</v>
      </c>
      <c r="Q2016" t="s">
        <v>4356</v>
      </c>
    </row>
    <row r="2017" spans="1:17" x14ac:dyDescent="0.3">
      <c r="A2017" t="s">
        <v>17</v>
      </c>
      <c r="B2017" t="str">
        <f>"688568"</f>
        <v>688568</v>
      </c>
      <c r="C2017" t="s">
        <v>4357</v>
      </c>
      <c r="D2017" t="s">
        <v>316</v>
      </c>
      <c r="F2017">
        <v>118.10429999999999</v>
      </c>
      <c r="G2017">
        <v>194.1028</v>
      </c>
      <c r="H2017">
        <v>73.731899999999996</v>
      </c>
      <c r="P2017">
        <v>98</v>
      </c>
      <c r="Q2017" t="s">
        <v>4358</v>
      </c>
    </row>
    <row r="2018" spans="1:17" x14ac:dyDescent="0.3">
      <c r="A2018" t="s">
        <v>17</v>
      </c>
      <c r="B2018" t="str">
        <f>"688569"</f>
        <v>688569</v>
      </c>
      <c r="C2018" t="s">
        <v>4359</v>
      </c>
      <c r="D2018" t="s">
        <v>1012</v>
      </c>
      <c r="F2018">
        <v>280.64370000000002</v>
      </c>
      <c r="G2018">
        <v>226.0266</v>
      </c>
      <c r="P2018">
        <v>31</v>
      </c>
      <c r="Q2018" t="s">
        <v>4360</v>
      </c>
    </row>
    <row r="2019" spans="1:17" x14ac:dyDescent="0.3">
      <c r="A2019" t="s">
        <v>17</v>
      </c>
      <c r="B2019" t="str">
        <f>"688571"</f>
        <v>688571</v>
      </c>
      <c r="C2019" t="s">
        <v>4361</v>
      </c>
      <c r="D2019" t="s">
        <v>2570</v>
      </c>
      <c r="F2019">
        <v>90.879000000000005</v>
      </c>
      <c r="G2019">
        <v>99.101900000000001</v>
      </c>
      <c r="P2019">
        <v>29</v>
      </c>
      <c r="Q2019" t="s">
        <v>4362</v>
      </c>
    </row>
    <row r="2020" spans="1:17" x14ac:dyDescent="0.3">
      <c r="A2020" t="s">
        <v>17</v>
      </c>
      <c r="B2020" t="str">
        <f>"688575"</f>
        <v>688575</v>
      </c>
      <c r="C2020" t="s">
        <v>4363</v>
      </c>
      <c r="D2020" t="s">
        <v>1305</v>
      </c>
      <c r="F2020">
        <v>323.85169999999999</v>
      </c>
      <c r="P2020">
        <v>46</v>
      </c>
      <c r="Q2020" t="s">
        <v>4364</v>
      </c>
    </row>
    <row r="2021" spans="1:17" x14ac:dyDescent="0.3">
      <c r="A2021" t="s">
        <v>17</v>
      </c>
      <c r="B2021" t="str">
        <f>"688577"</f>
        <v>688577</v>
      </c>
      <c r="C2021" t="s">
        <v>4365</v>
      </c>
      <c r="D2021" t="s">
        <v>2312</v>
      </c>
      <c r="F2021">
        <v>311.51859999999999</v>
      </c>
      <c r="G2021">
        <v>331.52850000000001</v>
      </c>
      <c r="H2021">
        <v>202.49</v>
      </c>
      <c r="P2021">
        <v>56</v>
      </c>
      <c r="Q2021" t="s">
        <v>4366</v>
      </c>
    </row>
    <row r="2022" spans="1:17" x14ac:dyDescent="0.3">
      <c r="A2022" t="s">
        <v>17</v>
      </c>
      <c r="B2022" t="str">
        <f>"688578"</f>
        <v>688578</v>
      </c>
      <c r="C2022" t="s">
        <v>4367</v>
      </c>
      <c r="D2022" t="s">
        <v>143</v>
      </c>
      <c r="F2022">
        <v>2050.4638</v>
      </c>
      <c r="G2022">
        <v>1341.5373</v>
      </c>
      <c r="P2022">
        <v>47</v>
      </c>
      <c r="Q2022" t="s">
        <v>4368</v>
      </c>
    </row>
    <row r="2023" spans="1:17" x14ac:dyDescent="0.3">
      <c r="A2023" t="s">
        <v>17</v>
      </c>
      <c r="B2023" t="str">
        <f>"688579"</f>
        <v>688579</v>
      </c>
      <c r="C2023" t="s">
        <v>4369</v>
      </c>
      <c r="D2023" t="s">
        <v>945</v>
      </c>
      <c r="F2023">
        <v>128.0043</v>
      </c>
      <c r="G2023">
        <v>120.3242</v>
      </c>
      <c r="H2023">
        <v>96.950900000000004</v>
      </c>
      <c r="P2023">
        <v>34</v>
      </c>
      <c r="Q2023" t="s">
        <v>4370</v>
      </c>
    </row>
    <row r="2024" spans="1:17" x14ac:dyDescent="0.3">
      <c r="A2024" t="s">
        <v>17</v>
      </c>
      <c r="B2024" t="str">
        <f>"688580"</f>
        <v>688580</v>
      </c>
      <c r="C2024" t="s">
        <v>4371</v>
      </c>
      <c r="D2024" t="s">
        <v>122</v>
      </c>
      <c r="F2024">
        <v>166.58410000000001</v>
      </c>
      <c r="G2024">
        <v>188.3075</v>
      </c>
      <c r="H2024">
        <v>59.967199999999998</v>
      </c>
      <c r="P2024">
        <v>246</v>
      </c>
      <c r="Q2024" t="s">
        <v>4372</v>
      </c>
    </row>
    <row r="2025" spans="1:17" x14ac:dyDescent="0.3">
      <c r="A2025" t="s">
        <v>17</v>
      </c>
      <c r="B2025" t="str">
        <f>"688585"</f>
        <v>688585</v>
      </c>
      <c r="C2025" t="s">
        <v>4373</v>
      </c>
      <c r="D2025" t="s">
        <v>3350</v>
      </c>
      <c r="F2025">
        <v>52.527700000000003</v>
      </c>
      <c r="G2025">
        <v>43.475499999999997</v>
      </c>
      <c r="P2025">
        <v>26</v>
      </c>
      <c r="Q2025" t="s">
        <v>4374</v>
      </c>
    </row>
    <row r="2026" spans="1:17" x14ac:dyDescent="0.3">
      <c r="A2026" t="s">
        <v>17</v>
      </c>
      <c r="B2026" t="str">
        <f>"688586"</f>
        <v>688586</v>
      </c>
      <c r="C2026" t="s">
        <v>4375</v>
      </c>
      <c r="D2026" t="s">
        <v>98</v>
      </c>
      <c r="F2026">
        <v>475.03579999999999</v>
      </c>
      <c r="G2026">
        <v>388.53179999999998</v>
      </c>
      <c r="P2026">
        <v>70</v>
      </c>
      <c r="Q2026" t="s">
        <v>4376</v>
      </c>
    </row>
    <row r="2027" spans="1:17" x14ac:dyDescent="0.3">
      <c r="A2027" t="s">
        <v>17</v>
      </c>
      <c r="B2027" t="str">
        <f>"688588"</f>
        <v>688588</v>
      </c>
      <c r="C2027" t="s">
        <v>4377</v>
      </c>
      <c r="D2027" t="s">
        <v>945</v>
      </c>
      <c r="F2027">
        <v>11.574199999999999</v>
      </c>
      <c r="G2027">
        <v>17.6754</v>
      </c>
      <c r="H2027">
        <v>7.2548000000000004</v>
      </c>
      <c r="I2027">
        <v>16.845500000000001</v>
      </c>
      <c r="P2027">
        <v>79</v>
      </c>
      <c r="Q2027" t="s">
        <v>4378</v>
      </c>
    </row>
    <row r="2028" spans="1:17" x14ac:dyDescent="0.3">
      <c r="A2028" t="s">
        <v>17</v>
      </c>
      <c r="B2028" t="str">
        <f>"688589"</f>
        <v>688589</v>
      </c>
      <c r="C2028" t="s">
        <v>4379</v>
      </c>
      <c r="D2028" t="s">
        <v>461</v>
      </c>
      <c r="F2028">
        <v>194.4898</v>
      </c>
      <c r="G2028">
        <v>250.1807</v>
      </c>
      <c r="P2028">
        <v>73</v>
      </c>
      <c r="Q2028" t="s">
        <v>4380</v>
      </c>
    </row>
    <row r="2029" spans="1:17" x14ac:dyDescent="0.3">
      <c r="A2029" t="s">
        <v>17</v>
      </c>
      <c r="B2029" t="str">
        <f>"688590"</f>
        <v>688590</v>
      </c>
      <c r="C2029" t="s">
        <v>4381</v>
      </c>
      <c r="D2029" t="s">
        <v>945</v>
      </c>
      <c r="F2029">
        <v>170.48869999999999</v>
      </c>
      <c r="G2029">
        <v>161.58619999999999</v>
      </c>
      <c r="P2029">
        <v>29</v>
      </c>
      <c r="Q2029" t="s">
        <v>4382</v>
      </c>
    </row>
    <row r="2030" spans="1:17" x14ac:dyDescent="0.3">
      <c r="A2030" t="s">
        <v>17</v>
      </c>
      <c r="B2030" t="str">
        <f>"688595"</f>
        <v>688595</v>
      </c>
      <c r="C2030" t="s">
        <v>4383</v>
      </c>
      <c r="D2030" t="s">
        <v>401</v>
      </c>
      <c r="F2030">
        <v>204.82740000000001</v>
      </c>
      <c r="G2030">
        <v>237.37</v>
      </c>
      <c r="H2030">
        <v>96.423699999999997</v>
      </c>
      <c r="P2030">
        <v>128</v>
      </c>
      <c r="Q2030" t="s">
        <v>4384</v>
      </c>
    </row>
    <row r="2031" spans="1:17" x14ac:dyDescent="0.3">
      <c r="A2031" t="s">
        <v>17</v>
      </c>
      <c r="B2031" t="str">
        <f>"688596"</f>
        <v>688596</v>
      </c>
      <c r="C2031" t="s">
        <v>4385</v>
      </c>
      <c r="D2031" t="s">
        <v>741</v>
      </c>
      <c r="F2031">
        <v>331.57690000000002</v>
      </c>
      <c r="G2031">
        <v>391.10840000000002</v>
      </c>
      <c r="H2031">
        <v>156.32990000000001</v>
      </c>
      <c r="P2031">
        <v>61</v>
      </c>
      <c r="Q2031" t="s">
        <v>4386</v>
      </c>
    </row>
    <row r="2032" spans="1:17" x14ac:dyDescent="0.3">
      <c r="A2032" t="s">
        <v>17</v>
      </c>
      <c r="B2032" t="str">
        <f>"688597"</f>
        <v>688597</v>
      </c>
      <c r="C2032" t="s">
        <v>4387</v>
      </c>
      <c r="D2032" t="s">
        <v>2171</v>
      </c>
      <c r="F2032">
        <v>171.37180000000001</v>
      </c>
      <c r="G2032">
        <v>140.94659999999999</v>
      </c>
      <c r="P2032">
        <v>17</v>
      </c>
      <c r="Q2032" t="s">
        <v>4388</v>
      </c>
    </row>
    <row r="2033" spans="1:17" x14ac:dyDescent="0.3">
      <c r="A2033" t="s">
        <v>17</v>
      </c>
      <c r="B2033" t="str">
        <f>"688598"</f>
        <v>688598</v>
      </c>
      <c r="C2033" t="s">
        <v>4389</v>
      </c>
      <c r="D2033" t="s">
        <v>478</v>
      </c>
      <c r="F2033">
        <v>139.7774</v>
      </c>
      <c r="G2033">
        <v>90.7714</v>
      </c>
      <c r="P2033">
        <v>262</v>
      </c>
      <c r="Q2033" t="s">
        <v>4390</v>
      </c>
    </row>
    <row r="2034" spans="1:17" x14ac:dyDescent="0.3">
      <c r="A2034" t="s">
        <v>17</v>
      </c>
      <c r="B2034" t="str">
        <f>"688599"</f>
        <v>688599</v>
      </c>
      <c r="C2034" t="s">
        <v>4391</v>
      </c>
      <c r="D2034" t="s">
        <v>356</v>
      </c>
      <c r="F2034">
        <v>135.14269999999999</v>
      </c>
      <c r="G2034">
        <v>126.9024</v>
      </c>
      <c r="H2034">
        <v>143.43520000000001</v>
      </c>
      <c r="P2034">
        <v>371</v>
      </c>
      <c r="Q2034" t="s">
        <v>4392</v>
      </c>
    </row>
    <row r="2035" spans="1:17" x14ac:dyDescent="0.3">
      <c r="A2035" t="s">
        <v>17</v>
      </c>
      <c r="B2035" t="str">
        <f>"688600"</f>
        <v>688600</v>
      </c>
      <c r="C2035" t="s">
        <v>4393</v>
      </c>
      <c r="D2035" t="s">
        <v>1070</v>
      </c>
      <c r="F2035">
        <v>451.59730000000002</v>
      </c>
      <c r="G2035">
        <v>448.30040000000002</v>
      </c>
      <c r="P2035">
        <v>62</v>
      </c>
      <c r="Q2035" t="s">
        <v>4394</v>
      </c>
    </row>
    <row r="2036" spans="1:17" x14ac:dyDescent="0.3">
      <c r="A2036" t="s">
        <v>17</v>
      </c>
      <c r="B2036" t="str">
        <f>"688601"</f>
        <v>688601</v>
      </c>
      <c r="C2036" t="s">
        <v>4395</v>
      </c>
      <c r="D2036" t="s">
        <v>401</v>
      </c>
      <c r="F2036">
        <v>103.2069</v>
      </c>
      <c r="G2036">
        <v>111.97499999999999</v>
      </c>
      <c r="P2036">
        <v>57</v>
      </c>
      <c r="Q2036" t="s">
        <v>4396</v>
      </c>
    </row>
    <row r="2037" spans="1:17" x14ac:dyDescent="0.3">
      <c r="A2037" t="s">
        <v>17</v>
      </c>
      <c r="B2037" t="str">
        <f>"688606"</f>
        <v>688606</v>
      </c>
      <c r="C2037" t="s">
        <v>4397</v>
      </c>
      <c r="D2037" t="s">
        <v>1305</v>
      </c>
      <c r="F2037">
        <v>182.2063</v>
      </c>
      <c r="G2037">
        <v>261.11439999999999</v>
      </c>
      <c r="P2037">
        <v>104</v>
      </c>
      <c r="Q2037" t="s">
        <v>4398</v>
      </c>
    </row>
    <row r="2038" spans="1:17" x14ac:dyDescent="0.3">
      <c r="A2038" t="s">
        <v>17</v>
      </c>
      <c r="B2038" t="str">
        <f>"688607"</f>
        <v>688607</v>
      </c>
      <c r="C2038" t="s">
        <v>4399</v>
      </c>
      <c r="D2038" t="s">
        <v>122</v>
      </c>
      <c r="F2038">
        <v>237.4923</v>
      </c>
      <c r="G2038">
        <v>145.1097</v>
      </c>
      <c r="P2038">
        <v>55</v>
      </c>
      <c r="Q2038" t="s">
        <v>4400</v>
      </c>
    </row>
    <row r="2039" spans="1:17" x14ac:dyDescent="0.3">
      <c r="A2039" t="s">
        <v>17</v>
      </c>
      <c r="B2039" t="str">
        <f>"688608"</f>
        <v>688608</v>
      </c>
      <c r="C2039" t="s">
        <v>4401</v>
      </c>
      <c r="D2039" t="s">
        <v>461</v>
      </c>
      <c r="F2039">
        <v>149.5128</v>
      </c>
      <c r="G2039">
        <v>143.1138</v>
      </c>
      <c r="P2039">
        <v>123</v>
      </c>
      <c r="Q2039" t="s">
        <v>4402</v>
      </c>
    </row>
    <row r="2040" spans="1:17" x14ac:dyDescent="0.3">
      <c r="A2040" t="s">
        <v>17</v>
      </c>
      <c r="B2040" t="str">
        <f>"688609"</f>
        <v>688609</v>
      </c>
      <c r="C2040" t="s">
        <v>4403</v>
      </c>
      <c r="D2040" t="s">
        <v>4404</v>
      </c>
      <c r="F2040">
        <v>109.2422</v>
      </c>
      <c r="P2040">
        <v>31</v>
      </c>
      <c r="Q2040" t="s">
        <v>4405</v>
      </c>
    </row>
    <row r="2041" spans="1:17" x14ac:dyDescent="0.3">
      <c r="A2041" t="s">
        <v>17</v>
      </c>
      <c r="B2041" t="str">
        <f>"688611"</f>
        <v>688611</v>
      </c>
      <c r="C2041" t="s">
        <v>4406</v>
      </c>
      <c r="D2041" t="s">
        <v>610</v>
      </c>
      <c r="F2041">
        <v>819.91290000000004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"688613"</f>
        <v>688613</v>
      </c>
      <c r="C2042" t="s">
        <v>4408</v>
      </c>
      <c r="D2042" t="s">
        <v>1077</v>
      </c>
      <c r="F2042">
        <v>380.88619999999997</v>
      </c>
      <c r="P2042">
        <v>51</v>
      </c>
      <c r="Q2042" t="s">
        <v>4409</v>
      </c>
    </row>
    <row r="2043" spans="1:17" x14ac:dyDescent="0.3">
      <c r="A2043" t="s">
        <v>17</v>
      </c>
      <c r="B2043" t="str">
        <f>"688616"</f>
        <v>688616</v>
      </c>
      <c r="C2043" t="s">
        <v>4410</v>
      </c>
      <c r="D2043" t="s">
        <v>2171</v>
      </c>
      <c r="F2043">
        <v>79.768600000000006</v>
      </c>
      <c r="P2043">
        <v>23</v>
      </c>
      <c r="Q2043" t="s">
        <v>4411</v>
      </c>
    </row>
    <row r="2044" spans="1:17" x14ac:dyDescent="0.3">
      <c r="A2044" t="s">
        <v>17</v>
      </c>
      <c r="B2044" t="str">
        <f>"688617"</f>
        <v>688617</v>
      </c>
      <c r="C2044" t="s">
        <v>4412</v>
      </c>
      <c r="D2044" t="s">
        <v>1077</v>
      </c>
      <c r="F2044">
        <v>390.46960000000001</v>
      </c>
      <c r="G2044">
        <v>563.32410000000004</v>
      </c>
      <c r="P2044">
        <v>137</v>
      </c>
      <c r="Q2044" t="s">
        <v>4413</v>
      </c>
    </row>
    <row r="2045" spans="1:17" x14ac:dyDescent="0.3">
      <c r="A2045" t="s">
        <v>17</v>
      </c>
      <c r="B2045" t="str">
        <f>"688618"</f>
        <v>688618</v>
      </c>
      <c r="C2045" t="s">
        <v>4414</v>
      </c>
      <c r="D2045" t="s">
        <v>1019</v>
      </c>
      <c r="F2045">
        <v>357.23360000000002</v>
      </c>
      <c r="G2045">
        <v>333.31599999999997</v>
      </c>
      <c r="P2045">
        <v>41</v>
      </c>
      <c r="Q2045" t="s">
        <v>4415</v>
      </c>
    </row>
    <row r="2046" spans="1:17" x14ac:dyDescent="0.3">
      <c r="A2046" t="s">
        <v>17</v>
      </c>
      <c r="B2046" t="str">
        <f>"688619"</f>
        <v>688619</v>
      </c>
      <c r="C2046" t="s">
        <v>4416</v>
      </c>
      <c r="D2046" t="s">
        <v>2953</v>
      </c>
      <c r="F2046">
        <v>148.76089999999999</v>
      </c>
      <c r="G2046">
        <v>132.09690000000001</v>
      </c>
      <c r="P2046">
        <v>31</v>
      </c>
      <c r="Q2046" t="s">
        <v>4417</v>
      </c>
    </row>
    <row r="2047" spans="1:17" x14ac:dyDescent="0.3">
      <c r="A2047" t="s">
        <v>17</v>
      </c>
      <c r="B2047" t="str">
        <f>"688621"</f>
        <v>688621</v>
      </c>
      <c r="C2047" t="s">
        <v>4418</v>
      </c>
      <c r="D2047" t="s">
        <v>1461</v>
      </c>
      <c r="F2047">
        <v>16.139199999999999</v>
      </c>
      <c r="G2047">
        <v>13.629</v>
      </c>
      <c r="P2047">
        <v>63</v>
      </c>
      <c r="Q2047" t="s">
        <v>4419</v>
      </c>
    </row>
    <row r="2048" spans="1:17" x14ac:dyDescent="0.3">
      <c r="A2048" t="s">
        <v>17</v>
      </c>
      <c r="B2048" t="str">
        <f>"688622"</f>
        <v>688622</v>
      </c>
      <c r="C2048" t="s">
        <v>4420</v>
      </c>
      <c r="D2048" t="s">
        <v>2551</v>
      </c>
      <c r="F2048">
        <v>540.2758</v>
      </c>
      <c r="P2048">
        <v>29</v>
      </c>
      <c r="Q2048" t="s">
        <v>4421</v>
      </c>
    </row>
    <row r="2049" spans="1:17" x14ac:dyDescent="0.3">
      <c r="A2049" t="s">
        <v>17</v>
      </c>
      <c r="B2049" t="str">
        <f>"688625"</f>
        <v>688625</v>
      </c>
      <c r="C2049" t="s">
        <v>4422</v>
      </c>
      <c r="D2049" t="s">
        <v>386</v>
      </c>
      <c r="F2049">
        <v>66.591099999999997</v>
      </c>
      <c r="P2049">
        <v>63</v>
      </c>
      <c r="Q2049" t="s">
        <v>4423</v>
      </c>
    </row>
    <row r="2050" spans="1:17" x14ac:dyDescent="0.3">
      <c r="A2050" t="s">
        <v>17</v>
      </c>
      <c r="B2050" t="str">
        <f>"688626"</f>
        <v>688626</v>
      </c>
      <c r="C2050" t="s">
        <v>4424</v>
      </c>
      <c r="D2050" t="s">
        <v>122</v>
      </c>
      <c r="F2050">
        <v>464.74160000000001</v>
      </c>
      <c r="P2050">
        <v>82</v>
      </c>
      <c r="Q2050" t="s">
        <v>4425</v>
      </c>
    </row>
    <row r="2051" spans="1:17" x14ac:dyDescent="0.3">
      <c r="A2051" t="s">
        <v>17</v>
      </c>
      <c r="B2051" t="str">
        <f>"688628"</f>
        <v>688628</v>
      </c>
      <c r="C2051" t="s">
        <v>4426</v>
      </c>
      <c r="D2051" t="s">
        <v>2551</v>
      </c>
      <c r="F2051">
        <v>180.2852</v>
      </c>
      <c r="G2051">
        <v>107.73</v>
      </c>
      <c r="P2051">
        <v>35</v>
      </c>
      <c r="Q2051" t="s">
        <v>4427</v>
      </c>
    </row>
    <row r="2052" spans="1:17" x14ac:dyDescent="0.3">
      <c r="A2052" t="s">
        <v>17</v>
      </c>
      <c r="B2052" t="str">
        <f>"688630"</f>
        <v>688630</v>
      </c>
      <c r="C2052" t="s">
        <v>4428</v>
      </c>
      <c r="D2052" t="s">
        <v>741</v>
      </c>
      <c r="F2052">
        <v>459.06459999999998</v>
      </c>
      <c r="P2052">
        <v>63</v>
      </c>
      <c r="Q2052" t="s">
        <v>4429</v>
      </c>
    </row>
    <row r="2053" spans="1:17" x14ac:dyDescent="0.3">
      <c r="A2053" t="s">
        <v>17</v>
      </c>
      <c r="B2053" t="str">
        <f>"688633"</f>
        <v>688633</v>
      </c>
      <c r="C2053" t="s">
        <v>4430</v>
      </c>
      <c r="D2053" t="s">
        <v>395</v>
      </c>
      <c r="F2053">
        <v>283.31490000000002</v>
      </c>
      <c r="P2053">
        <v>38</v>
      </c>
      <c r="Q2053" t="s">
        <v>4431</v>
      </c>
    </row>
    <row r="2054" spans="1:17" x14ac:dyDescent="0.3">
      <c r="A2054" t="s">
        <v>17</v>
      </c>
      <c r="B2054" t="str">
        <f>"688636"</f>
        <v>688636</v>
      </c>
      <c r="C2054" t="s">
        <v>4432</v>
      </c>
      <c r="D2054" t="s">
        <v>1136</v>
      </c>
      <c r="F2054">
        <v>602.92989999999998</v>
      </c>
      <c r="G2054">
        <v>499.75990000000002</v>
      </c>
      <c r="P2054">
        <v>32</v>
      </c>
      <c r="Q2054" t="s">
        <v>4433</v>
      </c>
    </row>
    <row r="2055" spans="1:17" x14ac:dyDescent="0.3">
      <c r="A2055" t="s">
        <v>17</v>
      </c>
      <c r="B2055" t="str">
        <f>"688639"</f>
        <v>688639</v>
      </c>
      <c r="C2055" t="s">
        <v>4434</v>
      </c>
      <c r="D2055" t="s">
        <v>677</v>
      </c>
      <c r="F2055">
        <v>48.423999999999999</v>
      </c>
      <c r="G2055">
        <v>84.399799999999999</v>
      </c>
      <c r="P2055">
        <v>58</v>
      </c>
      <c r="Q2055" t="s">
        <v>4435</v>
      </c>
    </row>
    <row r="2056" spans="1:17" x14ac:dyDescent="0.3">
      <c r="A2056" t="s">
        <v>17</v>
      </c>
      <c r="B2056" t="str">
        <f>"688655"</f>
        <v>688655</v>
      </c>
      <c r="C2056" t="s">
        <v>4436</v>
      </c>
      <c r="D2056" t="s">
        <v>425</v>
      </c>
      <c r="F2056">
        <v>62.560899999999997</v>
      </c>
      <c r="P2056">
        <v>21</v>
      </c>
      <c r="Q2056" t="s">
        <v>4437</v>
      </c>
    </row>
    <row r="2057" spans="1:17" x14ac:dyDescent="0.3">
      <c r="A2057" t="s">
        <v>17</v>
      </c>
      <c r="B2057" t="str">
        <f>"688656"</f>
        <v>688656</v>
      </c>
      <c r="C2057" t="s">
        <v>4438</v>
      </c>
      <c r="D2057" t="s">
        <v>1305</v>
      </c>
      <c r="F2057">
        <v>331.1857</v>
      </c>
      <c r="G2057">
        <v>435.16149999999999</v>
      </c>
      <c r="P2057">
        <v>59</v>
      </c>
      <c r="Q2057" t="s">
        <v>4439</v>
      </c>
    </row>
    <row r="2058" spans="1:17" x14ac:dyDescent="0.3">
      <c r="A2058" t="s">
        <v>17</v>
      </c>
      <c r="B2058" t="str">
        <f>"688658"</f>
        <v>688658</v>
      </c>
      <c r="C2058" t="s">
        <v>4440</v>
      </c>
      <c r="D2058" t="s">
        <v>143</v>
      </c>
      <c r="F2058">
        <v>201.64019999999999</v>
      </c>
      <c r="G2058">
        <v>200.7242</v>
      </c>
      <c r="P2058">
        <v>75</v>
      </c>
      <c r="Q2058" t="s">
        <v>4441</v>
      </c>
    </row>
    <row r="2059" spans="1:17" x14ac:dyDescent="0.3">
      <c r="A2059" t="s">
        <v>17</v>
      </c>
      <c r="B2059" t="str">
        <f>"688659"</f>
        <v>688659</v>
      </c>
      <c r="C2059" t="s">
        <v>4442</v>
      </c>
      <c r="D2059" t="s">
        <v>386</v>
      </c>
      <c r="F2059">
        <v>174.078</v>
      </c>
      <c r="G2059">
        <v>263.51369999999997</v>
      </c>
      <c r="P2059">
        <v>40</v>
      </c>
      <c r="Q2059" t="s">
        <v>4443</v>
      </c>
    </row>
    <row r="2060" spans="1:17" x14ac:dyDescent="0.3">
      <c r="A2060" t="s">
        <v>17</v>
      </c>
      <c r="B2060" t="str">
        <f>"688660"</f>
        <v>688660</v>
      </c>
      <c r="C2060" t="s">
        <v>4444</v>
      </c>
      <c r="D2060" t="s">
        <v>895</v>
      </c>
      <c r="F2060">
        <v>114.3972</v>
      </c>
      <c r="P2060">
        <v>54</v>
      </c>
      <c r="Q2060" t="s">
        <v>4445</v>
      </c>
    </row>
    <row r="2061" spans="1:17" x14ac:dyDescent="0.3">
      <c r="A2061" t="s">
        <v>17</v>
      </c>
      <c r="B2061" t="str">
        <f>"688661"</f>
        <v>688661</v>
      </c>
      <c r="C2061" t="s">
        <v>4446</v>
      </c>
      <c r="D2061" t="s">
        <v>313</v>
      </c>
      <c r="F2061">
        <v>78.480400000000003</v>
      </c>
      <c r="P2061">
        <v>64</v>
      </c>
      <c r="Q2061" t="s">
        <v>4447</v>
      </c>
    </row>
    <row r="2062" spans="1:17" x14ac:dyDescent="0.3">
      <c r="A2062" t="s">
        <v>17</v>
      </c>
      <c r="B2062" t="str">
        <f>"688662"</f>
        <v>688662</v>
      </c>
      <c r="C2062" t="s">
        <v>4448</v>
      </c>
      <c r="D2062" t="s">
        <v>651</v>
      </c>
      <c r="F2062">
        <v>144.06</v>
      </c>
      <c r="P2062">
        <v>23</v>
      </c>
      <c r="Q2062" t="s">
        <v>4449</v>
      </c>
    </row>
    <row r="2063" spans="1:17" x14ac:dyDescent="0.3">
      <c r="A2063" t="s">
        <v>17</v>
      </c>
      <c r="B2063" t="str">
        <f>"688663"</f>
        <v>688663</v>
      </c>
      <c r="C2063" t="s">
        <v>4450</v>
      </c>
      <c r="D2063" t="s">
        <v>657</v>
      </c>
      <c r="F2063">
        <v>204.33019999999999</v>
      </c>
      <c r="P2063">
        <v>32</v>
      </c>
      <c r="Q2063" t="s">
        <v>4451</v>
      </c>
    </row>
    <row r="2064" spans="1:17" x14ac:dyDescent="0.3">
      <c r="A2064" t="s">
        <v>17</v>
      </c>
      <c r="B2064" t="str">
        <f>"688665"</f>
        <v>688665</v>
      </c>
      <c r="C2064" t="s">
        <v>4452</v>
      </c>
      <c r="D2064" t="s">
        <v>2551</v>
      </c>
      <c r="F2064">
        <v>226.1611</v>
      </c>
      <c r="G2064">
        <v>303.07429999999999</v>
      </c>
      <c r="P2064">
        <v>63</v>
      </c>
      <c r="Q2064" t="s">
        <v>4453</v>
      </c>
    </row>
    <row r="2065" spans="1:17" x14ac:dyDescent="0.3">
      <c r="A2065" t="s">
        <v>17</v>
      </c>
      <c r="B2065" t="str">
        <f>"688667"</f>
        <v>688667</v>
      </c>
      <c r="C2065" t="s">
        <v>4454</v>
      </c>
      <c r="D2065" t="s">
        <v>1415</v>
      </c>
      <c r="F2065">
        <v>126.11960000000001</v>
      </c>
      <c r="P2065">
        <v>66</v>
      </c>
      <c r="Q2065" t="s">
        <v>4455</v>
      </c>
    </row>
    <row r="2066" spans="1:17" x14ac:dyDescent="0.3">
      <c r="A2066" t="s">
        <v>17</v>
      </c>
      <c r="B2066" t="str">
        <f>"688668"</f>
        <v>688668</v>
      </c>
      <c r="C2066" t="s">
        <v>4456</v>
      </c>
      <c r="D2066" t="s">
        <v>1019</v>
      </c>
      <c r="F2066">
        <v>163.73419999999999</v>
      </c>
      <c r="G2066">
        <v>162.15969999999999</v>
      </c>
      <c r="P2066">
        <v>44</v>
      </c>
      <c r="Q2066" t="s">
        <v>4457</v>
      </c>
    </row>
    <row r="2067" spans="1:17" x14ac:dyDescent="0.3">
      <c r="A2067" t="s">
        <v>17</v>
      </c>
      <c r="B2067" t="str">
        <f>"688669"</f>
        <v>688669</v>
      </c>
      <c r="C2067" t="s">
        <v>4458</v>
      </c>
      <c r="D2067" t="s">
        <v>341</v>
      </c>
      <c r="F2067">
        <v>64.954700000000003</v>
      </c>
      <c r="G2067">
        <v>59.265099999999997</v>
      </c>
      <c r="P2067">
        <v>36</v>
      </c>
      <c r="Q2067" t="s">
        <v>4459</v>
      </c>
    </row>
    <row r="2068" spans="1:17" x14ac:dyDescent="0.3">
      <c r="A2068" t="s">
        <v>17</v>
      </c>
      <c r="B2068" t="str">
        <f>"688670"</f>
        <v>688670</v>
      </c>
      <c r="C2068" t="s">
        <v>4460</v>
      </c>
      <c r="D2068" t="s">
        <v>1499</v>
      </c>
      <c r="F2068">
        <v>527.46640000000002</v>
      </c>
      <c r="P2068">
        <v>19</v>
      </c>
      <c r="Q2068" t="s">
        <v>4461</v>
      </c>
    </row>
    <row r="2069" spans="1:17" x14ac:dyDescent="0.3">
      <c r="A2069" t="s">
        <v>17</v>
      </c>
      <c r="B2069" t="str">
        <f>"688676"</f>
        <v>688676</v>
      </c>
      <c r="C2069" t="s">
        <v>4462</v>
      </c>
      <c r="D2069" t="s">
        <v>210</v>
      </c>
      <c r="F2069">
        <v>250.60929999999999</v>
      </c>
      <c r="P2069">
        <v>42</v>
      </c>
      <c r="Q2069" t="s">
        <v>4463</v>
      </c>
    </row>
    <row r="2070" spans="1:17" x14ac:dyDescent="0.3">
      <c r="A2070" t="s">
        <v>17</v>
      </c>
      <c r="B2070" t="str">
        <f>"688677"</f>
        <v>688677</v>
      </c>
      <c r="C2070" t="s">
        <v>4464</v>
      </c>
      <c r="D2070" t="s">
        <v>122</v>
      </c>
      <c r="F2070">
        <v>241.7516</v>
      </c>
      <c r="G2070">
        <v>275.26350000000002</v>
      </c>
      <c r="P2070">
        <v>94</v>
      </c>
      <c r="Q2070" t="s">
        <v>4465</v>
      </c>
    </row>
    <row r="2071" spans="1:17" x14ac:dyDescent="0.3">
      <c r="A2071" t="s">
        <v>17</v>
      </c>
      <c r="B2071" t="str">
        <f>"688678"</f>
        <v>688678</v>
      </c>
      <c r="C2071" t="s">
        <v>4466</v>
      </c>
      <c r="D2071" t="s">
        <v>313</v>
      </c>
      <c r="F2071">
        <v>162.80699999999999</v>
      </c>
      <c r="G2071">
        <v>164.73009999999999</v>
      </c>
      <c r="P2071">
        <v>29</v>
      </c>
      <c r="Q2071" t="s">
        <v>4467</v>
      </c>
    </row>
    <row r="2072" spans="1:17" x14ac:dyDescent="0.3">
      <c r="A2072" t="s">
        <v>17</v>
      </c>
      <c r="B2072" t="str">
        <f>"688679"</f>
        <v>688679</v>
      </c>
      <c r="C2072" t="s">
        <v>4468</v>
      </c>
      <c r="D2072" t="s">
        <v>499</v>
      </c>
      <c r="F2072">
        <v>27.0778</v>
      </c>
      <c r="G2072">
        <v>75.525300000000001</v>
      </c>
      <c r="P2072">
        <v>31</v>
      </c>
      <c r="Q2072" t="s">
        <v>4469</v>
      </c>
    </row>
    <row r="2073" spans="1:17" x14ac:dyDescent="0.3">
      <c r="A2073" t="s">
        <v>17</v>
      </c>
      <c r="B2073" t="str">
        <f>"688680"</f>
        <v>688680</v>
      </c>
      <c r="C2073" t="s">
        <v>4470</v>
      </c>
      <c r="D2073" t="s">
        <v>478</v>
      </c>
      <c r="F2073">
        <v>48.319099999999999</v>
      </c>
      <c r="G2073">
        <v>53.219000000000001</v>
      </c>
      <c r="H2073">
        <v>50.325099999999999</v>
      </c>
      <c r="I2073">
        <v>51.7149</v>
      </c>
      <c r="P2073">
        <v>79</v>
      </c>
      <c r="Q2073" t="s">
        <v>4471</v>
      </c>
    </row>
    <row r="2074" spans="1:17" x14ac:dyDescent="0.3">
      <c r="A2074" t="s">
        <v>17</v>
      </c>
      <c r="B2074" t="str">
        <f>"688681"</f>
        <v>688681</v>
      </c>
      <c r="C2074" t="s">
        <v>4472</v>
      </c>
      <c r="D2074" t="s">
        <v>610</v>
      </c>
      <c r="F2074">
        <v>138.0386</v>
      </c>
      <c r="P2074">
        <v>31</v>
      </c>
      <c r="Q2074" t="s">
        <v>4473</v>
      </c>
    </row>
    <row r="2075" spans="1:17" x14ac:dyDescent="0.3">
      <c r="A2075" t="s">
        <v>17</v>
      </c>
      <c r="B2075" t="str">
        <f>"688682"</f>
        <v>688682</v>
      </c>
      <c r="C2075" t="s">
        <v>4474</v>
      </c>
      <c r="D2075" t="s">
        <v>1136</v>
      </c>
      <c r="F2075">
        <v>116.4662</v>
      </c>
      <c r="G2075">
        <v>214.0026</v>
      </c>
      <c r="P2075">
        <v>33</v>
      </c>
      <c r="Q2075" t="s">
        <v>4475</v>
      </c>
    </row>
    <row r="2076" spans="1:17" x14ac:dyDescent="0.3">
      <c r="A2076" t="s">
        <v>17</v>
      </c>
      <c r="B2076" t="str">
        <f>"688683"</f>
        <v>688683</v>
      </c>
      <c r="C2076" t="s">
        <v>4476</v>
      </c>
      <c r="D2076" t="s">
        <v>313</v>
      </c>
      <c r="F2076">
        <v>59.7879</v>
      </c>
      <c r="P2076">
        <v>18</v>
      </c>
      <c r="Q2076" t="s">
        <v>4477</v>
      </c>
    </row>
    <row r="2077" spans="1:17" x14ac:dyDescent="0.3">
      <c r="A2077" t="s">
        <v>17</v>
      </c>
      <c r="B2077" t="str">
        <f>"688685"</f>
        <v>688685</v>
      </c>
      <c r="C2077" t="s">
        <v>4478</v>
      </c>
      <c r="D2077" t="s">
        <v>98</v>
      </c>
      <c r="F2077">
        <v>135.40889999999999</v>
      </c>
      <c r="P2077">
        <v>21</v>
      </c>
      <c r="Q2077" t="s">
        <v>4479</v>
      </c>
    </row>
    <row r="2078" spans="1:17" x14ac:dyDescent="0.3">
      <c r="A2078" t="s">
        <v>17</v>
      </c>
      <c r="B2078" t="str">
        <f>"688686"</f>
        <v>688686</v>
      </c>
      <c r="C2078" t="s">
        <v>4480</v>
      </c>
      <c r="D2078" t="s">
        <v>3450</v>
      </c>
      <c r="F2078">
        <v>175.9521</v>
      </c>
      <c r="G2078">
        <v>174.93199999999999</v>
      </c>
      <c r="P2078">
        <v>117</v>
      </c>
      <c r="Q2078" t="s">
        <v>4481</v>
      </c>
    </row>
    <row r="2079" spans="1:17" x14ac:dyDescent="0.3">
      <c r="A2079" t="s">
        <v>17</v>
      </c>
      <c r="B2079" t="str">
        <f>"688687"</f>
        <v>688687</v>
      </c>
      <c r="C2079" t="s">
        <v>4482</v>
      </c>
      <c r="D2079" t="s">
        <v>1379</v>
      </c>
      <c r="F2079">
        <v>435.4264</v>
      </c>
      <c r="G2079">
        <v>313.72039999999998</v>
      </c>
      <c r="P2079">
        <v>41</v>
      </c>
      <c r="Q2079" t="s">
        <v>4483</v>
      </c>
    </row>
    <row r="2080" spans="1:17" x14ac:dyDescent="0.3">
      <c r="A2080" t="s">
        <v>17</v>
      </c>
      <c r="B2080" t="str">
        <f>"688689"</f>
        <v>688689</v>
      </c>
      <c r="C2080" t="s">
        <v>4484</v>
      </c>
      <c r="D2080" t="s">
        <v>795</v>
      </c>
      <c r="F2080">
        <v>100.3764</v>
      </c>
      <c r="G2080">
        <v>104.6228</v>
      </c>
      <c r="P2080">
        <v>46</v>
      </c>
      <c r="Q2080" t="s">
        <v>4485</v>
      </c>
    </row>
    <row r="2081" spans="1:17" x14ac:dyDescent="0.3">
      <c r="A2081" t="s">
        <v>17</v>
      </c>
      <c r="B2081" t="str">
        <f>"688690"</f>
        <v>688690</v>
      </c>
      <c r="C2081" t="s">
        <v>4486</v>
      </c>
      <c r="D2081" t="s">
        <v>496</v>
      </c>
      <c r="F2081">
        <v>489.22519999999997</v>
      </c>
      <c r="G2081">
        <v>694.10289999999998</v>
      </c>
      <c r="P2081">
        <v>116</v>
      </c>
      <c r="Q2081" t="s">
        <v>4487</v>
      </c>
    </row>
    <row r="2082" spans="1:17" x14ac:dyDescent="0.3">
      <c r="A2082" t="s">
        <v>17</v>
      </c>
      <c r="B2082" t="str">
        <f>"688696"</f>
        <v>688696</v>
      </c>
      <c r="C2082" t="s">
        <v>4488</v>
      </c>
      <c r="D2082" t="s">
        <v>137</v>
      </c>
      <c r="F2082">
        <v>186.9691</v>
      </c>
      <c r="P2082">
        <v>150</v>
      </c>
      <c r="Q2082" t="s">
        <v>4489</v>
      </c>
    </row>
    <row r="2083" spans="1:17" x14ac:dyDescent="0.3">
      <c r="A2083" t="s">
        <v>17</v>
      </c>
      <c r="B2083" t="str">
        <f>"688697"</f>
        <v>688697</v>
      </c>
      <c r="C2083" t="s">
        <v>4490</v>
      </c>
      <c r="D2083" t="s">
        <v>2312</v>
      </c>
      <c r="F2083">
        <v>251.4254</v>
      </c>
      <c r="P2083">
        <v>16</v>
      </c>
      <c r="Q2083" t="s">
        <v>4491</v>
      </c>
    </row>
    <row r="2084" spans="1:17" x14ac:dyDescent="0.3">
      <c r="A2084" t="s">
        <v>17</v>
      </c>
      <c r="B2084" t="str">
        <f>"688698"</f>
        <v>688698</v>
      </c>
      <c r="C2084" t="s">
        <v>4492</v>
      </c>
      <c r="D2084" t="s">
        <v>2423</v>
      </c>
      <c r="F2084">
        <v>162.0856</v>
      </c>
      <c r="G2084">
        <v>132.4289</v>
      </c>
      <c r="P2084">
        <v>74</v>
      </c>
      <c r="Q2084" t="s">
        <v>4493</v>
      </c>
    </row>
    <row r="2085" spans="1:17" x14ac:dyDescent="0.3">
      <c r="A2085" t="s">
        <v>17</v>
      </c>
      <c r="B2085" t="str">
        <f>"688699"</f>
        <v>688699</v>
      </c>
      <c r="C2085" t="s">
        <v>4494</v>
      </c>
      <c r="D2085" t="s">
        <v>401</v>
      </c>
      <c r="F2085">
        <v>145.23910000000001</v>
      </c>
      <c r="G2085">
        <v>160.1011</v>
      </c>
      <c r="P2085">
        <v>140</v>
      </c>
      <c r="Q2085" t="s">
        <v>4495</v>
      </c>
    </row>
    <row r="2086" spans="1:17" x14ac:dyDescent="0.3">
      <c r="A2086" t="s">
        <v>17</v>
      </c>
      <c r="B2086" t="str">
        <f>"688700"</f>
        <v>688700</v>
      </c>
      <c r="C2086" t="s">
        <v>4496</v>
      </c>
      <c r="D2086" t="s">
        <v>741</v>
      </c>
      <c r="F2086">
        <v>313.32010000000002</v>
      </c>
      <c r="P2086">
        <v>34</v>
      </c>
      <c r="Q2086" t="s">
        <v>4497</v>
      </c>
    </row>
    <row r="2087" spans="1:17" x14ac:dyDescent="0.3">
      <c r="A2087" t="s">
        <v>17</v>
      </c>
      <c r="B2087" t="str">
        <f>"688701"</f>
        <v>688701</v>
      </c>
      <c r="C2087" t="s">
        <v>4498</v>
      </c>
      <c r="D2087" t="s">
        <v>3548</v>
      </c>
      <c r="F2087">
        <v>1.7763</v>
      </c>
      <c r="G2087">
        <v>137.89779999999999</v>
      </c>
      <c r="P2087">
        <v>19</v>
      </c>
      <c r="Q2087" t="s">
        <v>4499</v>
      </c>
    </row>
    <row r="2088" spans="1:17" x14ac:dyDescent="0.3">
      <c r="A2088" t="s">
        <v>17</v>
      </c>
      <c r="B2088" t="str">
        <f>"688707"</f>
        <v>688707</v>
      </c>
      <c r="C2088" t="s">
        <v>4500</v>
      </c>
      <c r="D2088" t="s">
        <v>1786</v>
      </c>
      <c r="F2088">
        <v>131.011</v>
      </c>
      <c r="G2088">
        <v>441.36149999999998</v>
      </c>
      <c r="P2088">
        <v>31</v>
      </c>
      <c r="Q2088" t="s">
        <v>4501</v>
      </c>
    </row>
    <row r="2089" spans="1:17" x14ac:dyDescent="0.3">
      <c r="A2089" t="s">
        <v>17</v>
      </c>
      <c r="B2089" t="str">
        <f>"688711"</f>
        <v>688711</v>
      </c>
      <c r="C2089" t="s">
        <v>4502</v>
      </c>
      <c r="D2089" t="s">
        <v>795</v>
      </c>
      <c r="F2089">
        <v>157.4794</v>
      </c>
      <c r="P2089">
        <v>38</v>
      </c>
      <c r="Q2089" t="s">
        <v>4503</v>
      </c>
    </row>
    <row r="2090" spans="1:17" x14ac:dyDescent="0.3">
      <c r="A2090" t="s">
        <v>17</v>
      </c>
      <c r="B2090" t="str">
        <f>"688718"</f>
        <v>688718</v>
      </c>
      <c r="C2090" t="s">
        <v>4504</v>
      </c>
      <c r="D2090" t="s">
        <v>324</v>
      </c>
      <c r="F2090">
        <v>160.06110000000001</v>
      </c>
      <c r="G2090">
        <v>163.08269999999999</v>
      </c>
      <c r="P2090">
        <v>20</v>
      </c>
      <c r="Q2090" t="s">
        <v>4505</v>
      </c>
    </row>
    <row r="2091" spans="1:17" x14ac:dyDescent="0.3">
      <c r="A2091" t="s">
        <v>17</v>
      </c>
      <c r="B2091" t="str">
        <f>"688722"</f>
        <v>688722</v>
      </c>
      <c r="C2091" t="s">
        <v>4506</v>
      </c>
      <c r="D2091" t="s">
        <v>146</v>
      </c>
      <c r="F2091">
        <v>235.02709999999999</v>
      </c>
      <c r="P2091">
        <v>13</v>
      </c>
      <c r="Q2091" t="s">
        <v>4507</v>
      </c>
    </row>
    <row r="2092" spans="1:17" x14ac:dyDescent="0.3">
      <c r="A2092" t="s">
        <v>17</v>
      </c>
      <c r="B2092" t="str">
        <f>"688728"</f>
        <v>688728</v>
      </c>
      <c r="C2092" t="s">
        <v>4508</v>
      </c>
      <c r="D2092" t="s">
        <v>461</v>
      </c>
      <c r="F2092">
        <v>271.42840000000001</v>
      </c>
      <c r="G2092">
        <v>159.04480000000001</v>
      </c>
      <c r="P2092">
        <v>58</v>
      </c>
      <c r="Q2092" t="s">
        <v>4509</v>
      </c>
    </row>
    <row r="2093" spans="1:17" x14ac:dyDescent="0.3">
      <c r="A2093" t="s">
        <v>17</v>
      </c>
      <c r="B2093" t="str">
        <f>"688733"</f>
        <v>688733</v>
      </c>
      <c r="C2093" t="s">
        <v>4510</v>
      </c>
      <c r="D2093" t="s">
        <v>1786</v>
      </c>
      <c r="F2093">
        <v>132.3458</v>
      </c>
      <c r="P2093">
        <v>47</v>
      </c>
      <c r="Q2093" t="s">
        <v>4511</v>
      </c>
    </row>
    <row r="2094" spans="1:17" x14ac:dyDescent="0.3">
      <c r="A2094" t="s">
        <v>17</v>
      </c>
      <c r="B2094" t="str">
        <f>"688737"</f>
        <v>688737</v>
      </c>
      <c r="C2094" t="s">
        <v>4512</v>
      </c>
      <c r="D2094" t="s">
        <v>985</v>
      </c>
      <c r="F2094">
        <v>102.64749999999999</v>
      </c>
      <c r="P2094">
        <v>15</v>
      </c>
      <c r="Q2094" t="s">
        <v>4513</v>
      </c>
    </row>
    <row r="2095" spans="1:17" x14ac:dyDescent="0.3">
      <c r="A2095" t="s">
        <v>17</v>
      </c>
      <c r="B2095" t="str">
        <f>"688739"</f>
        <v>688739</v>
      </c>
      <c r="C2095" t="s">
        <v>4514</v>
      </c>
      <c r="D2095" t="s">
        <v>1499</v>
      </c>
      <c r="F2095">
        <v>665.0018</v>
      </c>
      <c r="P2095">
        <v>36</v>
      </c>
      <c r="Q2095" t="s">
        <v>4515</v>
      </c>
    </row>
    <row r="2096" spans="1:17" x14ac:dyDescent="0.3">
      <c r="A2096" t="s">
        <v>17</v>
      </c>
      <c r="B2096" t="str">
        <f>"688766"</f>
        <v>688766</v>
      </c>
      <c r="C2096" t="s">
        <v>4516</v>
      </c>
      <c r="D2096" t="s">
        <v>461</v>
      </c>
      <c r="F2096">
        <v>120.28830000000001</v>
      </c>
      <c r="G2096">
        <v>120.7182</v>
      </c>
      <c r="P2096">
        <v>42</v>
      </c>
      <c r="Q2096" t="s">
        <v>4517</v>
      </c>
    </row>
    <row r="2097" spans="1:17" x14ac:dyDescent="0.3">
      <c r="A2097" t="s">
        <v>17</v>
      </c>
      <c r="B2097" t="str">
        <f>"688767"</f>
        <v>688767</v>
      </c>
      <c r="C2097" t="s">
        <v>4518</v>
      </c>
      <c r="D2097" t="s">
        <v>1305</v>
      </c>
      <c r="F2097">
        <v>64.283500000000004</v>
      </c>
      <c r="P2097">
        <v>43</v>
      </c>
      <c r="Q2097" t="s">
        <v>4519</v>
      </c>
    </row>
    <row r="2098" spans="1:17" x14ac:dyDescent="0.3">
      <c r="A2098" t="s">
        <v>17</v>
      </c>
      <c r="B2098" t="str">
        <f>"688768"</f>
        <v>688768</v>
      </c>
      <c r="C2098" t="s">
        <v>4520</v>
      </c>
      <c r="D2098" t="s">
        <v>2551</v>
      </c>
      <c r="F2098">
        <v>287.9085</v>
      </c>
      <c r="P2098">
        <v>30</v>
      </c>
      <c r="Q2098" t="s">
        <v>4521</v>
      </c>
    </row>
    <row r="2099" spans="1:17" x14ac:dyDescent="0.3">
      <c r="A2099" t="s">
        <v>17</v>
      </c>
      <c r="B2099" t="str">
        <f>"688772"</f>
        <v>688772</v>
      </c>
      <c r="C2099" t="s">
        <v>4522</v>
      </c>
      <c r="D2099" t="s">
        <v>359</v>
      </c>
      <c r="F2099">
        <v>84.397400000000005</v>
      </c>
      <c r="P2099">
        <v>33</v>
      </c>
      <c r="Q2099" t="s">
        <v>4523</v>
      </c>
    </row>
    <row r="2100" spans="1:17" x14ac:dyDescent="0.3">
      <c r="A2100" t="s">
        <v>17</v>
      </c>
      <c r="B2100" t="str">
        <f>"688776"</f>
        <v>688776</v>
      </c>
      <c r="C2100" t="s">
        <v>4524</v>
      </c>
      <c r="D2100" t="s">
        <v>1136</v>
      </c>
      <c r="F2100">
        <v>338.89089999999999</v>
      </c>
      <c r="P2100">
        <v>23</v>
      </c>
      <c r="Q2100" t="s">
        <v>4525</v>
      </c>
    </row>
    <row r="2101" spans="1:17" x14ac:dyDescent="0.3">
      <c r="A2101" t="s">
        <v>17</v>
      </c>
      <c r="B2101" t="str">
        <f>"688777"</f>
        <v>688777</v>
      </c>
      <c r="C2101" t="s">
        <v>4526</v>
      </c>
      <c r="D2101" t="s">
        <v>2423</v>
      </c>
      <c r="F2101">
        <v>505.06029999999998</v>
      </c>
      <c r="G2101">
        <v>536.90520000000004</v>
      </c>
      <c r="H2101">
        <v>529.64369999999997</v>
      </c>
      <c r="P2101">
        <v>180</v>
      </c>
      <c r="Q2101" t="s">
        <v>4527</v>
      </c>
    </row>
    <row r="2102" spans="1:17" x14ac:dyDescent="0.3">
      <c r="A2102" t="s">
        <v>17</v>
      </c>
      <c r="B2102" t="str">
        <f>"688778"</f>
        <v>688778</v>
      </c>
      <c r="C2102" t="s">
        <v>4528</v>
      </c>
      <c r="D2102" t="s">
        <v>1786</v>
      </c>
      <c r="F2102">
        <v>60.142899999999997</v>
      </c>
      <c r="P2102">
        <v>44</v>
      </c>
      <c r="Q2102" t="s">
        <v>4529</v>
      </c>
    </row>
    <row r="2103" spans="1:17" x14ac:dyDescent="0.3">
      <c r="A2103" t="s">
        <v>17</v>
      </c>
      <c r="B2103" t="str">
        <f>"688779"</f>
        <v>688779</v>
      </c>
      <c r="C2103" t="s">
        <v>4530</v>
      </c>
      <c r="D2103" t="s">
        <v>1786</v>
      </c>
      <c r="F2103">
        <v>94.7667</v>
      </c>
      <c r="P2103">
        <v>53</v>
      </c>
      <c r="Q2103" t="s">
        <v>4531</v>
      </c>
    </row>
    <row r="2104" spans="1:17" x14ac:dyDescent="0.3">
      <c r="A2104" t="s">
        <v>17</v>
      </c>
      <c r="B2104" t="str">
        <f>"688786"</f>
        <v>688786</v>
      </c>
      <c r="C2104" t="s">
        <v>4532</v>
      </c>
      <c r="D2104" t="s">
        <v>581</v>
      </c>
      <c r="F2104">
        <v>104.6331</v>
      </c>
      <c r="P2104">
        <v>31</v>
      </c>
      <c r="Q2104" t="s">
        <v>4533</v>
      </c>
    </row>
    <row r="2105" spans="1:17" x14ac:dyDescent="0.3">
      <c r="A2105" t="s">
        <v>17</v>
      </c>
      <c r="B2105" t="str">
        <f>"688787"</f>
        <v>688787</v>
      </c>
      <c r="C2105" t="s">
        <v>4534</v>
      </c>
      <c r="D2105" t="s">
        <v>316</v>
      </c>
      <c r="F2105">
        <v>59.483600000000003</v>
      </c>
      <c r="G2105">
        <v>87.871399999999994</v>
      </c>
      <c r="P2105">
        <v>32</v>
      </c>
      <c r="Q2105" t="s">
        <v>4535</v>
      </c>
    </row>
    <row r="2106" spans="1:17" x14ac:dyDescent="0.3">
      <c r="A2106" t="s">
        <v>17</v>
      </c>
      <c r="B2106" t="str">
        <f>"688788"</f>
        <v>688788</v>
      </c>
      <c r="C2106" t="s">
        <v>4536</v>
      </c>
      <c r="D2106" t="s">
        <v>1136</v>
      </c>
      <c r="F2106">
        <v>598.99760000000003</v>
      </c>
      <c r="G2106">
        <v>886.90970000000004</v>
      </c>
      <c r="P2106">
        <v>57</v>
      </c>
      <c r="Q2106" t="s">
        <v>4537</v>
      </c>
    </row>
    <row r="2107" spans="1:17" x14ac:dyDescent="0.3">
      <c r="A2107" t="s">
        <v>17</v>
      </c>
      <c r="B2107" t="str">
        <f>"688789"</f>
        <v>688789</v>
      </c>
      <c r="C2107" t="s">
        <v>4538</v>
      </c>
      <c r="D2107" t="s">
        <v>534</v>
      </c>
      <c r="F2107">
        <v>153.0342</v>
      </c>
      <c r="P2107">
        <v>43</v>
      </c>
      <c r="Q2107" t="s">
        <v>4539</v>
      </c>
    </row>
    <row r="2108" spans="1:17" x14ac:dyDescent="0.3">
      <c r="A2108" t="s">
        <v>17</v>
      </c>
      <c r="B2108" t="str">
        <f>"688793"</f>
        <v>688793</v>
      </c>
      <c r="C2108" t="s">
        <v>4540</v>
      </c>
      <c r="D2108" t="s">
        <v>3337</v>
      </c>
      <c r="F2108">
        <v>189.4787</v>
      </c>
      <c r="P2108">
        <v>48</v>
      </c>
      <c r="Q2108" t="s">
        <v>4541</v>
      </c>
    </row>
    <row r="2109" spans="1:17" x14ac:dyDescent="0.3">
      <c r="A2109" t="s">
        <v>17</v>
      </c>
      <c r="B2109" t="str">
        <f>"688798"</f>
        <v>688798</v>
      </c>
      <c r="C2109" t="s">
        <v>4542</v>
      </c>
      <c r="D2109" t="s">
        <v>401</v>
      </c>
      <c r="F2109">
        <v>144.61949999999999</v>
      </c>
      <c r="P2109">
        <v>67</v>
      </c>
      <c r="Q2109" t="s">
        <v>4543</v>
      </c>
    </row>
    <row r="2110" spans="1:17" x14ac:dyDescent="0.3">
      <c r="A2110" t="s">
        <v>17</v>
      </c>
      <c r="B2110" t="str">
        <f>"688799"</f>
        <v>688799</v>
      </c>
      <c r="C2110" t="s">
        <v>4544</v>
      </c>
      <c r="D2110" t="s">
        <v>143</v>
      </c>
      <c r="F2110">
        <v>367.65100000000001</v>
      </c>
      <c r="P2110">
        <v>35</v>
      </c>
      <c r="Q2110" t="s">
        <v>4545</v>
      </c>
    </row>
    <row r="2111" spans="1:17" x14ac:dyDescent="0.3">
      <c r="A2111" t="s">
        <v>17</v>
      </c>
      <c r="B2111" t="str">
        <f>"688800"</f>
        <v>688800</v>
      </c>
      <c r="C2111" t="s">
        <v>4546</v>
      </c>
      <c r="D2111" t="s">
        <v>651</v>
      </c>
      <c r="F2111">
        <v>132.44980000000001</v>
      </c>
      <c r="P2111">
        <v>51</v>
      </c>
      <c r="Q2111" t="s">
        <v>4547</v>
      </c>
    </row>
    <row r="2112" spans="1:17" x14ac:dyDescent="0.3">
      <c r="A2112" t="s">
        <v>17</v>
      </c>
      <c r="B2112" t="str">
        <f>"688819"</f>
        <v>688819</v>
      </c>
      <c r="C2112" t="s">
        <v>4548</v>
      </c>
      <c r="D2112" t="s">
        <v>555</v>
      </c>
      <c r="F2112">
        <v>68.502300000000005</v>
      </c>
      <c r="G2112">
        <v>62.274500000000003</v>
      </c>
      <c r="P2112">
        <v>159</v>
      </c>
      <c r="Q2112" t="s">
        <v>4549</v>
      </c>
    </row>
    <row r="2113" spans="1:17" x14ac:dyDescent="0.3">
      <c r="A2113" t="s">
        <v>17</v>
      </c>
      <c r="B2113" t="str">
        <f>"688981"</f>
        <v>688981</v>
      </c>
      <c r="C2113" t="s">
        <v>4550</v>
      </c>
      <c r="D2113" t="s">
        <v>4269</v>
      </c>
      <c r="F2113">
        <v>121.7568</v>
      </c>
      <c r="G2113">
        <v>100.96040000000001</v>
      </c>
      <c r="P2113">
        <v>1041</v>
      </c>
      <c r="Q2113" t="s">
        <v>4551</v>
      </c>
    </row>
    <row r="2114" spans="1:17" x14ac:dyDescent="0.3">
      <c r="A2114" t="s">
        <v>17</v>
      </c>
      <c r="B2114" t="str">
        <f>"689009"</f>
        <v>689009</v>
      </c>
      <c r="C2114" t="s">
        <v>4552</v>
      </c>
      <c r="D2114" t="s">
        <v>233</v>
      </c>
      <c r="F2114">
        <v>110.2799</v>
      </c>
      <c r="G2114">
        <v>119.3653</v>
      </c>
      <c r="P2114">
        <v>114</v>
      </c>
      <c r="Q2114" t="s">
        <v>4553</v>
      </c>
    </row>
    <row r="2115" spans="1:17" x14ac:dyDescent="0.3">
      <c r="A2115" t="s">
        <v>17</v>
      </c>
      <c r="B2115" t="str">
        <f>"900901"</f>
        <v>900901</v>
      </c>
      <c r="C2115" t="s">
        <v>4554</v>
      </c>
      <c r="G2115">
        <v>100.849</v>
      </c>
      <c r="H2115">
        <v>81.701300000000003</v>
      </c>
      <c r="I2115">
        <v>74.012699999999995</v>
      </c>
      <c r="J2115">
        <v>86.581400000000002</v>
      </c>
      <c r="K2115">
        <v>85.159499999999994</v>
      </c>
      <c r="L2115">
        <v>129.14160000000001</v>
      </c>
      <c r="M2115">
        <v>73.237899999999996</v>
      </c>
      <c r="N2115">
        <v>55.660600000000002</v>
      </c>
      <c r="O2115">
        <v>44.130499999999998</v>
      </c>
      <c r="P2115">
        <v>7</v>
      </c>
      <c r="Q2115" t="s">
        <v>4555</v>
      </c>
    </row>
    <row r="2116" spans="1:17" x14ac:dyDescent="0.3">
      <c r="A2116" t="s">
        <v>17</v>
      </c>
      <c r="B2116" t="str">
        <f>"900902"</f>
        <v>900902</v>
      </c>
      <c r="C2116" t="s">
        <v>4556</v>
      </c>
      <c r="G2116">
        <v>6396.4732000000004</v>
      </c>
      <c r="H2116">
        <v>17395.714899999999</v>
      </c>
      <c r="I2116">
        <v>7937.2676000000001</v>
      </c>
      <c r="J2116">
        <v>5520.0227000000004</v>
      </c>
      <c r="K2116">
        <v>2427.9901</v>
      </c>
      <c r="L2116">
        <v>15046.559600000001</v>
      </c>
      <c r="M2116">
        <v>8635.3775999999998</v>
      </c>
      <c r="N2116">
        <v>1916.0550000000001</v>
      </c>
      <c r="O2116">
        <v>1684.4915000000001</v>
      </c>
      <c r="P2116">
        <v>10</v>
      </c>
      <c r="Q2116" t="s">
        <v>4557</v>
      </c>
    </row>
    <row r="2117" spans="1:17" x14ac:dyDescent="0.3">
      <c r="A2117" t="s">
        <v>17</v>
      </c>
      <c r="B2117" t="str">
        <f>"900903"</f>
        <v>900903</v>
      </c>
      <c r="C2117" t="s">
        <v>4558</v>
      </c>
      <c r="G2117">
        <v>1109.4176</v>
      </c>
      <c r="H2117">
        <v>792.71699999999998</v>
      </c>
      <c r="I2117">
        <v>641.45899999999995</v>
      </c>
      <c r="J2117">
        <v>424.71300000000002</v>
      </c>
      <c r="K2117">
        <v>488.70620000000002</v>
      </c>
      <c r="L2117">
        <v>476.6198</v>
      </c>
      <c r="M2117">
        <v>291.55309999999997</v>
      </c>
      <c r="N2117">
        <v>232.691</v>
      </c>
      <c r="O2117">
        <v>273.06169999999997</v>
      </c>
      <c r="P2117">
        <v>32</v>
      </c>
      <c r="Q2117" t="s">
        <v>4559</v>
      </c>
    </row>
    <row r="2118" spans="1:17" x14ac:dyDescent="0.3">
      <c r="A2118" t="s">
        <v>17</v>
      </c>
      <c r="B2118" t="str">
        <f>"900904"</f>
        <v>900904</v>
      </c>
      <c r="C2118" t="s">
        <v>4560</v>
      </c>
      <c r="G2118">
        <v>117.94</v>
      </c>
      <c r="H2118">
        <v>121.1768</v>
      </c>
      <c r="I2118">
        <v>127.7663</v>
      </c>
      <c r="J2118">
        <v>177.24510000000001</v>
      </c>
      <c r="K2118">
        <v>222.90799999999999</v>
      </c>
      <c r="L2118">
        <v>290.33319999999998</v>
      </c>
      <c r="M2118">
        <v>258.77519999999998</v>
      </c>
      <c r="N2118">
        <v>192.04320000000001</v>
      </c>
      <c r="O2118">
        <v>228.52289999999999</v>
      </c>
      <c r="P2118">
        <v>8</v>
      </c>
      <c r="Q2118" t="s">
        <v>4561</v>
      </c>
    </row>
    <row r="2119" spans="1:17" x14ac:dyDescent="0.3">
      <c r="A2119" t="s">
        <v>17</v>
      </c>
      <c r="B2119" t="str">
        <f>"900905"</f>
        <v>900905</v>
      </c>
      <c r="C2119" t="s">
        <v>4562</v>
      </c>
      <c r="G2119">
        <v>84.842600000000004</v>
      </c>
      <c r="H2119">
        <v>79.636600000000001</v>
      </c>
      <c r="I2119">
        <v>74.152500000000003</v>
      </c>
      <c r="J2119">
        <v>79.528899999999993</v>
      </c>
      <c r="K2119">
        <v>68.555599999999998</v>
      </c>
      <c r="L2119">
        <v>61.599499999999999</v>
      </c>
      <c r="M2119">
        <v>65.1006</v>
      </c>
      <c r="N2119">
        <v>61.8048</v>
      </c>
      <c r="O2119">
        <v>73.665700000000001</v>
      </c>
      <c r="P2119">
        <v>473</v>
      </c>
      <c r="Q2119" t="s">
        <v>4563</v>
      </c>
    </row>
    <row r="2120" spans="1:17" x14ac:dyDescent="0.3">
      <c r="A2120" t="s">
        <v>17</v>
      </c>
      <c r="B2120" t="str">
        <f>"900906"</f>
        <v>900906</v>
      </c>
      <c r="C2120" t="s">
        <v>4564</v>
      </c>
      <c r="F2120">
        <v>66.677300000000002</v>
      </c>
      <c r="G2120">
        <v>74.004800000000003</v>
      </c>
      <c r="J2120">
        <v>1516.8642</v>
      </c>
      <c r="K2120">
        <v>3594.2203</v>
      </c>
      <c r="L2120">
        <v>3135.9602</v>
      </c>
      <c r="M2120">
        <v>2759.3022999999998</v>
      </c>
      <c r="N2120">
        <v>182.68960000000001</v>
      </c>
      <c r="O2120">
        <v>224.43350000000001</v>
      </c>
      <c r="P2120">
        <v>4</v>
      </c>
      <c r="Q2120" t="s">
        <v>4565</v>
      </c>
    </row>
    <row r="2121" spans="1:17" x14ac:dyDescent="0.3">
      <c r="A2121" t="s">
        <v>17</v>
      </c>
      <c r="B2121" t="str">
        <f>"900907"</f>
        <v>900907</v>
      </c>
      <c r="C2121" t="s">
        <v>4566</v>
      </c>
      <c r="G2121">
        <v>4805.1776</v>
      </c>
      <c r="H2121">
        <v>455.83929999999998</v>
      </c>
      <c r="I2121">
        <v>667.3818</v>
      </c>
      <c r="J2121">
        <v>700.68150000000003</v>
      </c>
      <c r="K2121">
        <v>837.08500000000004</v>
      </c>
      <c r="L2121">
        <v>810.84789999999998</v>
      </c>
      <c r="M2121">
        <v>672.62170000000003</v>
      </c>
      <c r="N2121">
        <v>578.15</v>
      </c>
      <c r="O2121">
        <v>638.96609999999998</v>
      </c>
      <c r="P2121">
        <v>4</v>
      </c>
      <c r="Q2121" t="s">
        <v>4567</v>
      </c>
    </row>
    <row r="2122" spans="1:17" x14ac:dyDescent="0.3">
      <c r="A2122" t="s">
        <v>17</v>
      </c>
      <c r="B2122" t="str">
        <f>"900908"</f>
        <v>900908</v>
      </c>
      <c r="C2122" t="s">
        <v>4568</v>
      </c>
      <c r="F2122">
        <v>14.9276</v>
      </c>
      <c r="G2122">
        <v>22.734400000000001</v>
      </c>
      <c r="H2122">
        <v>14.150700000000001</v>
      </c>
      <c r="I2122">
        <v>12.2883</v>
      </c>
      <c r="J2122">
        <v>15.064500000000001</v>
      </c>
      <c r="K2122">
        <v>24.430299999999999</v>
      </c>
      <c r="L2122">
        <v>42.415999999999997</v>
      </c>
      <c r="M2122">
        <v>38.186</v>
      </c>
      <c r="N2122">
        <v>31.023399999999999</v>
      </c>
      <c r="O2122">
        <v>33.238500000000002</v>
      </c>
      <c r="P2122">
        <v>50</v>
      </c>
      <c r="Q2122" t="s">
        <v>4569</v>
      </c>
    </row>
    <row r="2123" spans="1:17" x14ac:dyDescent="0.3">
      <c r="A2123" t="s">
        <v>17</v>
      </c>
      <c r="B2123" t="str">
        <f>"900909"</f>
        <v>900909</v>
      </c>
      <c r="C2123" t="s">
        <v>4570</v>
      </c>
      <c r="G2123">
        <v>82.053700000000006</v>
      </c>
      <c r="H2123">
        <v>51.4771</v>
      </c>
      <c r="I2123">
        <v>45.975099999999998</v>
      </c>
      <c r="J2123">
        <v>37.604199999999999</v>
      </c>
      <c r="K2123">
        <v>44.573999999999998</v>
      </c>
      <c r="L2123">
        <v>41.898499999999999</v>
      </c>
      <c r="M2123">
        <v>77.694400000000002</v>
      </c>
      <c r="N2123">
        <v>70.025400000000005</v>
      </c>
      <c r="O2123">
        <v>83.275599999999997</v>
      </c>
      <c r="P2123">
        <v>24</v>
      </c>
      <c r="Q2123" t="s">
        <v>4571</v>
      </c>
    </row>
    <row r="2124" spans="1:17" x14ac:dyDescent="0.3">
      <c r="A2124" t="s">
        <v>17</v>
      </c>
      <c r="B2124" t="str">
        <f>"900910"</f>
        <v>900910</v>
      </c>
      <c r="C2124" t="s">
        <v>4572</v>
      </c>
      <c r="G2124">
        <v>122.1896</v>
      </c>
      <c r="H2124">
        <v>100.05500000000001</v>
      </c>
      <c r="I2124">
        <v>88.080200000000005</v>
      </c>
      <c r="J2124">
        <v>78.676000000000002</v>
      </c>
      <c r="K2124">
        <v>103.62649999999999</v>
      </c>
      <c r="L2124">
        <v>104.7989</v>
      </c>
      <c r="M2124">
        <v>74.576099999999997</v>
      </c>
      <c r="N2124">
        <v>60.734999999999999</v>
      </c>
      <c r="O2124">
        <v>69.332400000000007</v>
      </c>
      <c r="P2124">
        <v>13</v>
      </c>
      <c r="Q2124" t="s">
        <v>4573</v>
      </c>
    </row>
    <row r="2125" spans="1:17" x14ac:dyDescent="0.3">
      <c r="A2125" t="s">
        <v>17</v>
      </c>
      <c r="B2125" t="str">
        <f>"900911"</f>
        <v>900911</v>
      </c>
      <c r="C2125" t="s">
        <v>4574</v>
      </c>
      <c r="G2125">
        <v>1277.9157</v>
      </c>
      <c r="H2125">
        <v>1391.0974000000001</v>
      </c>
      <c r="I2125">
        <v>2804.3321000000001</v>
      </c>
      <c r="J2125">
        <v>2921.4875000000002</v>
      </c>
      <c r="K2125">
        <v>2335.8191000000002</v>
      </c>
      <c r="L2125">
        <v>2074.7440999999999</v>
      </c>
      <c r="M2125">
        <v>1136.8199</v>
      </c>
      <c r="N2125">
        <v>2672.3101000000001</v>
      </c>
      <c r="O2125">
        <v>2633.63</v>
      </c>
      <c r="P2125">
        <v>73</v>
      </c>
      <c r="Q2125" t="s">
        <v>4575</v>
      </c>
    </row>
    <row r="2126" spans="1:17" x14ac:dyDescent="0.3">
      <c r="A2126" t="s">
        <v>17</v>
      </c>
      <c r="B2126" t="str">
        <f>"900912"</f>
        <v>900912</v>
      </c>
      <c r="C2126" t="s">
        <v>4576</v>
      </c>
      <c r="G2126">
        <v>929.11500000000001</v>
      </c>
      <c r="H2126">
        <v>733.04430000000002</v>
      </c>
      <c r="I2126">
        <v>905.5924</v>
      </c>
      <c r="J2126">
        <v>909.5009</v>
      </c>
      <c r="K2126">
        <v>858.84310000000005</v>
      </c>
      <c r="L2126">
        <v>1019.205</v>
      </c>
      <c r="M2126">
        <v>913.68989999999997</v>
      </c>
      <c r="N2126">
        <v>1104.9086</v>
      </c>
      <c r="O2126">
        <v>814.68150000000003</v>
      </c>
      <c r="P2126">
        <v>18</v>
      </c>
      <c r="Q2126" t="s">
        <v>4577</v>
      </c>
    </row>
    <row r="2127" spans="1:17" x14ac:dyDescent="0.3">
      <c r="A2127" t="s">
        <v>17</v>
      </c>
      <c r="B2127" t="str">
        <f>"900913"</f>
        <v>900913</v>
      </c>
      <c r="C2127" t="s">
        <v>4578</v>
      </c>
      <c r="G2127">
        <v>21.191099999999999</v>
      </c>
      <c r="H2127">
        <v>13.5282</v>
      </c>
      <c r="I2127">
        <v>14.9605</v>
      </c>
      <c r="J2127">
        <v>7.4653999999999998</v>
      </c>
      <c r="K2127">
        <v>8.0238999999999994</v>
      </c>
      <c r="L2127">
        <v>5.9737999999999998</v>
      </c>
      <c r="M2127">
        <v>5.5155000000000003</v>
      </c>
      <c r="P2127">
        <v>7</v>
      </c>
      <c r="Q2127" t="s">
        <v>4579</v>
      </c>
    </row>
    <row r="2128" spans="1:17" x14ac:dyDescent="0.3">
      <c r="A2128" t="s">
        <v>17</v>
      </c>
      <c r="B2128" t="str">
        <f>"900914"</f>
        <v>900914</v>
      </c>
      <c r="C2128" t="s">
        <v>4580</v>
      </c>
      <c r="G2128">
        <v>35.771900000000002</v>
      </c>
      <c r="H2128">
        <v>39.830300000000001</v>
      </c>
      <c r="I2128">
        <v>31.742599999999999</v>
      </c>
      <c r="J2128">
        <v>21.881399999999999</v>
      </c>
      <c r="K2128">
        <v>29.2378</v>
      </c>
      <c r="L2128">
        <v>28.7698</v>
      </c>
      <c r="M2128">
        <v>29.3523</v>
      </c>
      <c r="N2128">
        <v>27.6402</v>
      </c>
      <c r="O2128">
        <v>26.3962</v>
      </c>
      <c r="P2128">
        <v>20</v>
      </c>
      <c r="Q2128" t="s">
        <v>4581</v>
      </c>
    </row>
    <row r="2129" spans="1:17" x14ac:dyDescent="0.3">
      <c r="A2129" t="s">
        <v>17</v>
      </c>
      <c r="B2129" t="str">
        <f>"900915"</f>
        <v>900915</v>
      </c>
      <c r="C2129" t="s">
        <v>4582</v>
      </c>
      <c r="G2129">
        <v>17.353899999999999</v>
      </c>
      <c r="H2129">
        <v>36.053699999999999</v>
      </c>
      <c r="I2129">
        <v>46.437800000000003</v>
      </c>
      <c r="J2129">
        <v>44.884099999999997</v>
      </c>
      <c r="K2129">
        <v>53.630400000000002</v>
      </c>
      <c r="L2129">
        <v>72.615700000000004</v>
      </c>
      <c r="M2129">
        <v>49.118200000000002</v>
      </c>
      <c r="N2129">
        <v>54.864600000000003</v>
      </c>
      <c r="O2129">
        <v>68.146299999999997</v>
      </c>
      <c r="P2129">
        <v>6</v>
      </c>
      <c r="Q2129" t="s">
        <v>4583</v>
      </c>
    </row>
    <row r="2130" spans="1:17" x14ac:dyDescent="0.3">
      <c r="A2130" t="s">
        <v>17</v>
      </c>
      <c r="B2130" t="str">
        <f>"900916"</f>
        <v>900916</v>
      </c>
      <c r="C2130" t="s">
        <v>4584</v>
      </c>
      <c r="G2130">
        <v>31.362300000000001</v>
      </c>
      <c r="H2130">
        <v>42.4377</v>
      </c>
      <c r="I2130">
        <v>37.062399999999997</v>
      </c>
      <c r="J2130">
        <v>21.997499999999999</v>
      </c>
      <c r="K2130">
        <v>46.4268</v>
      </c>
      <c r="L2130">
        <v>45.423299999999998</v>
      </c>
      <c r="M2130">
        <v>49.982100000000003</v>
      </c>
      <c r="N2130">
        <v>50.123899999999999</v>
      </c>
      <c r="O2130">
        <v>53.792999999999999</v>
      </c>
      <c r="P2130">
        <v>7</v>
      </c>
      <c r="Q2130" t="s">
        <v>4585</v>
      </c>
    </row>
    <row r="2131" spans="1:17" x14ac:dyDescent="0.3">
      <c r="A2131" t="s">
        <v>17</v>
      </c>
      <c r="B2131" t="str">
        <f>"900917"</f>
        <v>900917</v>
      </c>
      <c r="C2131" t="s">
        <v>4586</v>
      </c>
      <c r="G2131">
        <v>109.8849</v>
      </c>
      <c r="H2131">
        <v>102.6698</v>
      </c>
      <c r="I2131">
        <v>109.0519</v>
      </c>
      <c r="J2131">
        <v>105.1728</v>
      </c>
      <c r="K2131">
        <v>181.83699999999999</v>
      </c>
      <c r="L2131">
        <v>192.1053</v>
      </c>
      <c r="M2131">
        <v>196.95910000000001</v>
      </c>
      <c r="N2131">
        <v>178.85910000000001</v>
      </c>
      <c r="O2131">
        <v>187.2595</v>
      </c>
      <c r="P2131">
        <v>12</v>
      </c>
      <c r="Q2131" t="s">
        <v>4587</v>
      </c>
    </row>
    <row r="2132" spans="1:17" x14ac:dyDescent="0.3">
      <c r="A2132" t="s">
        <v>17</v>
      </c>
      <c r="B2132" t="str">
        <f>"900918"</f>
        <v>900918</v>
      </c>
      <c r="C2132" t="s">
        <v>4588</v>
      </c>
      <c r="F2132">
        <v>122.1758</v>
      </c>
      <c r="G2132">
        <v>145.08179999999999</v>
      </c>
      <c r="H2132">
        <v>142.28720000000001</v>
      </c>
      <c r="I2132">
        <v>147.42529999999999</v>
      </c>
      <c r="J2132">
        <v>135.86760000000001</v>
      </c>
      <c r="K2132">
        <v>151.4922</v>
      </c>
      <c r="L2132">
        <v>176.37909999999999</v>
      </c>
      <c r="M2132">
        <v>136.577</v>
      </c>
      <c r="N2132">
        <v>158.07130000000001</v>
      </c>
      <c r="O2132">
        <v>127.3305</v>
      </c>
      <c r="P2132">
        <v>10</v>
      </c>
      <c r="Q2132" t="s">
        <v>4589</v>
      </c>
    </row>
    <row r="2133" spans="1:17" x14ac:dyDescent="0.3">
      <c r="A2133" t="s">
        <v>17</v>
      </c>
      <c r="B2133" t="str">
        <f>"900919"</f>
        <v>900919</v>
      </c>
      <c r="C2133" t="s">
        <v>4590</v>
      </c>
      <c r="G2133">
        <v>0</v>
      </c>
      <c r="H2133">
        <v>0</v>
      </c>
      <c r="I2133">
        <v>0</v>
      </c>
      <c r="J2133">
        <v>0</v>
      </c>
      <c r="K2133">
        <v>0.95299999999999996</v>
      </c>
      <c r="L2133">
        <v>15.7401</v>
      </c>
      <c r="M2133">
        <v>38.459400000000002</v>
      </c>
      <c r="N2133">
        <v>53.168300000000002</v>
      </c>
      <c r="O2133">
        <v>143.2473</v>
      </c>
      <c r="P2133">
        <v>5</v>
      </c>
      <c r="Q2133" t="s">
        <v>4591</v>
      </c>
    </row>
    <row r="2134" spans="1:17" x14ac:dyDescent="0.3">
      <c r="A2134" t="s">
        <v>17</v>
      </c>
      <c r="B2134" t="str">
        <f>"900920"</f>
        <v>900920</v>
      </c>
      <c r="C2134" t="s">
        <v>4592</v>
      </c>
      <c r="G2134">
        <v>49.251100000000001</v>
      </c>
      <c r="H2134">
        <v>56.440399999999997</v>
      </c>
      <c r="I2134">
        <v>47.896000000000001</v>
      </c>
      <c r="J2134">
        <v>41.579900000000002</v>
      </c>
      <c r="K2134">
        <v>48.796599999999998</v>
      </c>
      <c r="L2134">
        <v>68.493399999999994</v>
      </c>
      <c r="M2134">
        <v>58.160499999999999</v>
      </c>
      <c r="N2134">
        <v>58.201500000000003</v>
      </c>
      <c r="O2134">
        <v>49.898899999999998</v>
      </c>
      <c r="P2134">
        <v>12</v>
      </c>
      <c r="Q2134" t="s">
        <v>4593</v>
      </c>
    </row>
    <row r="2135" spans="1:17" x14ac:dyDescent="0.3">
      <c r="A2135" t="s">
        <v>17</v>
      </c>
      <c r="B2135" t="str">
        <f>"900921"</f>
        <v>900921</v>
      </c>
      <c r="C2135" t="s">
        <v>4594</v>
      </c>
      <c r="G2135">
        <v>183.83969999999999</v>
      </c>
      <c r="H2135">
        <v>143.95910000000001</v>
      </c>
      <c r="I2135">
        <v>89.601699999999994</v>
      </c>
      <c r="J2135">
        <v>122.5226</v>
      </c>
      <c r="K2135">
        <v>139.04409999999999</v>
      </c>
      <c r="L2135">
        <v>106.4051</v>
      </c>
      <c r="M2135">
        <v>134.07230000000001</v>
      </c>
      <c r="N2135">
        <v>137.709</v>
      </c>
      <c r="O2135">
        <v>90.239099999999993</v>
      </c>
      <c r="P2135">
        <v>6</v>
      </c>
      <c r="Q2135" t="s">
        <v>4595</v>
      </c>
    </row>
    <row r="2136" spans="1:17" x14ac:dyDescent="0.3">
      <c r="A2136" t="s">
        <v>17</v>
      </c>
      <c r="B2136" t="str">
        <f>"900922"</f>
        <v>900922</v>
      </c>
      <c r="C2136" t="s">
        <v>4596</v>
      </c>
      <c r="G2136">
        <v>3.9681000000000002</v>
      </c>
      <c r="H2136">
        <v>5.7291999999999996</v>
      </c>
      <c r="I2136">
        <v>5.6210000000000004</v>
      </c>
      <c r="J2136">
        <v>6.6769999999999996</v>
      </c>
      <c r="K2136">
        <v>15.1972</v>
      </c>
      <c r="L2136">
        <v>17.0305</v>
      </c>
      <c r="M2136">
        <v>25.096499999999999</v>
      </c>
      <c r="N2136">
        <v>22.747599999999998</v>
      </c>
      <c r="O2136">
        <v>19.4999</v>
      </c>
      <c r="P2136">
        <v>9</v>
      </c>
      <c r="Q2136" t="s">
        <v>4597</v>
      </c>
    </row>
    <row r="2137" spans="1:17" x14ac:dyDescent="0.3">
      <c r="A2137" t="s">
        <v>17</v>
      </c>
      <c r="B2137" t="str">
        <f>"900923"</f>
        <v>900923</v>
      </c>
      <c r="C2137" t="s">
        <v>4598</v>
      </c>
      <c r="G2137">
        <v>59.352600000000002</v>
      </c>
      <c r="H2137">
        <v>35.148000000000003</v>
      </c>
      <c r="I2137">
        <v>35.169899999999998</v>
      </c>
      <c r="J2137">
        <v>41.217399999999998</v>
      </c>
      <c r="K2137">
        <v>42.267299999999999</v>
      </c>
      <c r="L2137">
        <v>39.3688</v>
      </c>
      <c r="M2137">
        <v>40.851399999999998</v>
      </c>
      <c r="N2137">
        <v>39.684399999999997</v>
      </c>
      <c r="O2137">
        <v>44.473799999999997</v>
      </c>
      <c r="P2137">
        <v>26</v>
      </c>
      <c r="Q2137" t="s">
        <v>4599</v>
      </c>
    </row>
    <row r="2138" spans="1:17" x14ac:dyDescent="0.3">
      <c r="A2138" t="s">
        <v>17</v>
      </c>
      <c r="B2138" t="str">
        <f>"900924"</f>
        <v>900924</v>
      </c>
      <c r="C2138" t="s">
        <v>4600</v>
      </c>
      <c r="G2138">
        <v>206.43629999999999</v>
      </c>
      <c r="H2138">
        <v>190.08959999999999</v>
      </c>
      <c r="I2138">
        <v>179.833</v>
      </c>
      <c r="J2138">
        <v>155.74340000000001</v>
      </c>
      <c r="K2138">
        <v>157.5719</v>
      </c>
      <c r="L2138">
        <v>160.6651</v>
      </c>
      <c r="M2138">
        <v>147.65729999999999</v>
      </c>
      <c r="N2138">
        <v>134.22229999999999</v>
      </c>
      <c r="O2138">
        <v>127.66500000000001</v>
      </c>
      <c r="P2138">
        <v>11</v>
      </c>
      <c r="Q2138" t="s">
        <v>4601</v>
      </c>
    </row>
    <row r="2139" spans="1:17" x14ac:dyDescent="0.3">
      <c r="A2139" t="s">
        <v>17</v>
      </c>
      <c r="B2139" t="str">
        <f>"900925"</f>
        <v>900925</v>
      </c>
      <c r="C2139" t="s">
        <v>4602</v>
      </c>
      <c r="G2139">
        <v>223.6456</v>
      </c>
      <c r="H2139">
        <v>227.42750000000001</v>
      </c>
      <c r="I2139">
        <v>248.136</v>
      </c>
      <c r="J2139">
        <v>242.77969999999999</v>
      </c>
      <c r="K2139">
        <v>227.81890000000001</v>
      </c>
      <c r="L2139">
        <v>224.74019999999999</v>
      </c>
      <c r="M2139">
        <v>199.17310000000001</v>
      </c>
      <c r="N2139">
        <v>168.13499999999999</v>
      </c>
      <c r="O2139">
        <v>127.4635</v>
      </c>
      <c r="P2139">
        <v>83</v>
      </c>
      <c r="Q2139" t="s">
        <v>4603</v>
      </c>
    </row>
    <row r="2140" spans="1:17" x14ac:dyDescent="0.3">
      <c r="A2140" t="s">
        <v>17</v>
      </c>
      <c r="B2140" t="str">
        <f>"900926"</f>
        <v>900926</v>
      </c>
      <c r="C2140" t="s">
        <v>4604</v>
      </c>
      <c r="G2140">
        <v>204.26179999999999</v>
      </c>
      <c r="H2140">
        <v>88.956100000000006</v>
      </c>
      <c r="I2140">
        <v>96.891400000000004</v>
      </c>
      <c r="J2140">
        <v>117.5348</v>
      </c>
      <c r="K2140">
        <v>156.16149999999999</v>
      </c>
      <c r="L2140">
        <v>138.4091</v>
      </c>
      <c r="M2140">
        <v>134.59530000000001</v>
      </c>
      <c r="N2140">
        <v>103.73569999999999</v>
      </c>
      <c r="O2140">
        <v>90.467299999999994</v>
      </c>
      <c r="P2140">
        <v>63</v>
      </c>
      <c r="Q2140" t="s">
        <v>4605</v>
      </c>
    </row>
    <row r="2141" spans="1:17" x14ac:dyDescent="0.3">
      <c r="A2141" t="s">
        <v>17</v>
      </c>
      <c r="B2141" t="str">
        <f>"900927"</f>
        <v>900927</v>
      </c>
      <c r="C2141" t="s">
        <v>4606</v>
      </c>
      <c r="G2141">
        <v>34.6706</v>
      </c>
      <c r="H2141">
        <v>39.358600000000003</v>
      </c>
      <c r="I2141">
        <v>29.400600000000001</v>
      </c>
      <c r="J2141">
        <v>24.539400000000001</v>
      </c>
      <c r="K2141">
        <v>9.6959</v>
      </c>
      <c r="L2141">
        <v>19.590800000000002</v>
      </c>
      <c r="M2141">
        <v>22.697199999999999</v>
      </c>
      <c r="N2141">
        <v>21.946000000000002</v>
      </c>
      <c r="O2141">
        <v>22.799600000000002</v>
      </c>
      <c r="P2141">
        <v>5</v>
      </c>
      <c r="Q2141" t="s">
        <v>4607</v>
      </c>
    </row>
    <row r="2142" spans="1:17" x14ac:dyDescent="0.3">
      <c r="A2142" t="s">
        <v>17</v>
      </c>
      <c r="B2142" t="str">
        <f>"900928"</f>
        <v>900928</v>
      </c>
      <c r="C2142" t="s">
        <v>4608</v>
      </c>
      <c r="G2142">
        <v>5555.8288000000002</v>
      </c>
      <c r="H2142">
        <v>3754.8537000000001</v>
      </c>
      <c r="I2142">
        <v>4738.2303000000002</v>
      </c>
      <c r="J2142">
        <v>3349.3508000000002</v>
      </c>
      <c r="K2142">
        <v>8957.0023000000001</v>
      </c>
      <c r="L2142">
        <v>2963.9326000000001</v>
      </c>
      <c r="M2142">
        <v>117.328</v>
      </c>
      <c r="N2142">
        <v>119.4903</v>
      </c>
      <c r="O2142">
        <v>126.3044</v>
      </c>
      <c r="P2142">
        <v>14</v>
      </c>
      <c r="Q2142" t="s">
        <v>4609</v>
      </c>
    </row>
    <row r="2143" spans="1:17" x14ac:dyDescent="0.3">
      <c r="A2143" t="s">
        <v>17</v>
      </c>
      <c r="B2143" t="str">
        <f>"900929"</f>
        <v>900929</v>
      </c>
      <c r="C2143" t="s">
        <v>4610</v>
      </c>
      <c r="F2143">
        <v>0.66720000000000002</v>
      </c>
      <c r="G2143">
        <v>0.64739999999999998</v>
      </c>
      <c r="H2143">
        <v>0.1016</v>
      </c>
      <c r="I2143">
        <v>8.7300000000000003E-2</v>
      </c>
      <c r="J2143">
        <v>9.4899999999999998E-2</v>
      </c>
      <c r="K2143">
        <v>8.8200000000000001E-2</v>
      </c>
      <c r="L2143">
        <v>7.6899999999999996E-2</v>
      </c>
      <c r="M2143">
        <v>8.0500000000000002E-2</v>
      </c>
      <c r="N2143">
        <v>8.2699999999999996E-2</v>
      </c>
      <c r="O2143">
        <v>9.5399999999999999E-2</v>
      </c>
      <c r="P2143">
        <v>11</v>
      </c>
      <c r="Q2143" t="s">
        <v>4611</v>
      </c>
    </row>
    <row r="2144" spans="1:17" x14ac:dyDescent="0.3">
      <c r="A2144" t="s">
        <v>17</v>
      </c>
      <c r="B2144" t="str">
        <f>"900930"</f>
        <v>900930</v>
      </c>
      <c r="C2144" t="s">
        <v>4612</v>
      </c>
      <c r="H2144">
        <v>105.0616</v>
      </c>
      <c r="I2144">
        <v>121.44329999999999</v>
      </c>
      <c r="J2144">
        <v>340.29109999999997</v>
      </c>
      <c r="K2144">
        <v>360.44409999999999</v>
      </c>
      <c r="L2144">
        <v>231.9419</v>
      </c>
      <c r="M2144">
        <v>174.23230000000001</v>
      </c>
      <c r="N2144">
        <v>148.04409999999999</v>
      </c>
      <c r="O2144">
        <v>187.43459999999999</v>
      </c>
      <c r="P2144">
        <v>1</v>
      </c>
      <c r="Q2144" t="s">
        <v>4613</v>
      </c>
    </row>
    <row r="2145" spans="1:17" x14ac:dyDescent="0.3">
      <c r="A2145" t="s">
        <v>17</v>
      </c>
      <c r="B2145" t="str">
        <f>"900931"</f>
        <v>900931</v>
      </c>
      <c r="C2145" t="s">
        <v>4614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1</v>
      </c>
      <c r="Q2145" t="s">
        <v>4615</v>
      </c>
    </row>
    <row r="2146" spans="1:17" x14ac:dyDescent="0.3">
      <c r="A2146" t="s">
        <v>17</v>
      </c>
      <c r="B2146" t="str">
        <f>"900932"</f>
        <v>900932</v>
      </c>
      <c r="C2146" t="s">
        <v>4616</v>
      </c>
      <c r="G2146">
        <v>3845.4567999999999</v>
      </c>
      <c r="H2146">
        <v>2242.3575999999998</v>
      </c>
      <c r="I2146">
        <v>1766.8794</v>
      </c>
      <c r="J2146">
        <v>1556.6876999999999</v>
      </c>
      <c r="K2146">
        <v>1078.9829999999999</v>
      </c>
      <c r="L2146">
        <v>2441.1911</v>
      </c>
      <c r="M2146">
        <v>6329.5465999999997</v>
      </c>
      <c r="N2146">
        <v>6434.5240999999996</v>
      </c>
      <c r="O2146">
        <v>5973.0365000000002</v>
      </c>
      <c r="P2146">
        <v>138</v>
      </c>
      <c r="Q2146" t="s">
        <v>4617</v>
      </c>
    </row>
    <row r="2147" spans="1:17" x14ac:dyDescent="0.3">
      <c r="A2147" t="s">
        <v>17</v>
      </c>
      <c r="B2147" t="str">
        <f>"900933"</f>
        <v>900933</v>
      </c>
      <c r="C2147" t="s">
        <v>4618</v>
      </c>
      <c r="G2147">
        <v>67.143699999999995</v>
      </c>
      <c r="H2147">
        <v>56.193199999999997</v>
      </c>
      <c r="I2147">
        <v>53.472700000000003</v>
      </c>
      <c r="J2147">
        <v>46.932899999999997</v>
      </c>
      <c r="K2147">
        <v>56.477699999999999</v>
      </c>
      <c r="L2147">
        <v>60.958799999999997</v>
      </c>
      <c r="M2147">
        <v>49.577100000000002</v>
      </c>
      <c r="N2147">
        <v>46.349299999999999</v>
      </c>
      <c r="O2147">
        <v>52.1325</v>
      </c>
      <c r="P2147">
        <v>142</v>
      </c>
      <c r="Q2147" t="s">
        <v>4619</v>
      </c>
    </row>
    <row r="2148" spans="1:17" x14ac:dyDescent="0.3">
      <c r="A2148" t="s">
        <v>17</v>
      </c>
      <c r="B2148" t="str">
        <f>"900934"</f>
        <v>900934</v>
      </c>
      <c r="C2148" t="s">
        <v>4620</v>
      </c>
      <c r="G2148">
        <v>5.4965999999999999</v>
      </c>
      <c r="H2148">
        <v>26.169799999999999</v>
      </c>
      <c r="I2148">
        <v>25.2805</v>
      </c>
      <c r="J2148">
        <v>28.480699999999999</v>
      </c>
      <c r="K2148">
        <v>31.1554</v>
      </c>
      <c r="L2148">
        <v>38.952100000000002</v>
      </c>
      <c r="M2148">
        <v>49.5702</v>
      </c>
      <c r="N2148">
        <v>52.978099999999998</v>
      </c>
      <c r="O2148">
        <v>45.971200000000003</v>
      </c>
      <c r="P2148">
        <v>47</v>
      </c>
      <c r="Q2148" t="s">
        <v>4621</v>
      </c>
    </row>
    <row r="2149" spans="1:17" x14ac:dyDescent="0.3">
      <c r="A2149" t="s">
        <v>17</v>
      </c>
      <c r="B2149" t="str">
        <f>"900935"</f>
        <v>900935</v>
      </c>
      <c r="C2149" t="s">
        <v>4622</v>
      </c>
      <c r="K2149">
        <v>9.9699999999999997E-2</v>
      </c>
      <c r="L2149">
        <v>0.47699999999999998</v>
      </c>
      <c r="M2149">
        <v>0.44350000000000001</v>
      </c>
      <c r="N2149">
        <v>1.0337000000000001</v>
      </c>
      <c r="O2149">
        <v>1.0415000000000001</v>
      </c>
      <c r="P2149">
        <v>1</v>
      </c>
      <c r="Q2149" t="s">
        <v>4623</v>
      </c>
    </row>
    <row r="2150" spans="1:17" x14ac:dyDescent="0.3">
      <c r="A2150" t="s">
        <v>17</v>
      </c>
      <c r="B2150" t="str">
        <f>"900936"</f>
        <v>900936</v>
      </c>
      <c r="C2150" t="s">
        <v>4624</v>
      </c>
      <c r="G2150">
        <v>116.67149999999999</v>
      </c>
      <c r="H2150">
        <v>114.29900000000001</v>
      </c>
      <c r="I2150">
        <v>93.335800000000006</v>
      </c>
      <c r="J2150">
        <v>113.9058</v>
      </c>
      <c r="K2150">
        <v>155.51589999999999</v>
      </c>
      <c r="L2150">
        <v>189.61519999999999</v>
      </c>
      <c r="M2150">
        <v>180.99539999999999</v>
      </c>
      <c r="N2150">
        <v>212.74260000000001</v>
      </c>
      <c r="O2150">
        <v>217.91980000000001</v>
      </c>
      <c r="P2150">
        <v>53</v>
      </c>
      <c r="Q2150" t="s">
        <v>4625</v>
      </c>
    </row>
    <row r="2151" spans="1:17" x14ac:dyDescent="0.3">
      <c r="A2151" t="s">
        <v>17</v>
      </c>
      <c r="B2151" t="str">
        <f>"900937"</f>
        <v>900937</v>
      </c>
      <c r="C2151" t="s">
        <v>4626</v>
      </c>
      <c r="G2151">
        <v>24.268699999999999</v>
      </c>
      <c r="H2151">
        <v>24.362100000000002</v>
      </c>
      <c r="I2151">
        <v>24.550999999999998</v>
      </c>
      <c r="J2151">
        <v>25.0701</v>
      </c>
      <c r="K2151">
        <v>31.786000000000001</v>
      </c>
      <c r="L2151">
        <v>40.348700000000001</v>
      </c>
      <c r="M2151">
        <v>40.972700000000003</v>
      </c>
      <c r="N2151">
        <v>36.0105</v>
      </c>
      <c r="O2151">
        <v>33.425899999999999</v>
      </c>
      <c r="P2151">
        <v>10</v>
      </c>
      <c r="Q2151" t="s">
        <v>4627</v>
      </c>
    </row>
    <row r="2152" spans="1:17" x14ac:dyDescent="0.3">
      <c r="A2152" t="s">
        <v>17</v>
      </c>
      <c r="B2152" t="str">
        <f>"900938"</f>
        <v>900938</v>
      </c>
      <c r="C2152" t="s">
        <v>4628</v>
      </c>
      <c r="G2152">
        <v>47.204900000000002</v>
      </c>
      <c r="H2152">
        <v>47.487200000000001</v>
      </c>
      <c r="I2152">
        <v>49.2971</v>
      </c>
      <c r="J2152">
        <v>48.554299999999998</v>
      </c>
      <c r="K2152">
        <v>0.55730000000000002</v>
      </c>
      <c r="L2152">
        <v>4.2149000000000001</v>
      </c>
      <c r="M2152">
        <v>3.9586999999999999</v>
      </c>
      <c r="N2152">
        <v>0.90149999999999997</v>
      </c>
      <c r="O2152">
        <v>7.5288000000000004</v>
      </c>
      <c r="P2152">
        <v>12</v>
      </c>
      <c r="Q2152" t="s">
        <v>4629</v>
      </c>
    </row>
    <row r="2153" spans="1:17" x14ac:dyDescent="0.3">
      <c r="A2153" t="s">
        <v>17</v>
      </c>
      <c r="B2153" t="str">
        <f>"900939"</f>
        <v>900939</v>
      </c>
      <c r="C2153" t="s">
        <v>4630</v>
      </c>
      <c r="F2153">
        <v>0</v>
      </c>
      <c r="G2153">
        <v>2.7618</v>
      </c>
      <c r="H2153">
        <v>3.0569999999999999</v>
      </c>
      <c r="I2153">
        <v>31.805599999999998</v>
      </c>
      <c r="J2153">
        <v>139.35300000000001</v>
      </c>
      <c r="K2153">
        <v>271.54230000000001</v>
      </c>
      <c r="L2153">
        <v>110.80249999999999</v>
      </c>
      <c r="M2153">
        <v>0.96879999999999999</v>
      </c>
      <c r="N2153">
        <v>9.2401</v>
      </c>
      <c r="O2153">
        <v>40.991500000000002</v>
      </c>
      <c r="P2153">
        <v>7</v>
      </c>
      <c r="Q2153" t="s">
        <v>4631</v>
      </c>
    </row>
    <row r="2154" spans="1:17" x14ac:dyDescent="0.3">
      <c r="A2154" t="s">
        <v>17</v>
      </c>
      <c r="B2154" t="str">
        <f>"900940"</f>
        <v>900940</v>
      </c>
      <c r="C2154" t="s">
        <v>4632</v>
      </c>
      <c r="G2154">
        <v>1448.3452</v>
      </c>
      <c r="H2154">
        <v>2547.0065</v>
      </c>
      <c r="I2154">
        <v>2882.922</v>
      </c>
      <c r="J2154">
        <v>5055.3810999999996</v>
      </c>
      <c r="K2154">
        <v>2688.5014999999999</v>
      </c>
      <c r="L2154">
        <v>3176.5005000000001</v>
      </c>
      <c r="M2154">
        <v>7901.1256999999996</v>
      </c>
      <c r="N2154">
        <v>3720.7422999999999</v>
      </c>
      <c r="O2154">
        <v>10547.4143</v>
      </c>
      <c r="P2154">
        <v>15</v>
      </c>
      <c r="Q2154" t="s">
        <v>4633</v>
      </c>
    </row>
    <row r="2155" spans="1:17" x14ac:dyDescent="0.3">
      <c r="A2155" t="s">
        <v>17</v>
      </c>
      <c r="B2155" t="str">
        <f>"900941"</f>
        <v>900941</v>
      </c>
      <c r="C2155" t="s">
        <v>4634</v>
      </c>
      <c r="G2155">
        <v>197.74680000000001</v>
      </c>
      <c r="H2155">
        <v>189.655</v>
      </c>
      <c r="I2155">
        <v>226.4683</v>
      </c>
      <c r="J2155">
        <v>221.548</v>
      </c>
      <c r="K2155">
        <v>153.40889999999999</v>
      </c>
      <c r="L2155">
        <v>115.5667</v>
      </c>
      <c r="M2155">
        <v>93.661600000000007</v>
      </c>
      <c r="N2155">
        <v>70.514799999999994</v>
      </c>
      <c r="O2155">
        <v>69.074100000000001</v>
      </c>
      <c r="P2155">
        <v>8</v>
      </c>
      <c r="Q2155" t="s">
        <v>4635</v>
      </c>
    </row>
    <row r="2156" spans="1:17" x14ac:dyDescent="0.3">
      <c r="A2156" t="s">
        <v>17</v>
      </c>
      <c r="B2156" t="str">
        <f>"900942"</f>
        <v>900942</v>
      </c>
      <c r="C2156" t="s">
        <v>4636</v>
      </c>
      <c r="G2156">
        <v>30.7239</v>
      </c>
      <c r="H2156">
        <v>18.069199999999999</v>
      </c>
      <c r="I2156">
        <v>16.0274</v>
      </c>
      <c r="J2156">
        <v>431.13080000000002</v>
      </c>
      <c r="K2156">
        <v>476.32920000000001</v>
      </c>
      <c r="L2156">
        <v>512.17129999999997</v>
      </c>
      <c r="M2156">
        <v>555.3682</v>
      </c>
      <c r="N2156">
        <v>422.31189999999998</v>
      </c>
      <c r="O2156">
        <v>373.298</v>
      </c>
      <c r="P2156">
        <v>55</v>
      </c>
      <c r="Q2156" t="s">
        <v>4637</v>
      </c>
    </row>
    <row r="2157" spans="1:17" x14ac:dyDescent="0.3">
      <c r="A2157" t="s">
        <v>17</v>
      </c>
      <c r="B2157" t="str">
        <f>"900943"</f>
        <v>900943</v>
      </c>
      <c r="C2157" t="s">
        <v>4638</v>
      </c>
      <c r="G2157">
        <v>79.451700000000002</v>
      </c>
      <c r="H2157">
        <v>85.826999999999998</v>
      </c>
      <c r="I2157">
        <v>99.767899999999997</v>
      </c>
      <c r="J2157">
        <v>87.002899999999997</v>
      </c>
      <c r="K2157">
        <v>87.615600000000001</v>
      </c>
      <c r="L2157">
        <v>83.770300000000006</v>
      </c>
      <c r="M2157">
        <v>86.24</v>
      </c>
      <c r="N2157">
        <v>89.388300000000001</v>
      </c>
      <c r="O2157">
        <v>91.806899999999999</v>
      </c>
      <c r="P2157">
        <v>3</v>
      </c>
      <c r="Q2157" t="s">
        <v>4639</v>
      </c>
    </row>
    <row r="2158" spans="1:17" x14ac:dyDescent="0.3">
      <c r="A2158" t="s">
        <v>17</v>
      </c>
      <c r="B2158" t="str">
        <f>"900945"</f>
        <v>900945</v>
      </c>
      <c r="C2158" t="s">
        <v>4640</v>
      </c>
      <c r="G2158">
        <v>12.071300000000001</v>
      </c>
      <c r="H2158">
        <v>1.2768999999999999</v>
      </c>
      <c r="I2158">
        <v>1.8414999999999999</v>
      </c>
      <c r="J2158">
        <v>1.2915000000000001</v>
      </c>
      <c r="K2158">
        <v>0.46639999999999998</v>
      </c>
      <c r="L2158">
        <v>1.1531</v>
      </c>
      <c r="M2158">
        <v>1.1144000000000001</v>
      </c>
      <c r="N2158">
        <v>1.6773</v>
      </c>
      <c r="O2158">
        <v>2.3689</v>
      </c>
      <c r="P2158">
        <v>7</v>
      </c>
      <c r="Q2158" t="s">
        <v>4641</v>
      </c>
    </row>
    <row r="2159" spans="1:17" x14ac:dyDescent="0.3">
      <c r="A2159" t="s">
        <v>17</v>
      </c>
      <c r="B2159" t="str">
        <f>"900946"</f>
        <v>900946</v>
      </c>
      <c r="C2159" t="s">
        <v>4642</v>
      </c>
      <c r="G2159">
        <v>148.66</v>
      </c>
      <c r="H2159">
        <v>191.7963</v>
      </c>
      <c r="I2159">
        <v>172.8049</v>
      </c>
      <c r="J2159">
        <v>150.8937</v>
      </c>
      <c r="K2159">
        <v>155.64150000000001</v>
      </c>
      <c r="L2159">
        <v>170.6799</v>
      </c>
      <c r="M2159">
        <v>142.3271</v>
      </c>
      <c r="N2159">
        <v>107.0727</v>
      </c>
      <c r="O2159">
        <v>83.743399999999994</v>
      </c>
      <c r="P2159">
        <v>3</v>
      </c>
      <c r="Q2159" t="s">
        <v>4643</v>
      </c>
    </row>
    <row r="2160" spans="1:17" x14ac:dyDescent="0.3">
      <c r="A2160" t="s">
        <v>17</v>
      </c>
      <c r="B2160" t="str">
        <f>"900947"</f>
        <v>900947</v>
      </c>
      <c r="C2160" t="s">
        <v>4644</v>
      </c>
      <c r="G2160">
        <v>469.26979999999998</v>
      </c>
      <c r="H2160">
        <v>250.5453</v>
      </c>
      <c r="I2160">
        <v>230.27610000000001</v>
      </c>
      <c r="J2160">
        <v>186.809</v>
      </c>
      <c r="K2160">
        <v>133.2544</v>
      </c>
      <c r="L2160">
        <v>111.5485</v>
      </c>
      <c r="M2160">
        <v>149.72460000000001</v>
      </c>
      <c r="N2160">
        <v>173.34350000000001</v>
      </c>
      <c r="O2160">
        <v>175.19630000000001</v>
      </c>
      <c r="P2160">
        <v>18</v>
      </c>
      <c r="Q2160" t="s">
        <v>4645</v>
      </c>
    </row>
    <row r="2161" spans="1:17" x14ac:dyDescent="0.3">
      <c r="A2161" t="s">
        <v>17</v>
      </c>
      <c r="B2161" t="str">
        <f>"900948"</f>
        <v>900948</v>
      </c>
      <c r="C2161" t="s">
        <v>4646</v>
      </c>
      <c r="F2161">
        <v>20.331199999999999</v>
      </c>
      <c r="G2161">
        <v>31.303799999999999</v>
      </c>
      <c r="H2161">
        <v>22.387899999999998</v>
      </c>
      <c r="I2161">
        <v>28.655200000000001</v>
      </c>
      <c r="J2161">
        <v>34.126199999999997</v>
      </c>
      <c r="K2161">
        <v>49.682899999999997</v>
      </c>
      <c r="L2161">
        <v>64.126300000000001</v>
      </c>
      <c r="M2161">
        <v>43.165700000000001</v>
      </c>
      <c r="N2161">
        <v>45.811</v>
      </c>
      <c r="O2161">
        <v>19.815200000000001</v>
      </c>
      <c r="P2161">
        <v>225</v>
      </c>
      <c r="Q2161" t="s">
        <v>4647</v>
      </c>
    </row>
    <row r="2162" spans="1:17" x14ac:dyDescent="0.3">
      <c r="A2162" t="s">
        <v>17</v>
      </c>
      <c r="B2162" t="str">
        <f>"900949"</f>
        <v>900949</v>
      </c>
      <c r="C2162" t="s">
        <v>4648</v>
      </c>
      <c r="N2162">
        <v>16.028600000000001</v>
      </c>
      <c r="O2162">
        <v>19.652899999999999</v>
      </c>
      <c r="P2162">
        <v>2</v>
      </c>
      <c r="Q2162" t="s">
        <v>4649</v>
      </c>
    </row>
    <row r="2163" spans="1:17" x14ac:dyDescent="0.3">
      <c r="A2163" t="s">
        <v>17</v>
      </c>
      <c r="B2163" t="str">
        <f>"900950"</f>
        <v>900950</v>
      </c>
      <c r="C2163" t="s">
        <v>4650</v>
      </c>
      <c r="L2163">
        <v>1133.2028</v>
      </c>
      <c r="M2163">
        <v>3117.1473999999998</v>
      </c>
      <c r="N2163">
        <v>2080.3528000000001</v>
      </c>
      <c r="O2163">
        <v>1807.7121</v>
      </c>
      <c r="P2163">
        <v>7</v>
      </c>
      <c r="Q2163" t="s">
        <v>4651</v>
      </c>
    </row>
    <row r="2164" spans="1:17" x14ac:dyDescent="0.3">
      <c r="A2164" t="s">
        <v>17</v>
      </c>
      <c r="B2164" t="str">
        <f>"900951"</f>
        <v>900951</v>
      </c>
      <c r="C2164" t="s">
        <v>4652</v>
      </c>
      <c r="H2164">
        <v>149.32509999999999</v>
      </c>
      <c r="I2164">
        <v>43.343000000000004</v>
      </c>
      <c r="J2164">
        <v>24.428100000000001</v>
      </c>
      <c r="K2164">
        <v>23.983599999999999</v>
      </c>
      <c r="L2164">
        <v>26.561800000000002</v>
      </c>
      <c r="M2164">
        <v>48.715899999999998</v>
      </c>
      <c r="N2164">
        <v>21.491499999999998</v>
      </c>
      <c r="O2164">
        <v>23.58</v>
      </c>
      <c r="P2164">
        <v>2</v>
      </c>
      <c r="Q2164" t="s">
        <v>4653</v>
      </c>
    </row>
    <row r="2165" spans="1:17" x14ac:dyDescent="0.3">
      <c r="A2165" t="s">
        <v>17</v>
      </c>
      <c r="B2165" t="str">
        <f>"900952"</f>
        <v>900952</v>
      </c>
      <c r="C2165" t="s">
        <v>4654</v>
      </c>
      <c r="G2165">
        <v>9.3158999999999992</v>
      </c>
      <c r="H2165">
        <v>13.2333</v>
      </c>
      <c r="I2165">
        <v>16.523900000000001</v>
      </c>
      <c r="J2165">
        <v>19.646899999999999</v>
      </c>
      <c r="K2165">
        <v>35.071599999999997</v>
      </c>
      <c r="L2165">
        <v>61.5976</v>
      </c>
      <c r="M2165">
        <v>32.859299999999998</v>
      </c>
      <c r="N2165">
        <v>28.8537</v>
      </c>
      <c r="O2165">
        <v>7.8414000000000001</v>
      </c>
      <c r="P2165">
        <v>8</v>
      </c>
      <c r="Q2165" t="s">
        <v>4655</v>
      </c>
    </row>
    <row r="2166" spans="1:17" x14ac:dyDescent="0.3">
      <c r="A2166" t="s">
        <v>17</v>
      </c>
      <c r="B2166" t="str">
        <f>"900953"</f>
        <v>900953</v>
      </c>
      <c r="C2166" t="s">
        <v>4656</v>
      </c>
      <c r="F2166">
        <v>76.3262</v>
      </c>
      <c r="G2166">
        <v>84.928700000000006</v>
      </c>
      <c r="H2166">
        <v>90.538799999999995</v>
      </c>
      <c r="I2166">
        <v>89.879000000000005</v>
      </c>
      <c r="J2166">
        <v>80.793300000000002</v>
      </c>
      <c r="K2166">
        <v>76.389899999999997</v>
      </c>
      <c r="L2166">
        <v>75.9358</v>
      </c>
      <c r="M2166">
        <v>74.209400000000002</v>
      </c>
      <c r="N2166">
        <v>68.444900000000004</v>
      </c>
      <c r="O2166">
        <v>78.085999999999999</v>
      </c>
      <c r="P2166">
        <v>6</v>
      </c>
      <c r="Q2166" t="s">
        <v>4657</v>
      </c>
    </row>
    <row r="2167" spans="1:17" x14ac:dyDescent="0.3">
      <c r="A2167" t="s">
        <v>17</v>
      </c>
      <c r="B2167" t="str">
        <f>"900955"</f>
        <v>900955</v>
      </c>
      <c r="C2167" t="s">
        <v>4658</v>
      </c>
      <c r="G2167">
        <v>14582.8416</v>
      </c>
      <c r="H2167">
        <v>16770.794699999999</v>
      </c>
      <c r="I2167">
        <v>21531.2215</v>
      </c>
      <c r="J2167">
        <v>15409.9593</v>
      </c>
      <c r="K2167">
        <v>17323.938999999998</v>
      </c>
      <c r="L2167">
        <v>4067.5059000000001</v>
      </c>
      <c r="M2167">
        <v>49870.867899999997</v>
      </c>
      <c r="N2167">
        <v>9227.3796999999995</v>
      </c>
      <c r="O2167">
        <v>4163.9295000000002</v>
      </c>
      <c r="P2167">
        <v>4</v>
      </c>
      <c r="Q2167" t="s">
        <v>4659</v>
      </c>
    </row>
    <row r="2168" spans="1:17" x14ac:dyDescent="0.3">
      <c r="A2168" t="s">
        <v>17</v>
      </c>
      <c r="B2168" t="str">
        <f>"900956"</f>
        <v>900956</v>
      </c>
      <c r="C2168" t="s">
        <v>4660</v>
      </c>
      <c r="G2168">
        <v>65.239199999999997</v>
      </c>
      <c r="H2168">
        <v>63.093600000000002</v>
      </c>
      <c r="I2168">
        <v>64.981200000000001</v>
      </c>
      <c r="J2168">
        <v>55.4131</v>
      </c>
      <c r="K2168">
        <v>59.159399999999998</v>
      </c>
      <c r="L2168">
        <v>61.457999999999998</v>
      </c>
      <c r="M2168">
        <v>55.331000000000003</v>
      </c>
      <c r="N2168">
        <v>51.148099999999999</v>
      </c>
      <c r="O2168">
        <v>50.0822</v>
      </c>
      <c r="P2168">
        <v>10</v>
      </c>
      <c r="Q2168" t="s">
        <v>4661</v>
      </c>
    </row>
    <row r="2169" spans="1:17" x14ac:dyDescent="0.3">
      <c r="A2169" t="s">
        <v>17</v>
      </c>
      <c r="B2169" t="str">
        <f>"900957"</f>
        <v>900957</v>
      </c>
      <c r="C2169" t="s">
        <v>4662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2</v>
      </c>
      <c r="Q2169" t="s">
        <v>4663</v>
      </c>
    </row>
    <row r="2170" spans="1:17" x14ac:dyDescent="0.3">
      <c r="A2170" t="s">
        <v>4664</v>
      </c>
      <c r="B2170" t="str">
        <f>"000001"</f>
        <v>000001</v>
      </c>
      <c r="C2170" t="s">
        <v>4665</v>
      </c>
      <c r="D2170" t="s">
        <v>19</v>
      </c>
      <c r="P2170">
        <v>6180</v>
      </c>
      <c r="Q2170" t="s">
        <v>4666</v>
      </c>
    </row>
    <row r="2171" spans="1:17" x14ac:dyDescent="0.3">
      <c r="A2171" t="s">
        <v>4664</v>
      </c>
      <c r="B2171" t="str">
        <f>"000002"</f>
        <v>000002</v>
      </c>
      <c r="C2171" t="s">
        <v>4667</v>
      </c>
      <c r="D2171" t="s">
        <v>104</v>
      </c>
      <c r="F2171">
        <v>1800.0558000000001</v>
      </c>
      <c r="G2171">
        <v>1971.0405000000001</v>
      </c>
      <c r="H2171">
        <v>2022.1413</v>
      </c>
      <c r="I2171">
        <v>2047.1282000000001</v>
      </c>
      <c r="J2171">
        <v>2291.9740999999999</v>
      </c>
      <c r="K2171">
        <v>1705.6849</v>
      </c>
      <c r="L2171">
        <v>2132.9456</v>
      </c>
      <c r="M2171">
        <v>2781.5733</v>
      </c>
      <c r="N2171">
        <v>2484.7248</v>
      </c>
      <c r="O2171">
        <v>2835.6025</v>
      </c>
      <c r="P2171">
        <v>12436</v>
      </c>
      <c r="Q2171" t="s">
        <v>4668</v>
      </c>
    </row>
    <row r="2172" spans="1:17" x14ac:dyDescent="0.3">
      <c r="A2172" t="s">
        <v>4664</v>
      </c>
      <c r="B2172" t="str">
        <f>"000004"</f>
        <v>000004</v>
      </c>
      <c r="C2172" t="s">
        <v>4669</v>
      </c>
      <c r="D2172" t="s">
        <v>1189</v>
      </c>
      <c r="F2172">
        <v>14.038500000000001</v>
      </c>
      <c r="G2172">
        <v>0</v>
      </c>
      <c r="H2172">
        <v>0</v>
      </c>
      <c r="I2172">
        <v>143.37809999999999</v>
      </c>
      <c r="J2172">
        <v>95.145099999999999</v>
      </c>
      <c r="K2172">
        <v>473.16649999999998</v>
      </c>
      <c r="L2172">
        <v>1311.3934999999999</v>
      </c>
      <c r="M2172">
        <v>1805.2246</v>
      </c>
      <c r="N2172">
        <v>749.74860000000001</v>
      </c>
      <c r="O2172">
        <v>810.57929999999999</v>
      </c>
      <c r="P2172">
        <v>187</v>
      </c>
      <c r="Q2172" t="s">
        <v>4670</v>
      </c>
    </row>
    <row r="2173" spans="1:17" x14ac:dyDescent="0.3">
      <c r="A2173" t="s">
        <v>4664</v>
      </c>
      <c r="B2173" t="str">
        <f>"000005"</f>
        <v>000005</v>
      </c>
      <c r="C2173" t="s">
        <v>4671</v>
      </c>
      <c r="D2173" t="s">
        <v>3548</v>
      </c>
      <c r="F2173">
        <v>23.7637</v>
      </c>
      <c r="G2173">
        <v>478.29430000000002</v>
      </c>
      <c r="H2173">
        <v>453.05880000000002</v>
      </c>
      <c r="I2173">
        <v>624.57370000000003</v>
      </c>
      <c r="J2173">
        <v>838.91369999999995</v>
      </c>
      <c r="K2173">
        <v>524.33270000000005</v>
      </c>
      <c r="L2173">
        <v>161.63069999999999</v>
      </c>
      <c r="M2173">
        <v>201.58969999999999</v>
      </c>
      <c r="N2173">
        <v>189.9417</v>
      </c>
      <c r="O2173">
        <v>129.62180000000001</v>
      </c>
      <c r="P2173">
        <v>87</v>
      </c>
      <c r="Q2173" t="s">
        <v>4672</v>
      </c>
    </row>
    <row r="2174" spans="1:17" x14ac:dyDescent="0.3">
      <c r="A2174" t="s">
        <v>4664</v>
      </c>
      <c r="B2174" t="str">
        <f>"000006"</f>
        <v>000006</v>
      </c>
      <c r="C2174" t="s">
        <v>4673</v>
      </c>
      <c r="D2174" t="s">
        <v>104</v>
      </c>
      <c r="F2174">
        <v>2962.0920000000001</v>
      </c>
      <c r="G2174">
        <v>3173.2595999999999</v>
      </c>
      <c r="H2174">
        <v>2099.4088999999999</v>
      </c>
      <c r="I2174">
        <v>2543.6342</v>
      </c>
      <c r="J2174">
        <v>1630.3376000000001</v>
      </c>
      <c r="K2174">
        <v>4604.4512999999997</v>
      </c>
      <c r="L2174">
        <v>1878.4453000000001</v>
      </c>
      <c r="M2174">
        <v>5950.8287</v>
      </c>
      <c r="N2174">
        <v>2601.0720999999999</v>
      </c>
      <c r="O2174">
        <v>1813.7342000000001</v>
      </c>
      <c r="P2174">
        <v>424</v>
      </c>
      <c r="Q2174" t="s">
        <v>4674</v>
      </c>
    </row>
    <row r="2175" spans="1:17" x14ac:dyDescent="0.3">
      <c r="A2175" t="s">
        <v>4664</v>
      </c>
      <c r="B2175" t="str">
        <f>"000007"</f>
        <v>000007</v>
      </c>
      <c r="C2175" t="s">
        <v>4675</v>
      </c>
      <c r="D2175" t="s">
        <v>271</v>
      </c>
      <c r="F2175">
        <v>35.887999999999998</v>
      </c>
      <c r="G2175">
        <v>29.1065</v>
      </c>
      <c r="H2175">
        <v>4.1787999999999998</v>
      </c>
      <c r="I2175">
        <v>4.2050000000000001</v>
      </c>
      <c r="J2175">
        <v>238.56639999999999</v>
      </c>
      <c r="K2175">
        <v>651.00940000000003</v>
      </c>
      <c r="L2175">
        <v>321.1798</v>
      </c>
      <c r="M2175">
        <v>516.12829999999997</v>
      </c>
      <c r="N2175">
        <v>267.89670000000001</v>
      </c>
      <c r="O2175">
        <v>106.196</v>
      </c>
      <c r="P2175">
        <v>93</v>
      </c>
      <c r="Q2175" t="s">
        <v>4676</v>
      </c>
    </row>
    <row r="2176" spans="1:17" x14ac:dyDescent="0.3">
      <c r="A2176" t="s">
        <v>4664</v>
      </c>
      <c r="B2176" t="str">
        <f>"000008"</f>
        <v>000008</v>
      </c>
      <c r="C2176" t="s">
        <v>4677</v>
      </c>
      <c r="D2176" t="s">
        <v>1012</v>
      </c>
      <c r="F2176">
        <v>632.89210000000003</v>
      </c>
      <c r="G2176">
        <v>541.85860000000002</v>
      </c>
      <c r="H2176">
        <v>385.81130000000002</v>
      </c>
      <c r="I2176">
        <v>406.54680000000002</v>
      </c>
      <c r="J2176">
        <v>541.67319999999995</v>
      </c>
      <c r="K2176">
        <v>334.09879999999998</v>
      </c>
      <c r="L2176">
        <v>163.39510000000001</v>
      </c>
      <c r="M2176">
        <v>25.750900000000001</v>
      </c>
      <c r="N2176">
        <v>28.0852</v>
      </c>
      <c r="O2176">
        <v>24.179200000000002</v>
      </c>
      <c r="P2176">
        <v>301</v>
      </c>
      <c r="Q2176" t="s">
        <v>4678</v>
      </c>
    </row>
    <row r="2177" spans="1:17" x14ac:dyDescent="0.3">
      <c r="A2177" t="s">
        <v>4664</v>
      </c>
      <c r="B2177" t="str">
        <f>"000009"</f>
        <v>000009</v>
      </c>
      <c r="C2177" t="s">
        <v>4679</v>
      </c>
      <c r="D2177" t="s">
        <v>1786</v>
      </c>
      <c r="F2177">
        <v>401.66969999999998</v>
      </c>
      <c r="G2177">
        <v>709.42830000000004</v>
      </c>
      <c r="H2177">
        <v>613.81079999999997</v>
      </c>
      <c r="I2177">
        <v>775.96720000000005</v>
      </c>
      <c r="J2177">
        <v>923.3931</v>
      </c>
      <c r="K2177">
        <v>794.37549999999999</v>
      </c>
      <c r="L2177">
        <v>1087.5371</v>
      </c>
      <c r="M2177">
        <v>1215.3581999999999</v>
      </c>
      <c r="N2177">
        <v>1110.8822</v>
      </c>
      <c r="O2177">
        <v>993.66560000000004</v>
      </c>
      <c r="P2177">
        <v>468</v>
      </c>
      <c r="Q2177" t="s">
        <v>4680</v>
      </c>
    </row>
    <row r="2178" spans="1:17" x14ac:dyDescent="0.3">
      <c r="A2178" t="s">
        <v>4664</v>
      </c>
      <c r="B2178" t="str">
        <f>"000010"</f>
        <v>000010</v>
      </c>
      <c r="C2178" t="s">
        <v>4681</v>
      </c>
      <c r="D2178" t="s">
        <v>2408</v>
      </c>
      <c r="F2178">
        <v>83.747500000000002</v>
      </c>
      <c r="G2178">
        <v>519.33709999999996</v>
      </c>
      <c r="H2178">
        <v>625.98509999999999</v>
      </c>
      <c r="I2178">
        <v>3895.1010000000001</v>
      </c>
      <c r="J2178">
        <v>1523.5400999999999</v>
      </c>
      <c r="K2178">
        <v>1056.2782</v>
      </c>
      <c r="L2178">
        <v>139.39490000000001</v>
      </c>
      <c r="M2178">
        <v>865.13900000000001</v>
      </c>
      <c r="N2178">
        <v>531.5068</v>
      </c>
      <c r="O2178">
        <v>692.2056</v>
      </c>
      <c r="P2178">
        <v>93</v>
      </c>
      <c r="Q2178" t="s">
        <v>4682</v>
      </c>
    </row>
    <row r="2179" spans="1:17" x14ac:dyDescent="0.3">
      <c r="A2179" t="s">
        <v>4664</v>
      </c>
      <c r="B2179" t="str">
        <f>"000011"</f>
        <v>000011</v>
      </c>
      <c r="C2179" t="s">
        <v>4683</v>
      </c>
      <c r="D2179" t="s">
        <v>104</v>
      </c>
      <c r="F2179">
        <v>2124.3123999999998</v>
      </c>
      <c r="G2179">
        <v>2136.2514000000001</v>
      </c>
      <c r="H2179">
        <v>1783.5029999999999</v>
      </c>
      <c r="I2179">
        <v>644.16020000000003</v>
      </c>
      <c r="J2179">
        <v>554.87549999999999</v>
      </c>
      <c r="K2179">
        <v>2262.7809000000002</v>
      </c>
      <c r="L2179">
        <v>2150.9591</v>
      </c>
      <c r="M2179">
        <v>2076.2473</v>
      </c>
      <c r="N2179">
        <v>1229.3016</v>
      </c>
      <c r="O2179">
        <v>1138.6123</v>
      </c>
      <c r="P2179">
        <v>479</v>
      </c>
      <c r="Q2179" t="s">
        <v>4684</v>
      </c>
    </row>
    <row r="2180" spans="1:17" x14ac:dyDescent="0.3">
      <c r="A2180" t="s">
        <v>4664</v>
      </c>
      <c r="B2180" t="str">
        <f>"000012"</f>
        <v>000012</v>
      </c>
      <c r="C2180" t="s">
        <v>4685</v>
      </c>
      <c r="D2180" t="s">
        <v>666</v>
      </c>
      <c r="F2180">
        <v>55.687600000000003</v>
      </c>
      <c r="G2180">
        <v>59.653799999999997</v>
      </c>
      <c r="H2180">
        <v>44.655999999999999</v>
      </c>
      <c r="I2180">
        <v>37.782899999999998</v>
      </c>
      <c r="J2180">
        <v>36.345399999999998</v>
      </c>
      <c r="K2180">
        <v>32.107599999999998</v>
      </c>
      <c r="L2180">
        <v>32.956600000000002</v>
      </c>
      <c r="M2180">
        <v>37.4039</v>
      </c>
      <c r="N2180">
        <v>37.579900000000002</v>
      </c>
      <c r="O2180">
        <v>43.000500000000002</v>
      </c>
      <c r="P2180">
        <v>409</v>
      </c>
      <c r="Q2180" t="s">
        <v>4686</v>
      </c>
    </row>
    <row r="2181" spans="1:17" x14ac:dyDescent="0.3">
      <c r="A2181" t="s">
        <v>4664</v>
      </c>
      <c r="B2181" t="str">
        <f>"000014"</f>
        <v>000014</v>
      </c>
      <c r="C2181" t="s">
        <v>4687</v>
      </c>
      <c r="D2181" t="s">
        <v>104</v>
      </c>
      <c r="F2181">
        <v>39591.3537</v>
      </c>
      <c r="G2181">
        <v>4146.5293000000001</v>
      </c>
      <c r="H2181">
        <v>8424.2425999999996</v>
      </c>
      <c r="I2181">
        <v>2910.5801000000001</v>
      </c>
      <c r="J2181">
        <v>1232.9992999999999</v>
      </c>
      <c r="K2181">
        <v>4515.4053999999996</v>
      </c>
      <c r="L2181">
        <v>4089.2147</v>
      </c>
      <c r="M2181">
        <v>4543.8362999999999</v>
      </c>
      <c r="N2181">
        <v>2230.4913000000001</v>
      </c>
      <c r="O2181">
        <v>10427.053599999999</v>
      </c>
      <c r="P2181">
        <v>96</v>
      </c>
      <c r="Q2181" t="s">
        <v>4688</v>
      </c>
    </row>
    <row r="2182" spans="1:17" x14ac:dyDescent="0.3">
      <c r="A2182" t="s">
        <v>4664</v>
      </c>
      <c r="B2182" t="str">
        <f>"000015"</f>
        <v>000015</v>
      </c>
      <c r="C2182" t="s">
        <v>4689</v>
      </c>
      <c r="K2182">
        <v>454.60270000000003</v>
      </c>
      <c r="P2182">
        <v>13</v>
      </c>
      <c r="Q2182" t="s">
        <v>4690</v>
      </c>
    </row>
    <row r="2183" spans="1:17" x14ac:dyDescent="0.3">
      <c r="A2183" t="s">
        <v>4664</v>
      </c>
      <c r="B2183" t="str">
        <f>"000016"</f>
        <v>000016</v>
      </c>
      <c r="C2183" t="s">
        <v>4691</v>
      </c>
      <c r="D2183" t="s">
        <v>137</v>
      </c>
      <c r="F2183">
        <v>56.568800000000003</v>
      </c>
      <c r="G2183">
        <v>66.668499999999995</v>
      </c>
      <c r="H2183">
        <v>54.355499999999999</v>
      </c>
      <c r="I2183">
        <v>67.500500000000002</v>
      </c>
      <c r="J2183">
        <v>117.9217</v>
      </c>
      <c r="K2183">
        <v>80.105099999999993</v>
      </c>
      <c r="L2183">
        <v>104.3802</v>
      </c>
      <c r="M2183">
        <v>112.12569999999999</v>
      </c>
      <c r="N2183">
        <v>114.4175</v>
      </c>
      <c r="O2183">
        <v>109.88549999999999</v>
      </c>
      <c r="P2183">
        <v>266</v>
      </c>
      <c r="Q2183" t="s">
        <v>4692</v>
      </c>
    </row>
    <row r="2184" spans="1:17" x14ac:dyDescent="0.3">
      <c r="A2184" t="s">
        <v>4664</v>
      </c>
      <c r="B2184" t="str">
        <f>"000017"</f>
        <v>000017</v>
      </c>
      <c r="C2184" t="s">
        <v>4693</v>
      </c>
      <c r="D2184" t="s">
        <v>233</v>
      </c>
      <c r="F2184">
        <v>36.1419</v>
      </c>
      <c r="G2184">
        <v>25.918600000000001</v>
      </c>
      <c r="H2184">
        <v>18.307300000000001</v>
      </c>
      <c r="I2184">
        <v>17.049499999999998</v>
      </c>
      <c r="J2184">
        <v>23.6889</v>
      </c>
      <c r="K2184">
        <v>14.9518</v>
      </c>
      <c r="L2184">
        <v>31.6389</v>
      </c>
      <c r="M2184">
        <v>34.7806</v>
      </c>
      <c r="N2184">
        <v>63.350299999999997</v>
      </c>
      <c r="O2184">
        <v>72.948599999999999</v>
      </c>
      <c r="P2184">
        <v>64</v>
      </c>
      <c r="Q2184" t="s">
        <v>4694</v>
      </c>
    </row>
    <row r="2185" spans="1:17" x14ac:dyDescent="0.3">
      <c r="A2185" t="s">
        <v>4664</v>
      </c>
      <c r="B2185" t="str">
        <f>"000018"</f>
        <v>000018</v>
      </c>
      <c r="C2185" t="s">
        <v>4695</v>
      </c>
      <c r="H2185">
        <v>1160.1465000000001</v>
      </c>
      <c r="I2185">
        <v>119.23390000000001</v>
      </c>
      <c r="J2185">
        <v>37.387900000000002</v>
      </c>
      <c r="K2185">
        <v>30.707100000000001</v>
      </c>
      <c r="L2185">
        <v>3.1412</v>
      </c>
      <c r="M2185">
        <v>0</v>
      </c>
      <c r="N2185">
        <v>6.9326999999999996</v>
      </c>
      <c r="O2185">
        <v>20.3657</v>
      </c>
      <c r="P2185">
        <v>99</v>
      </c>
      <c r="Q2185" t="s">
        <v>4696</v>
      </c>
    </row>
    <row r="2186" spans="1:17" x14ac:dyDescent="0.3">
      <c r="A2186" t="s">
        <v>4664</v>
      </c>
      <c r="B2186" t="str">
        <f>"000019"</f>
        <v>000019</v>
      </c>
      <c r="C2186" t="s">
        <v>4697</v>
      </c>
      <c r="D2186" t="s">
        <v>306</v>
      </c>
      <c r="F2186">
        <v>192.24809999999999</v>
      </c>
      <c r="G2186">
        <v>157.22300000000001</v>
      </c>
      <c r="H2186">
        <v>152.04259999999999</v>
      </c>
      <c r="I2186">
        <v>350.2396</v>
      </c>
      <c r="J2186">
        <v>314.69830000000002</v>
      </c>
      <c r="K2186">
        <v>362.20330000000001</v>
      </c>
      <c r="L2186">
        <v>273.89519999999999</v>
      </c>
      <c r="M2186">
        <v>532.47950000000003</v>
      </c>
      <c r="N2186">
        <v>276.18680000000001</v>
      </c>
      <c r="O2186">
        <v>146.40799999999999</v>
      </c>
      <c r="P2186">
        <v>176</v>
      </c>
      <c r="Q2186" t="s">
        <v>4698</v>
      </c>
    </row>
    <row r="2187" spans="1:17" x14ac:dyDescent="0.3">
      <c r="A2187" t="s">
        <v>4664</v>
      </c>
      <c r="B2187" t="str">
        <f>"000020"</f>
        <v>000020</v>
      </c>
      <c r="C2187" t="s">
        <v>4699</v>
      </c>
      <c r="D2187" t="s">
        <v>1117</v>
      </c>
      <c r="F2187">
        <v>58.260800000000003</v>
      </c>
      <c r="G2187">
        <v>53.136699999999998</v>
      </c>
      <c r="H2187">
        <v>46.8536</v>
      </c>
      <c r="I2187">
        <v>45.231099999999998</v>
      </c>
      <c r="J2187">
        <v>29.744599999999998</v>
      </c>
      <c r="K2187">
        <v>28.770099999999999</v>
      </c>
      <c r="L2187">
        <v>37.042400000000001</v>
      </c>
      <c r="M2187">
        <v>31.661100000000001</v>
      </c>
      <c r="N2187">
        <v>56.381900000000002</v>
      </c>
      <c r="O2187">
        <v>41.801900000000003</v>
      </c>
      <c r="P2187">
        <v>75</v>
      </c>
      <c r="Q2187" t="s">
        <v>4700</v>
      </c>
    </row>
    <row r="2188" spans="1:17" x14ac:dyDescent="0.3">
      <c r="A2188" t="s">
        <v>4664</v>
      </c>
      <c r="B2188" t="str">
        <f>"000021"</f>
        <v>000021</v>
      </c>
      <c r="C2188" t="s">
        <v>4701</v>
      </c>
      <c r="D2188" t="s">
        <v>313</v>
      </c>
      <c r="F2188">
        <v>88.619200000000006</v>
      </c>
      <c r="G2188">
        <v>87.134600000000006</v>
      </c>
      <c r="H2188">
        <v>127.52290000000001</v>
      </c>
      <c r="I2188">
        <v>53.799500000000002</v>
      </c>
      <c r="J2188">
        <v>41.781100000000002</v>
      </c>
      <c r="K2188">
        <v>33.663699999999999</v>
      </c>
      <c r="L2188">
        <v>26.020900000000001</v>
      </c>
      <c r="M2188">
        <v>20.246200000000002</v>
      </c>
      <c r="N2188">
        <v>22.9725</v>
      </c>
      <c r="O2188">
        <v>25.8001</v>
      </c>
      <c r="P2188">
        <v>442</v>
      </c>
      <c r="Q2188" t="s">
        <v>4702</v>
      </c>
    </row>
    <row r="2189" spans="1:17" x14ac:dyDescent="0.3">
      <c r="A2189" t="s">
        <v>4664</v>
      </c>
      <c r="B2189" t="str">
        <f>"000022"</f>
        <v>000022</v>
      </c>
      <c r="C2189" t="s">
        <v>4703</v>
      </c>
      <c r="I2189">
        <v>7.1744000000000003</v>
      </c>
      <c r="J2189">
        <v>7.0968999999999998</v>
      </c>
      <c r="K2189">
        <v>8.4315999999999995</v>
      </c>
      <c r="L2189">
        <v>9.4877000000000002</v>
      </c>
      <c r="M2189">
        <v>11.0319</v>
      </c>
      <c r="N2189">
        <v>12.9674</v>
      </c>
      <c r="O2189">
        <v>13.6378</v>
      </c>
      <c r="P2189">
        <v>83</v>
      </c>
      <c r="Q2189" t="s">
        <v>4704</v>
      </c>
    </row>
    <row r="2190" spans="1:17" x14ac:dyDescent="0.3">
      <c r="A2190" t="s">
        <v>4664</v>
      </c>
      <c r="B2190" t="str">
        <f>"000023"</f>
        <v>000023</v>
      </c>
      <c r="C2190" t="s">
        <v>4705</v>
      </c>
      <c r="D2190" t="s">
        <v>3071</v>
      </c>
      <c r="F2190">
        <v>67.269199999999998</v>
      </c>
      <c r="G2190">
        <v>123.843</v>
      </c>
      <c r="H2190">
        <v>160.32640000000001</v>
      </c>
      <c r="I2190">
        <v>209.03110000000001</v>
      </c>
      <c r="J2190">
        <v>206.1405</v>
      </c>
      <c r="K2190">
        <v>256.87830000000002</v>
      </c>
      <c r="L2190">
        <v>281.27940000000001</v>
      </c>
      <c r="M2190">
        <v>203.41480000000001</v>
      </c>
      <c r="N2190">
        <v>154.12719999999999</v>
      </c>
      <c r="O2190">
        <v>114.7028</v>
      </c>
      <c r="P2190">
        <v>78</v>
      </c>
      <c r="Q2190" t="s">
        <v>4706</v>
      </c>
    </row>
    <row r="2191" spans="1:17" x14ac:dyDescent="0.3">
      <c r="A2191" t="s">
        <v>4664</v>
      </c>
      <c r="B2191" t="str">
        <f>"000024"</f>
        <v>000024</v>
      </c>
      <c r="C2191" t="s">
        <v>4707</v>
      </c>
      <c r="L2191">
        <v>2492.1482999999998</v>
      </c>
      <c r="M2191">
        <v>1953.8000999999999</v>
      </c>
      <c r="N2191">
        <v>2155.8998999999999</v>
      </c>
      <c r="O2191">
        <v>2588.1091999999999</v>
      </c>
      <c r="P2191">
        <v>36</v>
      </c>
      <c r="Q2191" t="s">
        <v>4708</v>
      </c>
    </row>
    <row r="2192" spans="1:17" x14ac:dyDescent="0.3">
      <c r="A2192" t="s">
        <v>4664</v>
      </c>
      <c r="B2192" t="str">
        <f>"000025"</f>
        <v>000025</v>
      </c>
      <c r="C2192" t="s">
        <v>4709</v>
      </c>
      <c r="D2192" t="s">
        <v>672</v>
      </c>
      <c r="F2192">
        <v>22.666699999999999</v>
      </c>
      <c r="G2192">
        <v>28.8733</v>
      </c>
      <c r="H2192">
        <v>10.544700000000001</v>
      </c>
      <c r="I2192">
        <v>15.4475</v>
      </c>
      <c r="J2192">
        <v>26.299399999999999</v>
      </c>
      <c r="K2192">
        <v>25.227</v>
      </c>
      <c r="L2192">
        <v>60.4148</v>
      </c>
      <c r="M2192">
        <v>75.685400000000001</v>
      </c>
      <c r="N2192">
        <v>59.6327</v>
      </c>
      <c r="O2192">
        <v>54.533499999999997</v>
      </c>
      <c r="P2192">
        <v>140</v>
      </c>
      <c r="Q2192" t="s">
        <v>4710</v>
      </c>
    </row>
    <row r="2193" spans="1:17" x14ac:dyDescent="0.3">
      <c r="A2193" t="s">
        <v>4664</v>
      </c>
      <c r="B2193" t="str">
        <f>"000026"</f>
        <v>000026</v>
      </c>
      <c r="C2193" t="s">
        <v>4711</v>
      </c>
      <c r="D2193" t="s">
        <v>1238</v>
      </c>
      <c r="F2193">
        <v>279.76190000000003</v>
      </c>
      <c r="G2193">
        <v>361.83569999999997</v>
      </c>
      <c r="H2193">
        <v>390.9</v>
      </c>
      <c r="I2193">
        <v>429.89769999999999</v>
      </c>
      <c r="J2193">
        <v>475.56330000000003</v>
      </c>
      <c r="K2193">
        <v>555.52340000000004</v>
      </c>
      <c r="L2193">
        <v>508.37650000000002</v>
      </c>
      <c r="M2193">
        <v>485.92290000000003</v>
      </c>
      <c r="N2193">
        <v>460.2577</v>
      </c>
      <c r="O2193">
        <v>421.03160000000003</v>
      </c>
      <c r="P2193">
        <v>321</v>
      </c>
      <c r="Q2193" t="s">
        <v>4712</v>
      </c>
    </row>
    <row r="2194" spans="1:17" x14ac:dyDescent="0.3">
      <c r="A2194" t="s">
        <v>4664</v>
      </c>
      <c r="B2194" t="str">
        <f>"000027"</f>
        <v>000027</v>
      </c>
      <c r="C2194" t="s">
        <v>4713</v>
      </c>
      <c r="D2194" t="s">
        <v>41</v>
      </c>
      <c r="F2194">
        <v>26.3413</v>
      </c>
      <c r="G2194">
        <v>38.271000000000001</v>
      </c>
      <c r="H2194">
        <v>43.583399999999997</v>
      </c>
      <c r="I2194">
        <v>56.363799999999998</v>
      </c>
      <c r="J2194">
        <v>77.611500000000007</v>
      </c>
      <c r="K2194">
        <v>92.662700000000001</v>
      </c>
      <c r="L2194">
        <v>79.047899999999998</v>
      </c>
      <c r="M2194">
        <v>59.436900000000001</v>
      </c>
      <c r="N2194">
        <v>65.130200000000002</v>
      </c>
      <c r="O2194">
        <v>50.543700000000001</v>
      </c>
      <c r="P2194">
        <v>509</v>
      </c>
      <c r="Q2194" t="s">
        <v>4714</v>
      </c>
    </row>
    <row r="2195" spans="1:17" x14ac:dyDescent="0.3">
      <c r="A2195" t="s">
        <v>4664</v>
      </c>
      <c r="B2195" t="str">
        <f>"000028"</f>
        <v>000028</v>
      </c>
      <c r="C2195" t="s">
        <v>4715</v>
      </c>
      <c r="D2195" t="s">
        <v>125</v>
      </c>
      <c r="F2195">
        <v>56.880299999999998</v>
      </c>
      <c r="G2195">
        <v>54.171300000000002</v>
      </c>
      <c r="H2195">
        <v>50.176400000000001</v>
      </c>
      <c r="I2195">
        <v>53.912300000000002</v>
      </c>
      <c r="J2195">
        <v>52.5852</v>
      </c>
      <c r="K2195">
        <v>43.057400000000001</v>
      </c>
      <c r="L2195">
        <v>47.690399999999997</v>
      </c>
      <c r="M2195">
        <v>44.7654</v>
      </c>
      <c r="N2195">
        <v>45.251899999999999</v>
      </c>
      <c r="O2195">
        <v>41.932099999999998</v>
      </c>
      <c r="P2195">
        <v>1098</v>
      </c>
      <c r="Q2195" t="s">
        <v>4716</v>
      </c>
    </row>
    <row r="2196" spans="1:17" x14ac:dyDescent="0.3">
      <c r="A2196" t="s">
        <v>4664</v>
      </c>
      <c r="B2196" t="str">
        <f>"000029"</f>
        <v>000029</v>
      </c>
      <c r="C2196" t="s">
        <v>4717</v>
      </c>
      <c r="D2196" t="s">
        <v>104</v>
      </c>
      <c r="F2196">
        <v>1920.9544000000001</v>
      </c>
      <c r="G2196">
        <v>827.16290000000004</v>
      </c>
      <c r="H2196">
        <v>874.19129999999996</v>
      </c>
      <c r="I2196">
        <v>876.08010000000002</v>
      </c>
      <c r="J2196">
        <v>956.68650000000002</v>
      </c>
      <c r="K2196">
        <v>567.96190000000001</v>
      </c>
      <c r="L2196">
        <v>911.43489999999997</v>
      </c>
      <c r="M2196">
        <v>1690.3905999999999</v>
      </c>
      <c r="N2196">
        <v>2857.9477999999999</v>
      </c>
      <c r="O2196">
        <v>1583.019</v>
      </c>
      <c r="P2196">
        <v>137</v>
      </c>
      <c r="Q2196" t="s">
        <v>4718</v>
      </c>
    </row>
    <row r="2197" spans="1:17" x14ac:dyDescent="0.3">
      <c r="A2197" t="s">
        <v>4664</v>
      </c>
      <c r="B2197" t="str">
        <f>"000030"</f>
        <v>000030</v>
      </c>
      <c r="C2197" t="s">
        <v>4719</v>
      </c>
      <c r="D2197" t="s">
        <v>348</v>
      </c>
      <c r="F2197">
        <v>45.117199999999997</v>
      </c>
      <c r="G2197">
        <v>46.186100000000003</v>
      </c>
      <c r="H2197">
        <v>46.328899999999997</v>
      </c>
      <c r="I2197">
        <v>49.255200000000002</v>
      </c>
      <c r="J2197">
        <v>53.961500000000001</v>
      </c>
      <c r="K2197">
        <v>59.442799999999998</v>
      </c>
      <c r="L2197">
        <v>75.972899999999996</v>
      </c>
      <c r="M2197">
        <v>65.852699999999999</v>
      </c>
      <c r="N2197">
        <v>34.561399999999999</v>
      </c>
      <c r="P2197">
        <v>330</v>
      </c>
      <c r="Q2197" t="s">
        <v>4720</v>
      </c>
    </row>
    <row r="2198" spans="1:17" x14ac:dyDescent="0.3">
      <c r="A2198" t="s">
        <v>4664</v>
      </c>
      <c r="B2198" t="str">
        <f>"000031"</f>
        <v>000031</v>
      </c>
      <c r="C2198" t="s">
        <v>4721</v>
      </c>
      <c r="D2198" t="s">
        <v>30</v>
      </c>
      <c r="F2198">
        <v>2331.4430000000002</v>
      </c>
      <c r="G2198">
        <v>2892.2282</v>
      </c>
      <c r="H2198">
        <v>1760.2043000000001</v>
      </c>
      <c r="I2198">
        <v>3005.8980000000001</v>
      </c>
      <c r="J2198">
        <v>2090.6378</v>
      </c>
      <c r="K2198">
        <v>1789.1288999999999</v>
      </c>
      <c r="L2198">
        <v>2406.2838999999999</v>
      </c>
      <c r="M2198">
        <v>5119.6779999999999</v>
      </c>
      <c r="N2198">
        <v>3147.9744999999998</v>
      </c>
      <c r="O2198">
        <v>4954.2101000000002</v>
      </c>
      <c r="P2198">
        <v>327</v>
      </c>
      <c r="Q2198" t="s">
        <v>4722</v>
      </c>
    </row>
    <row r="2199" spans="1:17" x14ac:dyDescent="0.3">
      <c r="A2199" t="s">
        <v>4664</v>
      </c>
      <c r="B2199" t="str">
        <f>"000032"</f>
        <v>000032</v>
      </c>
      <c r="C2199" t="s">
        <v>4723</v>
      </c>
      <c r="D2199" t="s">
        <v>786</v>
      </c>
      <c r="F2199">
        <v>6.0964999999999998</v>
      </c>
      <c r="G2199">
        <v>134.74359999999999</v>
      </c>
      <c r="H2199">
        <v>136.9674</v>
      </c>
      <c r="I2199">
        <v>85.014300000000006</v>
      </c>
      <c r="J2199">
        <v>103.06870000000001</v>
      </c>
      <c r="K2199">
        <v>87.053299999999993</v>
      </c>
      <c r="L2199">
        <v>165.4923</v>
      </c>
      <c r="M2199">
        <v>125.8668</v>
      </c>
      <c r="N2199">
        <v>151.61660000000001</v>
      </c>
      <c r="O2199">
        <v>219.48689999999999</v>
      </c>
      <c r="P2199">
        <v>121</v>
      </c>
      <c r="Q2199" t="s">
        <v>4724</v>
      </c>
    </row>
    <row r="2200" spans="1:17" x14ac:dyDescent="0.3">
      <c r="A2200" t="s">
        <v>4664</v>
      </c>
      <c r="B2200" t="str">
        <f>"000033"</f>
        <v>000033</v>
      </c>
      <c r="C2200" t="s">
        <v>4725</v>
      </c>
      <c r="K2200">
        <v>29.4802</v>
      </c>
      <c r="L2200">
        <v>14.8498</v>
      </c>
      <c r="M2200">
        <v>15.419</v>
      </c>
      <c r="N2200">
        <v>17.946000000000002</v>
      </c>
      <c r="O2200">
        <v>18.194900000000001</v>
      </c>
      <c r="P2200">
        <v>7</v>
      </c>
      <c r="Q2200" t="s">
        <v>4726</v>
      </c>
    </row>
    <row r="2201" spans="1:17" x14ac:dyDescent="0.3">
      <c r="A2201" t="s">
        <v>4664</v>
      </c>
      <c r="B2201" t="str">
        <f>"000034"</f>
        <v>000034</v>
      </c>
      <c r="C2201" t="s">
        <v>4727</v>
      </c>
      <c r="D2201" t="s">
        <v>316</v>
      </c>
      <c r="F2201">
        <v>40.8414</v>
      </c>
      <c r="G2201">
        <v>49.995800000000003</v>
      </c>
      <c r="H2201">
        <v>44.147300000000001</v>
      </c>
      <c r="I2201">
        <v>50.3307</v>
      </c>
      <c r="J2201">
        <v>50.323900000000002</v>
      </c>
      <c r="K2201">
        <v>37.220999999999997</v>
      </c>
      <c r="L2201">
        <v>119.76349999999999</v>
      </c>
      <c r="M2201">
        <v>76.993700000000004</v>
      </c>
      <c r="N2201">
        <v>60.646599999999999</v>
      </c>
      <c r="O2201">
        <v>60.68</v>
      </c>
      <c r="P2201">
        <v>412</v>
      </c>
      <c r="Q2201" t="s">
        <v>4728</v>
      </c>
    </row>
    <row r="2202" spans="1:17" x14ac:dyDescent="0.3">
      <c r="A2202" t="s">
        <v>4664</v>
      </c>
      <c r="B2202" t="str">
        <f>"000035"</f>
        <v>000035</v>
      </c>
      <c r="C2202" t="s">
        <v>4729</v>
      </c>
      <c r="D2202" t="s">
        <v>499</v>
      </c>
      <c r="F2202">
        <v>20.482800000000001</v>
      </c>
      <c r="G2202">
        <v>16.398599999999998</v>
      </c>
      <c r="H2202">
        <v>12.446300000000001</v>
      </c>
      <c r="I2202">
        <v>56.210299999999997</v>
      </c>
      <c r="J2202">
        <v>75.439300000000003</v>
      </c>
      <c r="K2202">
        <v>86.114199999999997</v>
      </c>
      <c r="L2202">
        <v>80.521199999999993</v>
      </c>
      <c r="M2202">
        <v>117.1669</v>
      </c>
      <c r="N2202">
        <v>0</v>
      </c>
      <c r="O2202">
        <v>0</v>
      </c>
      <c r="P2202">
        <v>198</v>
      </c>
      <c r="Q2202" t="s">
        <v>4730</v>
      </c>
    </row>
    <row r="2203" spans="1:17" x14ac:dyDescent="0.3">
      <c r="A2203" t="s">
        <v>4664</v>
      </c>
      <c r="B2203" t="str">
        <f>"000036"</f>
        <v>000036</v>
      </c>
      <c r="C2203" t="s">
        <v>4731</v>
      </c>
      <c r="D2203" t="s">
        <v>104</v>
      </c>
      <c r="F2203">
        <v>3739.2894000000001</v>
      </c>
      <c r="G2203">
        <v>1244.5544</v>
      </c>
      <c r="H2203">
        <v>2188.6316999999999</v>
      </c>
      <c r="I2203">
        <v>2273.5997000000002</v>
      </c>
      <c r="J2203">
        <v>1580.12</v>
      </c>
      <c r="K2203">
        <v>19983.315600000002</v>
      </c>
      <c r="L2203">
        <v>15560.474</v>
      </c>
      <c r="M2203">
        <v>11731.0478</v>
      </c>
      <c r="N2203">
        <v>8657.5424999999996</v>
      </c>
      <c r="O2203">
        <v>5377.5562</v>
      </c>
      <c r="P2203">
        <v>880</v>
      </c>
      <c r="Q2203" t="s">
        <v>4732</v>
      </c>
    </row>
    <row r="2204" spans="1:17" x14ac:dyDescent="0.3">
      <c r="A2204" t="s">
        <v>4664</v>
      </c>
      <c r="B2204" t="str">
        <f>"000037"</f>
        <v>000037</v>
      </c>
      <c r="C2204" t="s">
        <v>4733</v>
      </c>
      <c r="D2204" t="s">
        <v>351</v>
      </c>
      <c r="F2204">
        <v>61.441200000000002</v>
      </c>
      <c r="G2204">
        <v>66.357200000000006</v>
      </c>
      <c r="H2204">
        <v>63.114699999999999</v>
      </c>
      <c r="I2204">
        <v>18.104099999999999</v>
      </c>
      <c r="J2204">
        <v>20.640699999999999</v>
      </c>
      <c r="K2204">
        <v>232.20179999999999</v>
      </c>
      <c r="L2204">
        <v>397.91039999999998</v>
      </c>
      <c r="M2204">
        <v>335.947</v>
      </c>
      <c r="N2204">
        <v>301.89069999999998</v>
      </c>
      <c r="O2204">
        <v>263.63240000000002</v>
      </c>
      <c r="P2204">
        <v>112</v>
      </c>
      <c r="Q2204" t="s">
        <v>4734</v>
      </c>
    </row>
    <row r="2205" spans="1:17" x14ac:dyDescent="0.3">
      <c r="A2205" t="s">
        <v>4664</v>
      </c>
      <c r="B2205" t="str">
        <f>"000038"</f>
        <v>000038</v>
      </c>
      <c r="C2205" t="s">
        <v>4735</v>
      </c>
      <c r="D2205" t="s">
        <v>110</v>
      </c>
      <c r="F2205">
        <v>17.790500000000002</v>
      </c>
      <c r="G2205">
        <v>18.608799999999999</v>
      </c>
      <c r="H2205">
        <v>34.0702</v>
      </c>
      <c r="I2205">
        <v>4.9387999999999996</v>
      </c>
      <c r="J2205">
        <v>154.7756</v>
      </c>
      <c r="K2205">
        <v>498.197</v>
      </c>
      <c r="L2205">
        <v>1702.6849999999999</v>
      </c>
      <c r="M2205">
        <v>2966.4414000000002</v>
      </c>
      <c r="N2205">
        <v>3023.6694000000002</v>
      </c>
      <c r="O2205">
        <v>3468.6068</v>
      </c>
      <c r="P2205">
        <v>113</v>
      </c>
      <c r="Q2205" t="s">
        <v>4736</v>
      </c>
    </row>
    <row r="2206" spans="1:17" x14ac:dyDescent="0.3">
      <c r="A2206" t="s">
        <v>4664</v>
      </c>
      <c r="B2206" t="str">
        <f>"000039"</f>
        <v>000039</v>
      </c>
      <c r="C2206" t="s">
        <v>4737</v>
      </c>
      <c r="D2206" t="s">
        <v>274</v>
      </c>
      <c r="F2206">
        <v>67.481899999999996</v>
      </c>
      <c r="G2206">
        <v>262.96679999999998</v>
      </c>
      <c r="H2206">
        <v>199.3742</v>
      </c>
      <c r="I2206">
        <v>127.08880000000001</v>
      </c>
      <c r="J2206">
        <v>147.5283</v>
      </c>
      <c r="K2206">
        <v>214.32069999999999</v>
      </c>
      <c r="L2206">
        <v>166.5204</v>
      </c>
      <c r="M2206">
        <v>141.5137</v>
      </c>
      <c r="N2206">
        <v>183.69139999999999</v>
      </c>
      <c r="O2206">
        <v>168.69210000000001</v>
      </c>
      <c r="P2206">
        <v>679</v>
      </c>
      <c r="Q2206" t="s">
        <v>4738</v>
      </c>
    </row>
    <row r="2207" spans="1:17" x14ac:dyDescent="0.3">
      <c r="A2207" t="s">
        <v>4664</v>
      </c>
      <c r="B2207" t="str">
        <f>"000040"</f>
        <v>000040</v>
      </c>
      <c r="C2207" t="s">
        <v>4739</v>
      </c>
      <c r="D2207" t="s">
        <v>86</v>
      </c>
      <c r="F2207">
        <v>15.059799999999999</v>
      </c>
      <c r="G2207">
        <v>230.36709999999999</v>
      </c>
      <c r="H2207">
        <v>213.65649999999999</v>
      </c>
      <c r="I2207">
        <v>146.24700000000001</v>
      </c>
      <c r="J2207">
        <v>347.5093</v>
      </c>
      <c r="K2207">
        <v>605.40700000000004</v>
      </c>
      <c r="L2207">
        <v>3127.6586000000002</v>
      </c>
      <c r="M2207">
        <v>3535.4832000000001</v>
      </c>
      <c r="N2207">
        <v>3142.3110000000001</v>
      </c>
      <c r="O2207">
        <v>2981.6745000000001</v>
      </c>
      <c r="P2207">
        <v>220</v>
      </c>
      <c r="Q2207" t="s">
        <v>4740</v>
      </c>
    </row>
    <row r="2208" spans="1:17" x14ac:dyDescent="0.3">
      <c r="A2208" t="s">
        <v>4664</v>
      </c>
      <c r="B2208" t="str">
        <f>"000042"</f>
        <v>000042</v>
      </c>
      <c r="C2208" t="s">
        <v>4741</v>
      </c>
      <c r="D2208" t="s">
        <v>104</v>
      </c>
      <c r="F2208">
        <v>2539.8788</v>
      </c>
      <c r="G2208">
        <v>2579.4169999999999</v>
      </c>
      <c r="H2208">
        <v>5392.4166999999998</v>
      </c>
      <c r="I2208">
        <v>2520.2201</v>
      </c>
      <c r="J2208">
        <v>2816.8710999999998</v>
      </c>
      <c r="K2208">
        <v>1580.9844000000001</v>
      </c>
      <c r="L2208">
        <v>3078.3467999999998</v>
      </c>
      <c r="M2208">
        <v>3527.0909999999999</v>
      </c>
      <c r="N2208">
        <v>4091.0677999999998</v>
      </c>
      <c r="O2208">
        <v>1873.0571</v>
      </c>
      <c r="P2208">
        <v>121</v>
      </c>
      <c r="Q2208" t="s">
        <v>4742</v>
      </c>
    </row>
    <row r="2209" spans="1:17" x14ac:dyDescent="0.3">
      <c r="A2209" t="s">
        <v>4664</v>
      </c>
      <c r="B2209" t="str">
        <f>"000043"</f>
        <v>000043</v>
      </c>
      <c r="C2209" t="s">
        <v>4743</v>
      </c>
      <c r="H2209">
        <v>193.98509999999999</v>
      </c>
      <c r="I2209">
        <v>463.61930000000001</v>
      </c>
      <c r="J2209">
        <v>774.97339999999997</v>
      </c>
      <c r="K2209">
        <v>1216.4401</v>
      </c>
      <c r="L2209">
        <v>1811.3456000000001</v>
      </c>
      <c r="M2209">
        <v>1827.5990999999999</v>
      </c>
      <c r="N2209">
        <v>1436.8637000000001</v>
      </c>
      <c r="O2209">
        <v>1919.2329999999999</v>
      </c>
      <c r="P2209">
        <v>73</v>
      </c>
      <c r="Q2209" t="s">
        <v>4744</v>
      </c>
    </row>
    <row r="2210" spans="1:17" x14ac:dyDescent="0.3">
      <c r="A2210" t="s">
        <v>4664</v>
      </c>
      <c r="B2210" t="str">
        <f>"000045"</f>
        <v>000045</v>
      </c>
      <c r="C2210" t="s">
        <v>4745</v>
      </c>
      <c r="D2210" t="s">
        <v>1117</v>
      </c>
      <c r="F2210">
        <v>152.6318</v>
      </c>
      <c r="G2210">
        <v>116.724</v>
      </c>
      <c r="H2210">
        <v>107.31950000000001</v>
      </c>
      <c r="I2210">
        <v>110.46250000000001</v>
      </c>
      <c r="J2210">
        <v>108.0962</v>
      </c>
      <c r="K2210">
        <v>135.416</v>
      </c>
      <c r="L2210">
        <v>99.110500000000002</v>
      </c>
      <c r="M2210">
        <v>101.8877</v>
      </c>
      <c r="N2210">
        <v>89.1023</v>
      </c>
      <c r="O2210">
        <v>66.596000000000004</v>
      </c>
      <c r="P2210">
        <v>86</v>
      </c>
      <c r="Q2210" t="s">
        <v>4746</v>
      </c>
    </row>
    <row r="2211" spans="1:17" x14ac:dyDescent="0.3">
      <c r="A2211" t="s">
        <v>4664</v>
      </c>
      <c r="B2211" t="str">
        <f>"000046"</f>
        <v>000046</v>
      </c>
      <c r="C2211" t="s">
        <v>4747</v>
      </c>
      <c r="D2211" t="s">
        <v>104</v>
      </c>
      <c r="F2211">
        <v>8635.7278999999999</v>
      </c>
      <c r="G2211">
        <v>35215.330499999996</v>
      </c>
      <c r="H2211">
        <v>30984.708500000001</v>
      </c>
      <c r="I2211">
        <v>28559.7778</v>
      </c>
      <c r="J2211">
        <v>11402.603800000001</v>
      </c>
      <c r="K2211">
        <v>2486.0059999999999</v>
      </c>
      <c r="L2211">
        <v>8569.8760999999995</v>
      </c>
      <c r="M2211">
        <v>11746.2387</v>
      </c>
      <c r="N2211">
        <v>8169.5586999999996</v>
      </c>
      <c r="O2211">
        <v>12065.3575</v>
      </c>
      <c r="P2211">
        <v>210</v>
      </c>
      <c r="Q2211" t="s">
        <v>4748</v>
      </c>
    </row>
    <row r="2212" spans="1:17" x14ac:dyDescent="0.3">
      <c r="A2212" t="s">
        <v>4664</v>
      </c>
      <c r="B2212" t="str">
        <f>"000047"</f>
        <v>000047</v>
      </c>
      <c r="C2212" t="s">
        <v>4749</v>
      </c>
      <c r="K2212">
        <v>0</v>
      </c>
      <c r="P2212">
        <v>6</v>
      </c>
      <c r="Q2212" t="s">
        <v>4750</v>
      </c>
    </row>
    <row r="2213" spans="1:17" x14ac:dyDescent="0.3">
      <c r="A2213" t="s">
        <v>4664</v>
      </c>
      <c r="B2213" t="str">
        <f>"000048"</f>
        <v>000048</v>
      </c>
      <c r="C2213" t="s">
        <v>4751</v>
      </c>
      <c r="D2213" t="s">
        <v>104</v>
      </c>
      <c r="F2213">
        <v>790.97059999999999</v>
      </c>
      <c r="G2213">
        <v>1135.8218999999999</v>
      </c>
      <c r="H2213">
        <v>584.66989999999998</v>
      </c>
      <c r="I2213">
        <v>431.32369999999997</v>
      </c>
      <c r="J2213">
        <v>335.0421</v>
      </c>
      <c r="K2213">
        <v>168.64830000000001</v>
      </c>
      <c r="L2213">
        <v>113.7157</v>
      </c>
      <c r="M2213">
        <v>120.19970000000001</v>
      </c>
      <c r="N2213">
        <v>61.660899999999998</v>
      </c>
      <c r="O2213">
        <v>40.569499999999998</v>
      </c>
      <c r="P2213">
        <v>588</v>
      </c>
      <c r="Q2213" t="s">
        <v>4752</v>
      </c>
    </row>
    <row r="2214" spans="1:17" x14ac:dyDescent="0.3">
      <c r="A2214" t="s">
        <v>4664</v>
      </c>
      <c r="B2214" t="str">
        <f>"000049"</f>
        <v>000049</v>
      </c>
      <c r="C2214" t="s">
        <v>4753</v>
      </c>
      <c r="D2214" t="s">
        <v>359</v>
      </c>
      <c r="F2214">
        <v>68.034000000000006</v>
      </c>
      <c r="G2214">
        <v>63.062399999999997</v>
      </c>
      <c r="H2214">
        <v>76.8446</v>
      </c>
      <c r="I2214">
        <v>71.55</v>
      </c>
      <c r="J2214">
        <v>62.598300000000002</v>
      </c>
      <c r="K2214">
        <v>57.082799999999999</v>
      </c>
      <c r="L2214">
        <v>51.802300000000002</v>
      </c>
      <c r="M2214">
        <v>64.755499999999998</v>
      </c>
      <c r="N2214">
        <v>65.676299999999998</v>
      </c>
      <c r="O2214">
        <v>48.295400000000001</v>
      </c>
      <c r="P2214">
        <v>41582</v>
      </c>
      <c r="Q2214" t="s">
        <v>4754</v>
      </c>
    </row>
    <row r="2215" spans="1:17" x14ac:dyDescent="0.3">
      <c r="A2215" t="s">
        <v>4664</v>
      </c>
      <c r="B2215" t="str">
        <f>"000050"</f>
        <v>000050</v>
      </c>
      <c r="C2215" t="s">
        <v>4755</v>
      </c>
      <c r="D2215" t="s">
        <v>1117</v>
      </c>
      <c r="F2215">
        <v>62.992199999999997</v>
      </c>
      <c r="G2215">
        <v>57.518799999999999</v>
      </c>
      <c r="H2215">
        <v>53.864199999999997</v>
      </c>
      <c r="I2215">
        <v>45.229199999999999</v>
      </c>
      <c r="J2215">
        <v>58.434100000000001</v>
      </c>
      <c r="K2215">
        <v>78.881399999999999</v>
      </c>
      <c r="L2215">
        <v>82.429500000000004</v>
      </c>
      <c r="M2215">
        <v>71.861900000000006</v>
      </c>
      <c r="N2215">
        <v>61.177599999999998</v>
      </c>
      <c r="O2215">
        <v>59.171100000000003</v>
      </c>
      <c r="P2215">
        <v>621</v>
      </c>
      <c r="Q2215" t="s">
        <v>4756</v>
      </c>
    </row>
    <row r="2216" spans="1:17" x14ac:dyDescent="0.3">
      <c r="A2216" t="s">
        <v>4664</v>
      </c>
      <c r="B2216" t="str">
        <f>"000055"</f>
        <v>000055</v>
      </c>
      <c r="C2216" t="s">
        <v>4757</v>
      </c>
      <c r="D2216" t="s">
        <v>722</v>
      </c>
      <c r="F2216">
        <v>152.16540000000001</v>
      </c>
      <c r="G2216">
        <v>164.6876</v>
      </c>
      <c r="H2216">
        <v>163.31780000000001</v>
      </c>
      <c r="I2216">
        <v>184.5564</v>
      </c>
      <c r="J2216">
        <v>512.36680000000001</v>
      </c>
      <c r="K2216">
        <v>406.92509999999999</v>
      </c>
      <c r="L2216">
        <v>262.80189999999999</v>
      </c>
      <c r="M2216">
        <v>213.79349999999999</v>
      </c>
      <c r="N2216">
        <v>104.17010000000001</v>
      </c>
      <c r="O2216">
        <v>120.8937</v>
      </c>
      <c r="P2216">
        <v>318</v>
      </c>
      <c r="Q2216" t="s">
        <v>4758</v>
      </c>
    </row>
    <row r="2217" spans="1:17" x14ac:dyDescent="0.3">
      <c r="A2217" t="s">
        <v>4664</v>
      </c>
      <c r="B2217" t="str">
        <f>"000056"</f>
        <v>000056</v>
      </c>
      <c r="C2217" t="s">
        <v>4759</v>
      </c>
      <c r="D2217" t="s">
        <v>2948</v>
      </c>
      <c r="F2217">
        <v>87.791600000000003</v>
      </c>
      <c r="G2217">
        <v>16.361699999999999</v>
      </c>
      <c r="H2217">
        <v>27.965</v>
      </c>
      <c r="I2217">
        <v>34.311100000000003</v>
      </c>
      <c r="J2217">
        <v>74.652100000000004</v>
      </c>
      <c r="K2217">
        <v>4.0319000000000003</v>
      </c>
      <c r="L2217">
        <v>133.4331</v>
      </c>
      <c r="M2217">
        <v>322.01069999999999</v>
      </c>
      <c r="N2217">
        <v>24507.527999999998</v>
      </c>
      <c r="O2217">
        <v>8479.0004000000008</v>
      </c>
      <c r="P2217">
        <v>100</v>
      </c>
      <c r="Q2217" t="s">
        <v>4760</v>
      </c>
    </row>
    <row r="2218" spans="1:17" x14ac:dyDescent="0.3">
      <c r="A2218" t="s">
        <v>4664</v>
      </c>
      <c r="B2218" t="str">
        <f>"000058"</f>
        <v>000058</v>
      </c>
      <c r="C2218" t="s">
        <v>4761</v>
      </c>
      <c r="D2218" t="s">
        <v>271</v>
      </c>
      <c r="F2218">
        <v>715.5856</v>
      </c>
      <c r="G2218">
        <v>1198.45</v>
      </c>
      <c r="H2218">
        <v>1268.5488</v>
      </c>
      <c r="I2218">
        <v>1135.9285</v>
      </c>
      <c r="J2218">
        <v>1273.5097000000001</v>
      </c>
      <c r="K2218">
        <v>442.55340000000001</v>
      </c>
      <c r="L2218">
        <v>263.44319999999999</v>
      </c>
      <c r="M2218">
        <v>138.2979</v>
      </c>
      <c r="N2218">
        <v>49.026000000000003</v>
      </c>
      <c r="O2218">
        <v>2.6032000000000002</v>
      </c>
      <c r="P2218">
        <v>142</v>
      </c>
      <c r="Q2218" t="s">
        <v>4762</v>
      </c>
    </row>
    <row r="2219" spans="1:17" x14ac:dyDescent="0.3">
      <c r="A2219" t="s">
        <v>4664</v>
      </c>
      <c r="B2219" t="str">
        <f>"000059"</f>
        <v>000059</v>
      </c>
      <c r="C2219" t="s">
        <v>4763</v>
      </c>
      <c r="D2219" t="s">
        <v>74</v>
      </c>
      <c r="F2219">
        <v>72.977500000000006</v>
      </c>
      <c r="G2219">
        <v>73.761300000000006</v>
      </c>
      <c r="H2219">
        <v>69.659499999999994</v>
      </c>
      <c r="I2219">
        <v>69.975499999999997</v>
      </c>
      <c r="J2219">
        <v>75.413700000000006</v>
      </c>
      <c r="K2219">
        <v>75.404700000000005</v>
      </c>
      <c r="L2219">
        <v>83.836799999999997</v>
      </c>
      <c r="M2219">
        <v>68.001199999999997</v>
      </c>
      <c r="N2219">
        <v>76.142499999999998</v>
      </c>
      <c r="O2219">
        <v>71.787400000000005</v>
      </c>
      <c r="P2219">
        <v>387</v>
      </c>
      <c r="Q2219" t="s">
        <v>4764</v>
      </c>
    </row>
    <row r="2220" spans="1:17" x14ac:dyDescent="0.3">
      <c r="A2220" t="s">
        <v>4664</v>
      </c>
      <c r="B2220" t="str">
        <f>"000060"</f>
        <v>000060</v>
      </c>
      <c r="C2220" t="s">
        <v>4765</v>
      </c>
      <c r="D2220" t="s">
        <v>744</v>
      </c>
      <c r="F2220">
        <v>27.639600000000002</v>
      </c>
      <c r="G2220">
        <v>29.796800000000001</v>
      </c>
      <c r="H2220">
        <v>45.871600000000001</v>
      </c>
      <c r="I2220">
        <v>51.930900000000001</v>
      </c>
      <c r="J2220">
        <v>57.799700000000001</v>
      </c>
      <c r="K2220">
        <v>73.185199999999995</v>
      </c>
      <c r="L2220">
        <v>71.831299999999999</v>
      </c>
      <c r="M2220">
        <v>45.009500000000003</v>
      </c>
      <c r="N2220">
        <v>89.755300000000005</v>
      </c>
      <c r="O2220">
        <v>82.792299999999997</v>
      </c>
      <c r="P2220">
        <v>373</v>
      </c>
      <c r="Q2220" t="s">
        <v>4766</v>
      </c>
    </row>
    <row r="2221" spans="1:17" x14ac:dyDescent="0.3">
      <c r="A2221" t="s">
        <v>4664</v>
      </c>
      <c r="B2221" t="str">
        <f>"000061"</f>
        <v>000061</v>
      </c>
      <c r="C2221" t="s">
        <v>4767</v>
      </c>
      <c r="D2221" t="s">
        <v>271</v>
      </c>
      <c r="F2221">
        <v>138.68709999999999</v>
      </c>
      <c r="G2221">
        <v>150.49080000000001</v>
      </c>
      <c r="H2221">
        <v>163.0086</v>
      </c>
      <c r="I2221">
        <v>197.2955</v>
      </c>
      <c r="J2221">
        <v>151.20769999999999</v>
      </c>
      <c r="K2221">
        <v>207.26050000000001</v>
      </c>
      <c r="L2221">
        <v>129.94450000000001</v>
      </c>
      <c r="M2221">
        <v>1.2115</v>
      </c>
      <c r="N2221">
        <v>37.677100000000003</v>
      </c>
      <c r="O2221">
        <v>47.9146</v>
      </c>
      <c r="P2221">
        <v>209</v>
      </c>
      <c r="Q2221" t="s">
        <v>4768</v>
      </c>
    </row>
    <row r="2222" spans="1:17" x14ac:dyDescent="0.3">
      <c r="A2222" t="s">
        <v>4664</v>
      </c>
      <c r="B2222" t="str">
        <f>"000062"</f>
        <v>000062</v>
      </c>
      <c r="C2222" t="s">
        <v>4769</v>
      </c>
      <c r="D2222" t="s">
        <v>651</v>
      </c>
      <c r="F2222">
        <v>53.579900000000002</v>
      </c>
      <c r="G2222">
        <v>57.748100000000001</v>
      </c>
      <c r="H2222">
        <v>73.81</v>
      </c>
      <c r="I2222">
        <v>80.840800000000002</v>
      </c>
      <c r="J2222">
        <v>92.181200000000004</v>
      </c>
      <c r="K2222">
        <v>94.7</v>
      </c>
      <c r="L2222">
        <v>387.93020000000001</v>
      </c>
      <c r="M2222">
        <v>384.77159999999998</v>
      </c>
      <c r="N2222">
        <v>1243.9158</v>
      </c>
      <c r="O2222">
        <v>1797.5237</v>
      </c>
      <c r="P2222">
        <v>300</v>
      </c>
      <c r="Q2222" t="s">
        <v>4770</v>
      </c>
    </row>
    <row r="2223" spans="1:17" x14ac:dyDescent="0.3">
      <c r="A2223" t="s">
        <v>4664</v>
      </c>
      <c r="B2223" t="str">
        <f>"000063"</f>
        <v>000063</v>
      </c>
      <c r="C2223" t="s">
        <v>4771</v>
      </c>
      <c r="D2223" t="s">
        <v>1019</v>
      </c>
      <c r="F2223">
        <v>241.70140000000001</v>
      </c>
      <c r="G2223">
        <v>239.8853</v>
      </c>
      <c r="H2223">
        <v>248.99270000000001</v>
      </c>
      <c r="I2223">
        <v>244.3502</v>
      </c>
      <c r="J2223">
        <v>187.6711</v>
      </c>
      <c r="K2223">
        <v>179.63380000000001</v>
      </c>
      <c r="L2223">
        <v>162.5505</v>
      </c>
      <c r="M2223">
        <v>144.40629999999999</v>
      </c>
      <c r="N2223">
        <v>108.9286</v>
      </c>
      <c r="O2223">
        <v>110.1009</v>
      </c>
      <c r="P2223">
        <v>3203</v>
      </c>
      <c r="Q2223" t="s">
        <v>4772</v>
      </c>
    </row>
    <row r="2224" spans="1:17" x14ac:dyDescent="0.3">
      <c r="A2224" t="s">
        <v>4664</v>
      </c>
      <c r="B2224" t="str">
        <f>"000065"</f>
        <v>000065</v>
      </c>
      <c r="C2224" t="s">
        <v>4773</v>
      </c>
      <c r="D2224" t="s">
        <v>1887</v>
      </c>
      <c r="F2224">
        <v>43.543799999999997</v>
      </c>
      <c r="G2224">
        <v>34.470500000000001</v>
      </c>
      <c r="H2224">
        <v>30.594999999999999</v>
      </c>
      <c r="I2224">
        <v>39.116100000000003</v>
      </c>
      <c r="J2224">
        <v>53.718800000000002</v>
      </c>
      <c r="K2224">
        <v>60.713299999999997</v>
      </c>
      <c r="L2224">
        <v>88.449799999999996</v>
      </c>
      <c r="M2224">
        <v>107.2923</v>
      </c>
      <c r="N2224">
        <v>217.29239999999999</v>
      </c>
      <c r="O2224">
        <v>890.36829999999998</v>
      </c>
      <c r="P2224">
        <v>394</v>
      </c>
      <c r="Q2224" t="s">
        <v>4774</v>
      </c>
    </row>
    <row r="2225" spans="1:17" x14ac:dyDescent="0.3">
      <c r="A2225" t="s">
        <v>4664</v>
      </c>
      <c r="B2225" t="str">
        <f>"000066"</f>
        <v>000066</v>
      </c>
      <c r="C2225" t="s">
        <v>4775</v>
      </c>
      <c r="D2225" t="s">
        <v>236</v>
      </c>
      <c r="F2225">
        <v>236.7071</v>
      </c>
      <c r="G2225">
        <v>315.5582</v>
      </c>
      <c r="H2225">
        <v>154.4838</v>
      </c>
      <c r="I2225">
        <v>131.4717</v>
      </c>
      <c r="J2225">
        <v>82.651600000000002</v>
      </c>
      <c r="K2225">
        <v>76.4422</v>
      </c>
      <c r="L2225">
        <v>79.168199999999999</v>
      </c>
      <c r="M2225">
        <v>70.631900000000002</v>
      </c>
      <c r="N2225">
        <v>74.623099999999994</v>
      </c>
      <c r="O2225">
        <v>69.081400000000002</v>
      </c>
      <c r="P2225">
        <v>712</v>
      </c>
      <c r="Q2225" t="s">
        <v>4776</v>
      </c>
    </row>
    <row r="2226" spans="1:17" x14ac:dyDescent="0.3">
      <c r="A2226" t="s">
        <v>4664</v>
      </c>
      <c r="B2226" t="str">
        <f>"000068"</f>
        <v>000068</v>
      </c>
      <c r="C2226" t="s">
        <v>4777</v>
      </c>
      <c r="D2226" t="s">
        <v>3548</v>
      </c>
      <c r="F2226">
        <v>30.806100000000001</v>
      </c>
      <c r="G2226">
        <v>143.3468</v>
      </c>
      <c r="H2226">
        <v>184.51070000000001</v>
      </c>
      <c r="I2226">
        <v>101.9332</v>
      </c>
      <c r="J2226">
        <v>86.907399999999996</v>
      </c>
      <c r="K2226">
        <v>104.6101</v>
      </c>
      <c r="L2226">
        <v>59.300800000000002</v>
      </c>
      <c r="M2226">
        <v>0.4924</v>
      </c>
      <c r="N2226">
        <v>9.4000000000000004E-3</v>
      </c>
      <c r="O2226">
        <v>22.164400000000001</v>
      </c>
      <c r="P2226">
        <v>144</v>
      </c>
      <c r="Q2226" t="s">
        <v>4778</v>
      </c>
    </row>
    <row r="2227" spans="1:17" x14ac:dyDescent="0.3">
      <c r="A2227" t="s">
        <v>4664</v>
      </c>
      <c r="B2227" t="str">
        <f>"000069"</f>
        <v>000069</v>
      </c>
      <c r="C2227" t="s">
        <v>4779</v>
      </c>
      <c r="D2227" t="s">
        <v>30</v>
      </c>
      <c r="F2227">
        <v>2690.2561999999998</v>
      </c>
      <c r="G2227">
        <v>5328.5199000000002</v>
      </c>
      <c r="H2227">
        <v>5923.5199000000002</v>
      </c>
      <c r="I2227">
        <v>4434.2635</v>
      </c>
      <c r="J2227">
        <v>2922.5142999999998</v>
      </c>
      <c r="K2227">
        <v>1985.7996000000001</v>
      </c>
      <c r="L2227">
        <v>2011.7371000000001</v>
      </c>
      <c r="M2227">
        <v>2124.4504999999999</v>
      </c>
      <c r="N2227">
        <v>1872.6125</v>
      </c>
      <c r="O2227">
        <v>2535.9097000000002</v>
      </c>
      <c r="P2227">
        <v>3953</v>
      </c>
      <c r="Q2227" t="s">
        <v>4780</v>
      </c>
    </row>
    <row r="2228" spans="1:17" x14ac:dyDescent="0.3">
      <c r="A2228" t="s">
        <v>4664</v>
      </c>
      <c r="B2228" t="str">
        <f>"000070"</f>
        <v>000070</v>
      </c>
      <c r="C2228" t="s">
        <v>4781</v>
      </c>
      <c r="D2228" t="s">
        <v>250</v>
      </c>
      <c r="F2228">
        <v>266.99619999999999</v>
      </c>
      <c r="G2228">
        <v>404.66849999999999</v>
      </c>
      <c r="H2228">
        <v>248.16220000000001</v>
      </c>
      <c r="I2228">
        <v>172.60839999999999</v>
      </c>
      <c r="J2228">
        <v>144.45349999999999</v>
      </c>
      <c r="K2228">
        <v>145.17529999999999</v>
      </c>
      <c r="L2228">
        <v>153.87799999999999</v>
      </c>
      <c r="M2228">
        <v>186.381</v>
      </c>
      <c r="N2228">
        <v>165.20240000000001</v>
      </c>
      <c r="O2228">
        <v>127.6613</v>
      </c>
      <c r="P2228">
        <v>334</v>
      </c>
      <c r="Q2228" t="s">
        <v>4782</v>
      </c>
    </row>
    <row r="2229" spans="1:17" x14ac:dyDescent="0.3">
      <c r="A2229" t="s">
        <v>4664</v>
      </c>
      <c r="B2229" t="str">
        <f>"000078"</f>
        <v>000078</v>
      </c>
      <c r="C2229" t="s">
        <v>4783</v>
      </c>
      <c r="D2229" t="s">
        <v>125</v>
      </c>
      <c r="F2229">
        <v>49.847900000000003</v>
      </c>
      <c r="G2229">
        <v>52.7119</v>
      </c>
      <c r="H2229">
        <v>51.594000000000001</v>
      </c>
      <c r="I2229">
        <v>52.8996</v>
      </c>
      <c r="J2229">
        <v>56.611199999999997</v>
      </c>
      <c r="K2229">
        <v>48.539400000000001</v>
      </c>
      <c r="L2229">
        <v>53.576300000000003</v>
      </c>
      <c r="M2229">
        <v>51.659500000000001</v>
      </c>
      <c r="N2229">
        <v>53.518300000000004</v>
      </c>
      <c r="O2229">
        <v>58.3611</v>
      </c>
      <c r="P2229">
        <v>291</v>
      </c>
      <c r="Q2229" t="s">
        <v>4784</v>
      </c>
    </row>
    <row r="2230" spans="1:17" x14ac:dyDescent="0.3">
      <c r="A2230" t="s">
        <v>4664</v>
      </c>
      <c r="B2230" t="str">
        <f>"000088"</f>
        <v>000088</v>
      </c>
      <c r="C2230" t="s">
        <v>4785</v>
      </c>
      <c r="D2230" t="s">
        <v>51</v>
      </c>
      <c r="F2230">
        <v>5.0724</v>
      </c>
      <c r="G2230">
        <v>4.0008999999999997</v>
      </c>
      <c r="H2230">
        <v>2.1823999999999999</v>
      </c>
      <c r="I2230">
        <v>1.0161</v>
      </c>
      <c r="J2230">
        <v>5.4800000000000001E-2</v>
      </c>
      <c r="K2230">
        <v>0</v>
      </c>
      <c r="L2230">
        <v>0</v>
      </c>
      <c r="M2230">
        <v>6.3700000000000007E-2</v>
      </c>
      <c r="N2230">
        <v>7.6300000000000007E-2</v>
      </c>
      <c r="O2230">
        <v>0.16539999999999999</v>
      </c>
      <c r="P2230">
        <v>170</v>
      </c>
      <c r="Q2230" t="s">
        <v>4786</v>
      </c>
    </row>
    <row r="2231" spans="1:17" x14ac:dyDescent="0.3">
      <c r="A2231" t="s">
        <v>4664</v>
      </c>
      <c r="B2231" t="str">
        <f>"000089"</f>
        <v>000089</v>
      </c>
      <c r="C2231" t="s">
        <v>4787</v>
      </c>
      <c r="D2231" t="s">
        <v>22</v>
      </c>
      <c r="F2231">
        <v>1.3733</v>
      </c>
      <c r="G2231">
        <v>1.2255</v>
      </c>
      <c r="H2231">
        <v>1.1708000000000001</v>
      </c>
      <c r="I2231">
        <v>1.1286</v>
      </c>
      <c r="J2231">
        <v>1.2463</v>
      </c>
      <c r="K2231">
        <v>1.0450999999999999</v>
      </c>
      <c r="L2231">
        <v>1.0639000000000001</v>
      </c>
      <c r="M2231">
        <v>0.69740000000000002</v>
      </c>
      <c r="N2231">
        <v>0.80500000000000005</v>
      </c>
      <c r="O2231">
        <v>1.0363</v>
      </c>
      <c r="P2231">
        <v>665</v>
      </c>
      <c r="Q2231" t="s">
        <v>4788</v>
      </c>
    </row>
    <row r="2232" spans="1:17" x14ac:dyDescent="0.3">
      <c r="A2232" t="s">
        <v>4664</v>
      </c>
      <c r="B2232" t="str">
        <f>"000090"</f>
        <v>000090</v>
      </c>
      <c r="C2232" t="s">
        <v>4789</v>
      </c>
      <c r="D2232" t="s">
        <v>104</v>
      </c>
      <c r="F2232">
        <v>1170.7156</v>
      </c>
      <c r="G2232">
        <v>1431.6931999999999</v>
      </c>
      <c r="H2232">
        <v>1549.1121000000001</v>
      </c>
      <c r="I2232">
        <v>1651.8892000000001</v>
      </c>
      <c r="J2232">
        <v>1495.4639999999999</v>
      </c>
      <c r="K2232">
        <v>1129.2043000000001</v>
      </c>
      <c r="L2232">
        <v>717.48720000000003</v>
      </c>
      <c r="M2232">
        <v>826.74749999999995</v>
      </c>
      <c r="N2232">
        <v>713.01160000000004</v>
      </c>
      <c r="O2232">
        <v>879.36149999999998</v>
      </c>
      <c r="P2232">
        <v>424</v>
      </c>
      <c r="Q2232" t="s">
        <v>4790</v>
      </c>
    </row>
    <row r="2233" spans="1:17" x14ac:dyDescent="0.3">
      <c r="A2233" t="s">
        <v>4664</v>
      </c>
      <c r="B2233" t="str">
        <f>"000096"</f>
        <v>000096</v>
      </c>
      <c r="C2233" t="s">
        <v>4791</v>
      </c>
      <c r="D2233" t="s">
        <v>584</v>
      </c>
      <c r="F2233">
        <v>8.3329000000000004</v>
      </c>
      <c r="G2233">
        <v>5.9823000000000004</v>
      </c>
      <c r="H2233">
        <v>7.9271000000000003</v>
      </c>
      <c r="I2233">
        <v>13.277200000000001</v>
      </c>
      <c r="J2233">
        <v>14.5321</v>
      </c>
      <c r="K2233">
        <v>11.1244</v>
      </c>
      <c r="L2233">
        <v>8.2486999999999995</v>
      </c>
      <c r="M2233">
        <v>19.000900000000001</v>
      </c>
      <c r="N2233">
        <v>40.664499999999997</v>
      </c>
      <c r="O2233">
        <v>36.002299999999998</v>
      </c>
      <c r="P2233">
        <v>86</v>
      </c>
      <c r="Q2233" t="s">
        <v>4792</v>
      </c>
    </row>
    <row r="2234" spans="1:17" x14ac:dyDescent="0.3">
      <c r="A2234" t="s">
        <v>4664</v>
      </c>
      <c r="B2234" t="str">
        <f>"000099"</f>
        <v>000099</v>
      </c>
      <c r="C2234" t="s">
        <v>4793</v>
      </c>
      <c r="D2234" t="s">
        <v>77</v>
      </c>
      <c r="F2234">
        <v>127.0005</v>
      </c>
      <c r="G2234">
        <v>139.8981</v>
      </c>
      <c r="H2234">
        <v>138.6865</v>
      </c>
      <c r="I2234">
        <v>157.75319999999999</v>
      </c>
      <c r="J2234">
        <v>155.85</v>
      </c>
      <c r="K2234">
        <v>213.9579</v>
      </c>
      <c r="L2234">
        <v>215.0496</v>
      </c>
      <c r="M2234">
        <v>189.76820000000001</v>
      </c>
      <c r="N2234">
        <v>193.08189999999999</v>
      </c>
      <c r="O2234">
        <v>194.8434</v>
      </c>
      <c r="P2234">
        <v>166</v>
      </c>
      <c r="Q2234" t="s">
        <v>4794</v>
      </c>
    </row>
    <row r="2235" spans="1:17" x14ac:dyDescent="0.3">
      <c r="A2235" t="s">
        <v>4664</v>
      </c>
      <c r="B2235" t="str">
        <f>"000100"</f>
        <v>000100</v>
      </c>
      <c r="C2235" t="s">
        <v>4795</v>
      </c>
      <c r="D2235" t="s">
        <v>1117</v>
      </c>
      <c r="F2235">
        <v>43.9373</v>
      </c>
      <c r="G2235">
        <v>45.294800000000002</v>
      </c>
      <c r="H2235">
        <v>88.805400000000006</v>
      </c>
      <c r="I2235">
        <v>75.514799999999994</v>
      </c>
      <c r="J2235">
        <v>69.197800000000001</v>
      </c>
      <c r="K2235">
        <v>56.4527</v>
      </c>
      <c r="L2235">
        <v>57.113700000000001</v>
      </c>
      <c r="M2235">
        <v>74.090199999999996</v>
      </c>
      <c r="N2235">
        <v>90.776600000000002</v>
      </c>
      <c r="O2235">
        <v>81.291499999999999</v>
      </c>
      <c r="P2235">
        <v>2194</v>
      </c>
      <c r="Q2235" t="s">
        <v>4796</v>
      </c>
    </row>
    <row r="2236" spans="1:17" x14ac:dyDescent="0.3">
      <c r="A2236" t="s">
        <v>4664</v>
      </c>
      <c r="B2236" t="str">
        <f>"000150"</f>
        <v>000150</v>
      </c>
      <c r="C2236" t="s">
        <v>4797</v>
      </c>
      <c r="D2236" t="s">
        <v>1147</v>
      </c>
      <c r="F2236">
        <v>7.0480999999999998</v>
      </c>
      <c r="G2236">
        <v>76.100099999999998</v>
      </c>
      <c r="H2236">
        <v>57.382199999999997</v>
      </c>
      <c r="I2236">
        <v>55.205399999999997</v>
      </c>
      <c r="J2236">
        <v>61.5837</v>
      </c>
      <c r="K2236">
        <v>795.66179999999997</v>
      </c>
      <c r="L2236">
        <v>1771.3634</v>
      </c>
      <c r="M2236">
        <v>14254.783299999999</v>
      </c>
      <c r="N2236">
        <v>36016.711900000002</v>
      </c>
      <c r="O2236">
        <v>14903.1769</v>
      </c>
      <c r="P2236">
        <v>184</v>
      </c>
      <c r="Q2236" t="s">
        <v>4798</v>
      </c>
    </row>
    <row r="2237" spans="1:17" x14ac:dyDescent="0.3">
      <c r="A2237" t="s">
        <v>4664</v>
      </c>
      <c r="B2237" t="str">
        <f>"000151"</f>
        <v>000151</v>
      </c>
      <c r="C2237" t="s">
        <v>4799</v>
      </c>
      <c r="D2237" t="s">
        <v>131</v>
      </c>
      <c r="F2237">
        <v>511.74959999999999</v>
      </c>
      <c r="G2237">
        <v>502.7133</v>
      </c>
      <c r="H2237">
        <v>499.7801</v>
      </c>
      <c r="I2237">
        <v>168.36070000000001</v>
      </c>
      <c r="J2237">
        <v>24.419</v>
      </c>
      <c r="K2237">
        <v>42.227699999999999</v>
      </c>
      <c r="L2237">
        <v>65.688500000000005</v>
      </c>
      <c r="M2237">
        <v>20.557099999999998</v>
      </c>
      <c r="N2237">
        <v>67.222399999999993</v>
      </c>
      <c r="O2237">
        <v>126.8533</v>
      </c>
      <c r="P2237">
        <v>95</v>
      </c>
      <c r="Q2237" t="s">
        <v>4800</v>
      </c>
    </row>
    <row r="2238" spans="1:17" x14ac:dyDescent="0.3">
      <c r="A2238" t="s">
        <v>4664</v>
      </c>
      <c r="B2238" t="str">
        <f>"000153"</f>
        <v>000153</v>
      </c>
      <c r="C2238" t="s">
        <v>4801</v>
      </c>
      <c r="D2238" t="s">
        <v>143</v>
      </c>
      <c r="F2238">
        <v>103.30670000000001</v>
      </c>
      <c r="G2238">
        <v>112.1074</v>
      </c>
      <c r="H2238">
        <v>113.00279999999999</v>
      </c>
      <c r="I2238">
        <v>110.5493</v>
      </c>
      <c r="J2238">
        <v>87.673599999999993</v>
      </c>
      <c r="K2238">
        <v>99.557199999999995</v>
      </c>
      <c r="L2238">
        <v>107.14409999999999</v>
      </c>
      <c r="M2238">
        <v>82.5745</v>
      </c>
      <c r="N2238">
        <v>89.045599999999993</v>
      </c>
      <c r="O2238">
        <v>61.361199999999997</v>
      </c>
      <c r="P2238">
        <v>118</v>
      </c>
      <c r="Q2238" t="s">
        <v>4802</v>
      </c>
    </row>
    <row r="2239" spans="1:17" x14ac:dyDescent="0.3">
      <c r="A2239" t="s">
        <v>4664</v>
      </c>
      <c r="B2239" t="str">
        <f>"000155"</f>
        <v>000155</v>
      </c>
      <c r="C2239" t="s">
        <v>4803</v>
      </c>
      <c r="D2239" t="s">
        <v>383</v>
      </c>
      <c r="F2239">
        <v>13.294</v>
      </c>
      <c r="G2239">
        <v>31.886099999999999</v>
      </c>
      <c r="H2239">
        <v>36.776499999999999</v>
      </c>
      <c r="I2239">
        <v>9.4356000000000009</v>
      </c>
      <c r="J2239">
        <v>0.50980000000000003</v>
      </c>
      <c r="K2239">
        <v>13.368600000000001</v>
      </c>
      <c r="L2239">
        <v>96.470799999999997</v>
      </c>
      <c r="M2239">
        <v>108.4316</v>
      </c>
      <c r="N2239">
        <v>75.255399999999995</v>
      </c>
      <c r="O2239">
        <v>84.8523</v>
      </c>
      <c r="P2239">
        <v>309</v>
      </c>
      <c r="Q2239" t="s">
        <v>4804</v>
      </c>
    </row>
    <row r="2240" spans="1:17" x14ac:dyDescent="0.3">
      <c r="A2240" t="s">
        <v>4664</v>
      </c>
      <c r="B2240" t="str">
        <f>"000156"</f>
        <v>000156</v>
      </c>
      <c r="C2240" t="s">
        <v>4805</v>
      </c>
      <c r="D2240" t="s">
        <v>95</v>
      </c>
      <c r="F2240">
        <v>108.02419999999999</v>
      </c>
      <c r="G2240">
        <v>12.3529</v>
      </c>
      <c r="H2240">
        <v>16.490200000000002</v>
      </c>
      <c r="I2240">
        <v>17.0167</v>
      </c>
      <c r="J2240">
        <v>18.4756</v>
      </c>
      <c r="K2240">
        <v>12.1456</v>
      </c>
      <c r="L2240">
        <v>16.902699999999999</v>
      </c>
      <c r="M2240">
        <v>17.570599999999999</v>
      </c>
      <c r="N2240">
        <v>21.7103</v>
      </c>
      <c r="O2240">
        <v>27.297799999999999</v>
      </c>
      <c r="P2240">
        <v>309</v>
      </c>
      <c r="Q2240" t="s">
        <v>4806</v>
      </c>
    </row>
    <row r="2241" spans="1:17" x14ac:dyDescent="0.3">
      <c r="A2241" t="s">
        <v>4664</v>
      </c>
      <c r="B2241" t="str">
        <f>"000157"</f>
        <v>000157</v>
      </c>
      <c r="C2241" t="s">
        <v>4807</v>
      </c>
      <c r="D2241" t="s">
        <v>83</v>
      </c>
      <c r="F2241">
        <v>132.70150000000001</v>
      </c>
      <c r="G2241">
        <v>148.60810000000001</v>
      </c>
      <c r="H2241">
        <v>170.2544</v>
      </c>
      <c r="I2241">
        <v>204.90289999999999</v>
      </c>
      <c r="J2241">
        <v>289.90089999999998</v>
      </c>
      <c r="K2241">
        <v>480.05779999999999</v>
      </c>
      <c r="L2241">
        <v>397.98660000000001</v>
      </c>
      <c r="M2241">
        <v>256.17140000000001</v>
      </c>
      <c r="N2241">
        <v>207.14760000000001</v>
      </c>
      <c r="O2241">
        <v>152.6207</v>
      </c>
      <c r="P2241">
        <v>1683</v>
      </c>
      <c r="Q2241" t="s">
        <v>4808</v>
      </c>
    </row>
    <row r="2242" spans="1:17" x14ac:dyDescent="0.3">
      <c r="A2242" t="s">
        <v>4664</v>
      </c>
      <c r="B2242" t="str">
        <f>"000158"</f>
        <v>000158</v>
      </c>
      <c r="C2242" t="s">
        <v>4809</v>
      </c>
      <c r="D2242" t="s">
        <v>316</v>
      </c>
      <c r="F2242">
        <v>172.02789999999999</v>
      </c>
      <c r="G2242">
        <v>181.52600000000001</v>
      </c>
      <c r="H2242">
        <v>137.2919</v>
      </c>
      <c r="I2242">
        <v>149.61150000000001</v>
      </c>
      <c r="J2242">
        <v>127.0855</v>
      </c>
      <c r="K2242">
        <v>113.08669999999999</v>
      </c>
      <c r="L2242">
        <v>98.732900000000001</v>
      </c>
      <c r="M2242">
        <v>136.3869</v>
      </c>
      <c r="N2242">
        <v>111.33929999999999</v>
      </c>
      <c r="O2242">
        <v>128.52269999999999</v>
      </c>
      <c r="P2242">
        <v>295</v>
      </c>
      <c r="Q2242" t="s">
        <v>4810</v>
      </c>
    </row>
    <row r="2243" spans="1:17" x14ac:dyDescent="0.3">
      <c r="A2243" t="s">
        <v>4664</v>
      </c>
      <c r="B2243" t="str">
        <f>"000159"</f>
        <v>000159</v>
      </c>
      <c r="C2243" t="s">
        <v>4811</v>
      </c>
      <c r="D2243" t="s">
        <v>584</v>
      </c>
      <c r="F2243">
        <v>394.04930000000002</v>
      </c>
      <c r="G2243">
        <v>801.20529999999997</v>
      </c>
      <c r="H2243">
        <v>924.30029999999999</v>
      </c>
      <c r="I2243">
        <v>719.51670000000001</v>
      </c>
      <c r="J2243">
        <v>1386.8567</v>
      </c>
      <c r="K2243">
        <v>961.37329999999997</v>
      </c>
      <c r="L2243">
        <v>815.39260000000002</v>
      </c>
      <c r="M2243">
        <v>285.8098</v>
      </c>
      <c r="N2243">
        <v>450.37619999999998</v>
      </c>
      <c r="O2243">
        <v>333.37180000000001</v>
      </c>
      <c r="P2243">
        <v>100</v>
      </c>
      <c r="Q2243" t="s">
        <v>4812</v>
      </c>
    </row>
    <row r="2244" spans="1:17" x14ac:dyDescent="0.3">
      <c r="A2244" t="s">
        <v>4664</v>
      </c>
      <c r="B2244" t="str">
        <f>"000166"</f>
        <v>000166</v>
      </c>
      <c r="C2244" t="s">
        <v>4813</v>
      </c>
      <c r="D2244" t="s">
        <v>80</v>
      </c>
      <c r="P2244">
        <v>2819</v>
      </c>
      <c r="Q2244" t="s">
        <v>4814</v>
      </c>
    </row>
    <row r="2245" spans="1:17" x14ac:dyDescent="0.3">
      <c r="A2245" t="s">
        <v>4664</v>
      </c>
      <c r="B2245" t="str">
        <f>"000301"</f>
        <v>000301</v>
      </c>
      <c r="C2245" t="s">
        <v>4815</v>
      </c>
      <c r="D2245" t="s">
        <v>74</v>
      </c>
      <c r="F2245">
        <v>55.579000000000001</v>
      </c>
      <c r="G2245">
        <v>73.276200000000003</v>
      </c>
      <c r="H2245">
        <v>67.156499999999994</v>
      </c>
      <c r="I2245">
        <v>61.441899999999997</v>
      </c>
      <c r="J2245">
        <v>358.05610000000001</v>
      </c>
      <c r="K2245">
        <v>677.73519999999996</v>
      </c>
      <c r="L2245">
        <v>739.52880000000005</v>
      </c>
      <c r="M2245">
        <v>532.50969999999995</v>
      </c>
      <c r="N2245">
        <v>223.5342</v>
      </c>
      <c r="O2245">
        <v>465.19799999999998</v>
      </c>
      <c r="P2245">
        <v>397</v>
      </c>
      <c r="Q2245" t="s">
        <v>4816</v>
      </c>
    </row>
    <row r="2246" spans="1:17" x14ac:dyDescent="0.3">
      <c r="A2246" t="s">
        <v>4664</v>
      </c>
      <c r="B2246" t="str">
        <f>"000333"</f>
        <v>000333</v>
      </c>
      <c r="C2246" t="s">
        <v>4817</v>
      </c>
      <c r="D2246" t="s">
        <v>1723</v>
      </c>
      <c r="F2246">
        <v>58.097499999999997</v>
      </c>
      <c r="G2246">
        <v>62.882100000000001</v>
      </c>
      <c r="H2246">
        <v>61.645499999999998</v>
      </c>
      <c r="I2246">
        <v>64.787700000000001</v>
      </c>
      <c r="J2246">
        <v>50.790999999999997</v>
      </c>
      <c r="K2246">
        <v>44.841700000000003</v>
      </c>
      <c r="L2246">
        <v>51.701799999999999</v>
      </c>
      <c r="M2246">
        <v>57.808999999999997</v>
      </c>
      <c r="N2246">
        <v>57.842700000000001</v>
      </c>
      <c r="P2246">
        <v>25066</v>
      </c>
      <c r="Q2246" t="s">
        <v>4818</v>
      </c>
    </row>
    <row r="2247" spans="1:17" x14ac:dyDescent="0.3">
      <c r="A2247" t="s">
        <v>4664</v>
      </c>
      <c r="B2247" t="str">
        <f>"000338"</f>
        <v>000338</v>
      </c>
      <c r="C2247" t="s">
        <v>4819</v>
      </c>
      <c r="D2247" t="s">
        <v>348</v>
      </c>
      <c r="F2247">
        <v>81.960700000000003</v>
      </c>
      <c r="G2247">
        <v>80.882400000000004</v>
      </c>
      <c r="H2247">
        <v>76.301100000000005</v>
      </c>
      <c r="I2247">
        <v>79.518500000000003</v>
      </c>
      <c r="J2247">
        <v>73.919899999999998</v>
      </c>
      <c r="K2247">
        <v>91.589799999999997</v>
      </c>
      <c r="L2247">
        <v>112.3201</v>
      </c>
      <c r="M2247">
        <v>89.305899999999994</v>
      </c>
      <c r="N2247">
        <v>81.7774</v>
      </c>
      <c r="O2247">
        <v>112.6276</v>
      </c>
      <c r="P2247">
        <v>3423</v>
      </c>
      <c r="Q2247" t="s">
        <v>4820</v>
      </c>
    </row>
    <row r="2248" spans="1:17" x14ac:dyDescent="0.3">
      <c r="A2248" t="s">
        <v>4664</v>
      </c>
      <c r="B2248" t="str">
        <f>"000400"</f>
        <v>000400</v>
      </c>
      <c r="C2248" t="s">
        <v>4821</v>
      </c>
      <c r="D2248" t="s">
        <v>610</v>
      </c>
      <c r="F2248">
        <v>162.52440000000001</v>
      </c>
      <c r="G2248">
        <v>169.06989999999999</v>
      </c>
      <c r="H2248">
        <v>201.61619999999999</v>
      </c>
      <c r="I2248">
        <v>225.64599999999999</v>
      </c>
      <c r="J2248">
        <v>204.999</v>
      </c>
      <c r="K2248">
        <v>203.8126</v>
      </c>
      <c r="L2248">
        <v>288.18090000000001</v>
      </c>
      <c r="M2248">
        <v>221.89840000000001</v>
      </c>
      <c r="N2248">
        <v>209.89779999999999</v>
      </c>
      <c r="O2248">
        <v>191.05840000000001</v>
      </c>
      <c r="P2248">
        <v>688</v>
      </c>
      <c r="Q2248" t="s">
        <v>4822</v>
      </c>
    </row>
    <row r="2249" spans="1:17" x14ac:dyDescent="0.3">
      <c r="A2249" t="s">
        <v>4664</v>
      </c>
      <c r="B2249" t="str">
        <f>"000401"</f>
        <v>000401</v>
      </c>
      <c r="C2249" t="s">
        <v>4823</v>
      </c>
      <c r="D2249" t="s">
        <v>731</v>
      </c>
      <c r="F2249">
        <v>59.656999999999996</v>
      </c>
      <c r="G2249">
        <v>62.136099999999999</v>
      </c>
      <c r="H2249">
        <v>52.414299999999997</v>
      </c>
      <c r="I2249">
        <v>40.4955</v>
      </c>
      <c r="J2249">
        <v>69.149299999999997</v>
      </c>
      <c r="K2249">
        <v>73.702500000000001</v>
      </c>
      <c r="L2249">
        <v>90.1173</v>
      </c>
      <c r="M2249">
        <v>73.039699999999996</v>
      </c>
      <c r="N2249">
        <v>81.706299999999999</v>
      </c>
      <c r="O2249">
        <v>94.298199999999994</v>
      </c>
      <c r="P2249">
        <v>826</v>
      </c>
      <c r="Q2249" t="s">
        <v>4824</v>
      </c>
    </row>
    <row r="2250" spans="1:17" x14ac:dyDescent="0.3">
      <c r="A2250" t="s">
        <v>4664</v>
      </c>
      <c r="B2250" t="str">
        <f>"000402"</f>
        <v>000402</v>
      </c>
      <c r="C2250" t="s">
        <v>4825</v>
      </c>
      <c r="D2250" t="s">
        <v>30</v>
      </c>
      <c r="F2250">
        <v>4362.5817999999999</v>
      </c>
      <c r="G2250">
        <v>4600.0434999999998</v>
      </c>
      <c r="H2250">
        <v>4141.5393000000004</v>
      </c>
      <c r="I2250">
        <v>5623.2156000000004</v>
      </c>
      <c r="J2250">
        <v>1917.2801999999999</v>
      </c>
      <c r="K2250">
        <v>4506.7708000000002</v>
      </c>
      <c r="L2250">
        <v>3953.7037</v>
      </c>
      <c r="M2250">
        <v>2541.4598999999998</v>
      </c>
      <c r="N2250">
        <v>2120.2143000000001</v>
      </c>
      <c r="O2250">
        <v>2041.0098</v>
      </c>
      <c r="P2250">
        <v>974</v>
      </c>
      <c r="Q2250" t="s">
        <v>4826</v>
      </c>
    </row>
    <row r="2251" spans="1:17" x14ac:dyDescent="0.3">
      <c r="A2251" t="s">
        <v>4664</v>
      </c>
      <c r="B2251" t="str">
        <f>"000403"</f>
        <v>000403</v>
      </c>
      <c r="C2251" t="s">
        <v>4827</v>
      </c>
      <c r="D2251" t="s">
        <v>378</v>
      </c>
      <c r="F2251">
        <v>314.9153</v>
      </c>
      <c r="G2251">
        <v>453.03980000000001</v>
      </c>
      <c r="H2251">
        <v>491.00389999999999</v>
      </c>
      <c r="I2251">
        <v>463.14109999999999</v>
      </c>
      <c r="J2251">
        <v>568.03869999999995</v>
      </c>
      <c r="K2251">
        <v>541.35630000000003</v>
      </c>
      <c r="L2251">
        <v>557.79510000000005</v>
      </c>
      <c r="M2251">
        <v>696.03129999999999</v>
      </c>
      <c r="N2251">
        <v>472.99860000000001</v>
      </c>
      <c r="O2251">
        <v>485.98770000000002</v>
      </c>
      <c r="P2251">
        <v>294</v>
      </c>
      <c r="Q2251" t="s">
        <v>4828</v>
      </c>
    </row>
    <row r="2252" spans="1:17" x14ac:dyDescent="0.3">
      <c r="A2252" t="s">
        <v>4664</v>
      </c>
      <c r="B2252" t="str">
        <f>"000404"</f>
        <v>000404</v>
      </c>
      <c r="C2252" t="s">
        <v>4829</v>
      </c>
      <c r="D2252" t="s">
        <v>1253</v>
      </c>
      <c r="F2252">
        <v>48.3245</v>
      </c>
      <c r="G2252">
        <v>60.261400000000002</v>
      </c>
      <c r="H2252">
        <v>68.265600000000006</v>
      </c>
      <c r="I2252">
        <v>79.123800000000003</v>
      </c>
      <c r="J2252">
        <v>65.488699999999994</v>
      </c>
      <c r="K2252">
        <v>59.292400000000001</v>
      </c>
      <c r="L2252">
        <v>59.034799999999997</v>
      </c>
      <c r="M2252">
        <v>71.697199999999995</v>
      </c>
      <c r="N2252">
        <v>73.434299999999993</v>
      </c>
      <c r="O2252">
        <v>60.6723</v>
      </c>
      <c r="P2252">
        <v>113</v>
      </c>
      <c r="Q2252" t="s">
        <v>4830</v>
      </c>
    </row>
    <row r="2253" spans="1:17" x14ac:dyDescent="0.3">
      <c r="A2253" t="s">
        <v>4664</v>
      </c>
      <c r="B2253" t="str">
        <f>"000407"</f>
        <v>000407</v>
      </c>
      <c r="C2253" t="s">
        <v>4831</v>
      </c>
      <c r="D2253" t="s">
        <v>749</v>
      </c>
      <c r="F2253">
        <v>54.574599999999997</v>
      </c>
      <c r="G2253">
        <v>64.036699999999996</v>
      </c>
      <c r="H2253">
        <v>44.784700000000001</v>
      </c>
      <c r="I2253">
        <v>67.933400000000006</v>
      </c>
      <c r="J2253">
        <v>63.821399999999997</v>
      </c>
      <c r="K2253">
        <v>81.764499999999998</v>
      </c>
      <c r="L2253">
        <v>100.2816</v>
      </c>
      <c r="M2253">
        <v>92.322500000000005</v>
      </c>
      <c r="N2253">
        <v>104.6284</v>
      </c>
      <c r="O2253">
        <v>90.707599999999999</v>
      </c>
      <c r="P2253">
        <v>113</v>
      </c>
      <c r="Q2253" t="s">
        <v>4832</v>
      </c>
    </row>
    <row r="2254" spans="1:17" x14ac:dyDescent="0.3">
      <c r="A2254" t="s">
        <v>4664</v>
      </c>
      <c r="B2254" t="str">
        <f>"000408"</f>
        <v>000408</v>
      </c>
      <c r="C2254" t="s">
        <v>4833</v>
      </c>
      <c r="D2254" t="s">
        <v>3431</v>
      </c>
      <c r="F2254">
        <v>187.75</v>
      </c>
      <c r="G2254">
        <v>262.63420000000002</v>
      </c>
      <c r="H2254">
        <v>435.65699999999998</v>
      </c>
      <c r="I2254">
        <v>387.06180000000001</v>
      </c>
      <c r="J2254">
        <v>228.7902</v>
      </c>
      <c r="K2254">
        <v>231.3048</v>
      </c>
      <c r="L2254">
        <v>0</v>
      </c>
      <c r="M2254">
        <v>126.2088</v>
      </c>
      <c r="N2254">
        <v>224.7148</v>
      </c>
      <c r="O2254">
        <v>0</v>
      </c>
      <c r="P2254">
        <v>188</v>
      </c>
      <c r="Q2254" t="s">
        <v>4834</v>
      </c>
    </row>
    <row r="2255" spans="1:17" x14ac:dyDescent="0.3">
      <c r="A2255" t="s">
        <v>4664</v>
      </c>
      <c r="B2255" t="str">
        <f>"000409"</f>
        <v>000409</v>
      </c>
      <c r="C2255" t="s">
        <v>4835</v>
      </c>
      <c r="D2255" t="s">
        <v>110</v>
      </c>
      <c r="F2255">
        <v>325.74590000000001</v>
      </c>
      <c r="G2255">
        <v>28.899899999999999</v>
      </c>
      <c r="H2255">
        <v>206.90710000000001</v>
      </c>
      <c r="I2255">
        <v>374.43329999999997</v>
      </c>
      <c r="J2255">
        <v>284.25029999999998</v>
      </c>
      <c r="K2255">
        <v>127.7351</v>
      </c>
      <c r="L2255">
        <v>190.18049999999999</v>
      </c>
      <c r="M2255">
        <v>53.017899999999997</v>
      </c>
      <c r="N2255">
        <v>58.680799999999998</v>
      </c>
      <c r="O2255">
        <v>4.2914000000000003</v>
      </c>
      <c r="P2255">
        <v>75</v>
      </c>
      <c r="Q2255" t="s">
        <v>4836</v>
      </c>
    </row>
    <row r="2256" spans="1:17" x14ac:dyDescent="0.3">
      <c r="A2256" t="s">
        <v>4664</v>
      </c>
      <c r="B2256" t="str">
        <f>"000410"</f>
        <v>000410</v>
      </c>
      <c r="C2256" t="s">
        <v>4837</v>
      </c>
      <c r="D2256" t="s">
        <v>2312</v>
      </c>
      <c r="F2256">
        <v>257.28100000000001</v>
      </c>
      <c r="G2256">
        <v>251.80099999999999</v>
      </c>
      <c r="H2256">
        <v>1551.0130999999999</v>
      </c>
      <c r="I2256">
        <v>691.75800000000004</v>
      </c>
      <c r="J2256">
        <v>1375.5042000000001</v>
      </c>
      <c r="K2256">
        <v>861.63739999999996</v>
      </c>
      <c r="L2256">
        <v>655.12860000000001</v>
      </c>
      <c r="M2256">
        <v>472.91030000000001</v>
      </c>
      <c r="N2256">
        <v>422.07429999999999</v>
      </c>
      <c r="O2256">
        <v>391.3569</v>
      </c>
      <c r="P2256">
        <v>101</v>
      </c>
      <c r="Q2256" t="s">
        <v>4838</v>
      </c>
    </row>
    <row r="2257" spans="1:17" x14ac:dyDescent="0.3">
      <c r="A2257" t="s">
        <v>4664</v>
      </c>
      <c r="B2257" t="str">
        <f>"000411"</f>
        <v>000411</v>
      </c>
      <c r="C2257" t="s">
        <v>4839</v>
      </c>
      <c r="D2257" t="s">
        <v>125</v>
      </c>
      <c r="F2257">
        <v>53.448700000000002</v>
      </c>
      <c r="G2257">
        <v>53.595399999999998</v>
      </c>
      <c r="H2257">
        <v>50.900500000000001</v>
      </c>
      <c r="I2257">
        <v>57.163400000000003</v>
      </c>
      <c r="J2257">
        <v>52.281199999999998</v>
      </c>
      <c r="K2257">
        <v>51.209000000000003</v>
      </c>
      <c r="L2257">
        <v>47.930799999999998</v>
      </c>
      <c r="M2257">
        <v>46.562600000000003</v>
      </c>
      <c r="N2257">
        <v>47.453000000000003</v>
      </c>
      <c r="O2257">
        <v>42.174700000000001</v>
      </c>
      <c r="P2257">
        <v>236</v>
      </c>
      <c r="Q2257" t="s">
        <v>4840</v>
      </c>
    </row>
    <row r="2258" spans="1:17" x14ac:dyDescent="0.3">
      <c r="A2258" t="s">
        <v>4664</v>
      </c>
      <c r="B2258" t="str">
        <f>"000413"</f>
        <v>000413</v>
      </c>
      <c r="C2258" t="s">
        <v>4841</v>
      </c>
      <c r="D2258" t="s">
        <v>1117</v>
      </c>
      <c r="F2258">
        <v>216.363</v>
      </c>
      <c r="G2258">
        <v>276.51089999999999</v>
      </c>
      <c r="H2258">
        <v>157.89240000000001</v>
      </c>
      <c r="I2258">
        <v>128.19929999999999</v>
      </c>
      <c r="J2258">
        <v>193.88990000000001</v>
      </c>
      <c r="K2258">
        <v>272.63049999999998</v>
      </c>
      <c r="L2258">
        <v>233.68559999999999</v>
      </c>
      <c r="M2258">
        <v>164.08770000000001</v>
      </c>
      <c r="N2258">
        <v>272.59800000000001</v>
      </c>
      <c r="O2258">
        <v>208.9383</v>
      </c>
      <c r="P2258">
        <v>525</v>
      </c>
      <c r="Q2258" t="s">
        <v>4842</v>
      </c>
    </row>
    <row r="2259" spans="1:17" x14ac:dyDescent="0.3">
      <c r="A2259" t="s">
        <v>4664</v>
      </c>
      <c r="B2259" t="str">
        <f>"000415"</f>
        <v>000415</v>
      </c>
      <c r="C2259" t="s">
        <v>4843</v>
      </c>
      <c r="D2259" t="s">
        <v>336</v>
      </c>
      <c r="F2259">
        <v>0.17660000000000001</v>
      </c>
      <c r="G2259">
        <v>0.22570000000000001</v>
      </c>
      <c r="H2259">
        <v>0.34570000000000001</v>
      </c>
      <c r="I2259">
        <v>0.1188</v>
      </c>
      <c r="J2259">
        <v>2.52E-2</v>
      </c>
      <c r="K2259">
        <v>4.2599999999999999E-2</v>
      </c>
      <c r="L2259">
        <v>0.24940000000000001</v>
      </c>
      <c r="M2259">
        <v>0.22370000000000001</v>
      </c>
      <c r="N2259">
        <v>0</v>
      </c>
      <c r="O2259">
        <v>0</v>
      </c>
      <c r="P2259">
        <v>256</v>
      </c>
      <c r="Q2259" t="s">
        <v>4844</v>
      </c>
    </row>
    <row r="2260" spans="1:17" x14ac:dyDescent="0.3">
      <c r="A2260" t="s">
        <v>4664</v>
      </c>
      <c r="B2260" t="str">
        <f>"000416"</f>
        <v>000416</v>
      </c>
      <c r="C2260" t="s">
        <v>4845</v>
      </c>
      <c r="D2260" t="s">
        <v>140</v>
      </c>
      <c r="G2260">
        <v>62.858199999999997</v>
      </c>
      <c r="H2260">
        <v>0</v>
      </c>
      <c r="I2260">
        <v>13.0494</v>
      </c>
      <c r="J2260">
        <v>507.0917</v>
      </c>
      <c r="K2260">
        <v>70.387</v>
      </c>
      <c r="L2260">
        <v>3.3348</v>
      </c>
      <c r="M2260">
        <v>25.164200000000001</v>
      </c>
      <c r="N2260">
        <v>21.976299999999998</v>
      </c>
      <c r="O2260">
        <v>25.261900000000001</v>
      </c>
      <c r="P2260">
        <v>119</v>
      </c>
      <c r="Q2260" t="s">
        <v>4846</v>
      </c>
    </row>
    <row r="2261" spans="1:17" x14ac:dyDescent="0.3">
      <c r="A2261" t="s">
        <v>4664</v>
      </c>
      <c r="B2261" t="str">
        <f>"000417"</f>
        <v>000417</v>
      </c>
      <c r="C2261" t="s">
        <v>4847</v>
      </c>
      <c r="D2261" t="s">
        <v>633</v>
      </c>
      <c r="F2261">
        <v>275.32580000000002</v>
      </c>
      <c r="G2261">
        <v>232.9845</v>
      </c>
      <c r="H2261">
        <v>94.732699999999994</v>
      </c>
      <c r="I2261">
        <v>84.695099999999996</v>
      </c>
      <c r="J2261">
        <v>75.321799999999996</v>
      </c>
      <c r="K2261">
        <v>67.6297</v>
      </c>
      <c r="L2261">
        <v>54.530200000000001</v>
      </c>
      <c r="M2261">
        <v>46.181199999999997</v>
      </c>
      <c r="N2261">
        <v>37.126600000000003</v>
      </c>
      <c r="O2261">
        <v>44.986800000000002</v>
      </c>
      <c r="P2261">
        <v>145</v>
      </c>
      <c r="Q2261" t="s">
        <v>4848</v>
      </c>
    </row>
    <row r="2262" spans="1:17" x14ac:dyDescent="0.3">
      <c r="A2262" t="s">
        <v>4664</v>
      </c>
      <c r="B2262" t="str">
        <f>"000418"</f>
        <v>000418</v>
      </c>
      <c r="C2262" t="s">
        <v>4849</v>
      </c>
      <c r="I2262">
        <v>40.499000000000002</v>
      </c>
      <c r="J2262">
        <v>47.530900000000003</v>
      </c>
      <c r="K2262">
        <v>31.730499999999999</v>
      </c>
      <c r="L2262">
        <v>30.9741</v>
      </c>
      <c r="M2262">
        <v>44.879199999999997</v>
      </c>
      <c r="N2262">
        <v>66.679699999999997</v>
      </c>
      <c r="O2262">
        <v>98.13</v>
      </c>
      <c r="P2262">
        <v>653</v>
      </c>
      <c r="Q2262" t="s">
        <v>4850</v>
      </c>
    </row>
    <row r="2263" spans="1:17" x14ac:dyDescent="0.3">
      <c r="A2263" t="s">
        <v>4664</v>
      </c>
      <c r="B2263" t="str">
        <f>"000419"</f>
        <v>000419</v>
      </c>
      <c r="C2263" t="s">
        <v>4851</v>
      </c>
      <c r="D2263" t="s">
        <v>1404</v>
      </c>
      <c r="F2263">
        <v>66.856200000000001</v>
      </c>
      <c r="G2263">
        <v>61.329300000000003</v>
      </c>
      <c r="H2263">
        <v>58.582700000000003</v>
      </c>
      <c r="I2263">
        <v>49.308599999999998</v>
      </c>
      <c r="J2263">
        <v>49.943600000000004</v>
      </c>
      <c r="K2263">
        <v>54.158799999999999</v>
      </c>
      <c r="L2263">
        <v>61.403199999999998</v>
      </c>
      <c r="M2263">
        <v>54.506799999999998</v>
      </c>
      <c r="N2263">
        <v>44.910200000000003</v>
      </c>
      <c r="O2263">
        <v>51.284999999999997</v>
      </c>
      <c r="P2263">
        <v>115</v>
      </c>
      <c r="Q2263" t="s">
        <v>4852</v>
      </c>
    </row>
    <row r="2264" spans="1:17" x14ac:dyDescent="0.3">
      <c r="A2264" t="s">
        <v>4664</v>
      </c>
      <c r="B2264" t="str">
        <f>"000420"</f>
        <v>000420</v>
      </c>
      <c r="C2264" t="s">
        <v>4853</v>
      </c>
      <c r="D2264" t="s">
        <v>888</v>
      </c>
      <c r="F2264">
        <v>117.13420000000001</v>
      </c>
      <c r="G2264">
        <v>160.60550000000001</v>
      </c>
      <c r="H2264">
        <v>122.4948</v>
      </c>
      <c r="I2264">
        <v>103.97020000000001</v>
      </c>
      <c r="J2264">
        <v>84.637500000000003</v>
      </c>
      <c r="K2264">
        <v>80.575299999999999</v>
      </c>
      <c r="L2264">
        <v>117.99039999999999</v>
      </c>
      <c r="M2264">
        <v>163.0549</v>
      </c>
      <c r="N2264">
        <v>143.69409999999999</v>
      </c>
      <c r="O2264">
        <v>148.72120000000001</v>
      </c>
      <c r="P2264">
        <v>101</v>
      </c>
      <c r="Q2264" t="s">
        <v>4854</v>
      </c>
    </row>
    <row r="2265" spans="1:17" x14ac:dyDescent="0.3">
      <c r="A2265" t="s">
        <v>4664</v>
      </c>
      <c r="B2265" t="str">
        <f>"000421"</f>
        <v>000421</v>
      </c>
      <c r="C2265" t="s">
        <v>4855</v>
      </c>
      <c r="D2265" t="s">
        <v>749</v>
      </c>
      <c r="F2265">
        <v>719.30820000000006</v>
      </c>
      <c r="G2265">
        <v>300.2013</v>
      </c>
      <c r="H2265">
        <v>461.69060000000002</v>
      </c>
      <c r="I2265">
        <v>450.5111</v>
      </c>
      <c r="J2265">
        <v>366.7038</v>
      </c>
      <c r="K2265">
        <v>195.0496</v>
      </c>
      <c r="L2265">
        <v>79.668599999999998</v>
      </c>
      <c r="M2265">
        <v>199.1782</v>
      </c>
      <c r="N2265">
        <v>245.38390000000001</v>
      </c>
      <c r="O2265">
        <v>294.93239999999997</v>
      </c>
      <c r="P2265">
        <v>159</v>
      </c>
      <c r="Q2265" t="s">
        <v>4856</v>
      </c>
    </row>
    <row r="2266" spans="1:17" x14ac:dyDescent="0.3">
      <c r="A2266" t="s">
        <v>4664</v>
      </c>
      <c r="B2266" t="str">
        <f>"000422"</f>
        <v>000422</v>
      </c>
      <c r="C2266" t="s">
        <v>4857</v>
      </c>
      <c r="D2266" t="s">
        <v>175</v>
      </c>
      <c r="F2266">
        <v>35.409500000000001</v>
      </c>
      <c r="G2266">
        <v>52.979500000000002</v>
      </c>
      <c r="H2266">
        <v>60.7502</v>
      </c>
      <c r="I2266">
        <v>73.246799999999993</v>
      </c>
      <c r="J2266">
        <v>173.92509999999999</v>
      </c>
      <c r="K2266">
        <v>137.5454</v>
      </c>
      <c r="L2266">
        <v>126.80800000000001</v>
      </c>
      <c r="M2266">
        <v>121.67870000000001</v>
      </c>
      <c r="N2266">
        <v>114.11490000000001</v>
      </c>
      <c r="O2266">
        <v>119.5808</v>
      </c>
      <c r="P2266">
        <v>257</v>
      </c>
      <c r="Q2266" t="s">
        <v>4858</v>
      </c>
    </row>
    <row r="2267" spans="1:17" x14ac:dyDescent="0.3">
      <c r="A2267" t="s">
        <v>4664</v>
      </c>
      <c r="B2267" t="str">
        <f>"000423"</f>
        <v>000423</v>
      </c>
      <c r="C2267" t="s">
        <v>4859</v>
      </c>
      <c r="D2267" t="s">
        <v>188</v>
      </c>
      <c r="F2267">
        <v>722.39290000000005</v>
      </c>
      <c r="G2267">
        <v>1083.5264999999999</v>
      </c>
      <c r="H2267">
        <v>947.29430000000002</v>
      </c>
      <c r="I2267">
        <v>869.71820000000002</v>
      </c>
      <c r="J2267">
        <v>809.94119999999998</v>
      </c>
      <c r="K2267">
        <v>608.06240000000003</v>
      </c>
      <c r="L2267">
        <v>416.18680000000001</v>
      </c>
      <c r="M2267">
        <v>309.10930000000002</v>
      </c>
      <c r="N2267">
        <v>156.86580000000001</v>
      </c>
      <c r="O2267">
        <v>240.3511</v>
      </c>
      <c r="P2267">
        <v>24620</v>
      </c>
      <c r="Q2267" t="s">
        <v>4860</v>
      </c>
    </row>
    <row r="2268" spans="1:17" x14ac:dyDescent="0.3">
      <c r="A2268" t="s">
        <v>4664</v>
      </c>
      <c r="B2268" t="str">
        <f>"000425"</f>
        <v>000425</v>
      </c>
      <c r="C2268" t="s">
        <v>4861</v>
      </c>
      <c r="D2268" t="s">
        <v>83</v>
      </c>
      <c r="F2268">
        <v>87.578000000000003</v>
      </c>
      <c r="G2268">
        <v>98.024299999999997</v>
      </c>
      <c r="H2268">
        <v>98.4328</v>
      </c>
      <c r="I2268">
        <v>125.18089999999999</v>
      </c>
      <c r="J2268">
        <v>157.30789999999999</v>
      </c>
      <c r="K2268">
        <v>232.3074</v>
      </c>
      <c r="L2268">
        <v>250.9186</v>
      </c>
      <c r="M2268">
        <v>180.6739</v>
      </c>
      <c r="N2268">
        <v>169.1474</v>
      </c>
      <c r="O2268">
        <v>110.8322</v>
      </c>
      <c r="P2268">
        <v>961</v>
      </c>
      <c r="Q2268" t="s">
        <v>4862</v>
      </c>
    </row>
    <row r="2269" spans="1:17" x14ac:dyDescent="0.3">
      <c r="A2269" t="s">
        <v>4664</v>
      </c>
      <c r="B2269" t="str">
        <f>"000426"</f>
        <v>000426</v>
      </c>
      <c r="C2269" t="s">
        <v>4863</v>
      </c>
      <c r="D2269" t="s">
        <v>744</v>
      </c>
      <c r="F2269">
        <v>141.0043</v>
      </c>
      <c r="G2269">
        <v>184.07839999999999</v>
      </c>
      <c r="H2269">
        <v>303.96289999999999</v>
      </c>
      <c r="I2269">
        <v>118.63460000000001</v>
      </c>
      <c r="J2269">
        <v>141.78380000000001</v>
      </c>
      <c r="K2269">
        <v>340.24939999999998</v>
      </c>
      <c r="L2269">
        <v>196.73740000000001</v>
      </c>
      <c r="M2269">
        <v>132.96180000000001</v>
      </c>
      <c r="N2269">
        <v>278.90499999999997</v>
      </c>
      <c r="O2269">
        <v>202.96039999999999</v>
      </c>
      <c r="P2269">
        <v>202</v>
      </c>
      <c r="Q2269" t="s">
        <v>4864</v>
      </c>
    </row>
    <row r="2270" spans="1:17" x14ac:dyDescent="0.3">
      <c r="A2270" t="s">
        <v>4664</v>
      </c>
      <c r="B2270" t="str">
        <f>"000428"</f>
        <v>000428</v>
      </c>
      <c r="C2270" t="s">
        <v>4865</v>
      </c>
      <c r="D2270" t="s">
        <v>590</v>
      </c>
      <c r="F2270">
        <v>755.13340000000005</v>
      </c>
      <c r="G2270">
        <v>1644.6877999999999</v>
      </c>
      <c r="H2270">
        <v>665.48919999999998</v>
      </c>
      <c r="I2270">
        <v>1365.5809999999999</v>
      </c>
      <c r="J2270">
        <v>2783.3440000000001</v>
      </c>
      <c r="K2270">
        <v>2407.2015000000001</v>
      </c>
      <c r="L2270">
        <v>2279.8528999999999</v>
      </c>
      <c r="M2270">
        <v>1438.7614000000001</v>
      </c>
      <c r="N2270">
        <v>882.7011</v>
      </c>
      <c r="O2270">
        <v>593.80219999999997</v>
      </c>
      <c r="P2270">
        <v>104</v>
      </c>
      <c r="Q2270" t="s">
        <v>4866</v>
      </c>
    </row>
    <row r="2271" spans="1:17" x14ac:dyDescent="0.3">
      <c r="A2271" t="s">
        <v>4664</v>
      </c>
      <c r="B2271" t="str">
        <f>"000429"</f>
        <v>000429</v>
      </c>
      <c r="C2271" t="s">
        <v>4867</v>
      </c>
      <c r="D2271" t="s">
        <v>44</v>
      </c>
      <c r="F2271">
        <v>0.1968</v>
      </c>
      <c r="G2271">
        <v>4.19E-2</v>
      </c>
      <c r="H2271">
        <v>0.04</v>
      </c>
      <c r="I2271">
        <v>2.8000000000000001E-2</v>
      </c>
      <c r="J2271">
        <v>0.48409999999999997</v>
      </c>
      <c r="K2271">
        <v>0.41220000000000001</v>
      </c>
      <c r="L2271">
        <v>0</v>
      </c>
      <c r="M2271">
        <v>0</v>
      </c>
      <c r="N2271">
        <v>0</v>
      </c>
      <c r="O2271">
        <v>0</v>
      </c>
      <c r="P2271">
        <v>1026</v>
      </c>
      <c r="Q2271" t="s">
        <v>4868</v>
      </c>
    </row>
    <row r="2272" spans="1:17" x14ac:dyDescent="0.3">
      <c r="A2272" t="s">
        <v>4664</v>
      </c>
      <c r="B2272" t="str">
        <f>"000430"</f>
        <v>000430</v>
      </c>
      <c r="C2272" t="s">
        <v>4869</v>
      </c>
      <c r="D2272" t="s">
        <v>119</v>
      </c>
      <c r="F2272">
        <v>8.4665999999999997</v>
      </c>
      <c r="G2272">
        <v>11.9809</v>
      </c>
      <c r="H2272">
        <v>8.0889000000000006</v>
      </c>
      <c r="I2272">
        <v>9.4646000000000008</v>
      </c>
      <c r="J2272">
        <v>10.4564</v>
      </c>
      <c r="K2272">
        <v>7.8623000000000003</v>
      </c>
      <c r="L2272">
        <v>6.8451000000000004</v>
      </c>
      <c r="M2272">
        <v>8.0972000000000008</v>
      </c>
      <c r="N2272">
        <v>5.6296999999999997</v>
      </c>
      <c r="O2272">
        <v>3.9498000000000002</v>
      </c>
      <c r="P2272">
        <v>109</v>
      </c>
      <c r="Q2272" t="s">
        <v>4870</v>
      </c>
    </row>
    <row r="2273" spans="1:17" x14ac:dyDescent="0.3">
      <c r="A2273" t="s">
        <v>4664</v>
      </c>
      <c r="B2273" t="str">
        <f>"000488"</f>
        <v>000488</v>
      </c>
      <c r="C2273" t="s">
        <v>4871</v>
      </c>
      <c r="D2273" t="s">
        <v>694</v>
      </c>
      <c r="F2273">
        <v>104.32689999999999</v>
      </c>
      <c r="G2273">
        <v>109.58450000000001</v>
      </c>
      <c r="H2273">
        <v>129.91890000000001</v>
      </c>
      <c r="I2273">
        <v>142.94049999999999</v>
      </c>
      <c r="J2273">
        <v>126.3265</v>
      </c>
      <c r="K2273">
        <v>164.2518</v>
      </c>
      <c r="L2273">
        <v>174.43559999999999</v>
      </c>
      <c r="M2273">
        <v>125.3275</v>
      </c>
      <c r="N2273">
        <v>124.1302</v>
      </c>
      <c r="O2273">
        <v>151.1455</v>
      </c>
      <c r="P2273">
        <v>1270</v>
      </c>
      <c r="Q2273" t="s">
        <v>4872</v>
      </c>
    </row>
    <row r="2274" spans="1:17" x14ac:dyDescent="0.3">
      <c r="A2274" t="s">
        <v>4664</v>
      </c>
      <c r="B2274" t="str">
        <f>"000498"</f>
        <v>000498</v>
      </c>
      <c r="C2274" t="s">
        <v>4873</v>
      </c>
      <c r="D2274" t="s">
        <v>101</v>
      </c>
      <c r="F2274">
        <v>22.466000000000001</v>
      </c>
      <c r="G2274">
        <v>107.74679999999999</v>
      </c>
      <c r="H2274">
        <v>212.94890000000001</v>
      </c>
      <c r="I2274">
        <v>257.30130000000003</v>
      </c>
      <c r="J2274">
        <v>299.68200000000002</v>
      </c>
      <c r="K2274">
        <v>370.42439999999999</v>
      </c>
      <c r="L2274">
        <v>376.9622</v>
      </c>
      <c r="M2274">
        <v>336.6694</v>
      </c>
      <c r="N2274">
        <v>281.66050000000001</v>
      </c>
      <c r="P2274">
        <v>276</v>
      </c>
      <c r="Q2274" t="s">
        <v>4874</v>
      </c>
    </row>
    <row r="2275" spans="1:17" x14ac:dyDescent="0.3">
      <c r="A2275" t="s">
        <v>4664</v>
      </c>
      <c r="B2275" t="str">
        <f>"000501"</f>
        <v>000501</v>
      </c>
      <c r="C2275" t="s">
        <v>4875</v>
      </c>
      <c r="D2275" t="s">
        <v>633</v>
      </c>
      <c r="F2275">
        <v>259.77719999999999</v>
      </c>
      <c r="G2275">
        <v>497.67430000000002</v>
      </c>
      <c r="H2275">
        <v>116.4158</v>
      </c>
      <c r="I2275">
        <v>85.699700000000007</v>
      </c>
      <c r="J2275">
        <v>30.118099999999998</v>
      </c>
      <c r="K2275">
        <v>30.450600000000001</v>
      </c>
      <c r="L2275">
        <v>30.414899999999999</v>
      </c>
      <c r="M2275">
        <v>32.397799999999997</v>
      </c>
      <c r="N2275">
        <v>29.150200000000002</v>
      </c>
      <c r="O2275">
        <v>19.2639</v>
      </c>
      <c r="P2275">
        <v>6225</v>
      </c>
      <c r="Q2275" t="s">
        <v>4876</v>
      </c>
    </row>
    <row r="2276" spans="1:17" x14ac:dyDescent="0.3">
      <c r="A2276" t="s">
        <v>4664</v>
      </c>
      <c r="B2276" t="str">
        <f>"000502"</f>
        <v>000502</v>
      </c>
      <c r="C2276" t="s">
        <v>4877</v>
      </c>
      <c r="D2276" t="s">
        <v>2948</v>
      </c>
      <c r="F2276">
        <v>101.3642</v>
      </c>
      <c r="G2276">
        <v>925.4683</v>
      </c>
      <c r="H2276">
        <v>1072.3859</v>
      </c>
      <c r="I2276">
        <v>1058.5261</v>
      </c>
      <c r="J2276">
        <v>761.23879999999997</v>
      </c>
      <c r="K2276">
        <v>6270.3425999999999</v>
      </c>
      <c r="L2276">
        <v>5864.1333999999997</v>
      </c>
      <c r="M2276">
        <v>6305.4970000000003</v>
      </c>
      <c r="N2276">
        <v>5890.6091999999999</v>
      </c>
      <c r="O2276">
        <v>4632.9018999999998</v>
      </c>
      <c r="P2276">
        <v>85</v>
      </c>
      <c r="Q2276" t="s">
        <v>4878</v>
      </c>
    </row>
    <row r="2277" spans="1:17" x14ac:dyDescent="0.3">
      <c r="A2277" t="s">
        <v>4664</v>
      </c>
      <c r="B2277" t="str">
        <f>"000503"</f>
        <v>000503</v>
      </c>
      <c r="C2277" t="s">
        <v>4879</v>
      </c>
      <c r="D2277" t="s">
        <v>945</v>
      </c>
      <c r="F2277">
        <v>2.7799999999999998E-2</v>
      </c>
      <c r="G2277">
        <v>8.6800000000000002E-2</v>
      </c>
      <c r="H2277">
        <v>0.1789</v>
      </c>
      <c r="I2277">
        <v>0.41799999999999998</v>
      </c>
      <c r="J2277">
        <v>0.57489999999999997</v>
      </c>
      <c r="K2277">
        <v>1.2501</v>
      </c>
      <c r="L2277">
        <v>2.6089000000000002</v>
      </c>
      <c r="M2277">
        <v>4.9370000000000003</v>
      </c>
      <c r="N2277">
        <v>4.4485000000000001</v>
      </c>
      <c r="O2277">
        <v>4.0533000000000001</v>
      </c>
      <c r="P2277">
        <v>174</v>
      </c>
      <c r="Q2277" t="s">
        <v>4880</v>
      </c>
    </row>
    <row r="2278" spans="1:17" x14ac:dyDescent="0.3">
      <c r="A2278" t="s">
        <v>4664</v>
      </c>
      <c r="B2278" t="str">
        <f>"000504"</f>
        <v>000504</v>
      </c>
      <c r="C2278" t="s">
        <v>4881</v>
      </c>
      <c r="D2278" t="s">
        <v>4182</v>
      </c>
      <c r="F2278">
        <v>311.80380000000002</v>
      </c>
      <c r="G2278">
        <v>123.12649999999999</v>
      </c>
      <c r="H2278">
        <v>432.39749999999998</v>
      </c>
      <c r="I2278">
        <v>592.6078</v>
      </c>
      <c r="J2278">
        <v>417.57799999999997</v>
      </c>
      <c r="K2278">
        <v>0.61199999999999999</v>
      </c>
      <c r="L2278">
        <v>3.6638000000000002</v>
      </c>
      <c r="M2278">
        <v>6.5537999999999998</v>
      </c>
      <c r="N2278">
        <v>11.2134</v>
      </c>
      <c r="O2278">
        <v>12.250500000000001</v>
      </c>
      <c r="P2278">
        <v>85</v>
      </c>
      <c r="Q2278" t="s">
        <v>4882</v>
      </c>
    </row>
    <row r="2279" spans="1:17" x14ac:dyDescent="0.3">
      <c r="A2279" t="s">
        <v>4664</v>
      </c>
      <c r="B2279" t="str">
        <f>"000505"</f>
        <v>000505</v>
      </c>
      <c r="C2279" t="s">
        <v>4883</v>
      </c>
      <c r="D2279" t="s">
        <v>306</v>
      </c>
      <c r="F2279">
        <v>57.624499999999998</v>
      </c>
      <c r="G2279">
        <v>95.020799999999994</v>
      </c>
      <c r="H2279">
        <v>85.023799999999994</v>
      </c>
      <c r="I2279">
        <v>100.2513</v>
      </c>
      <c r="J2279">
        <v>45.126600000000003</v>
      </c>
      <c r="K2279">
        <v>1154.1733999999999</v>
      </c>
      <c r="L2279">
        <v>1051.3728000000001</v>
      </c>
      <c r="M2279">
        <v>556.65660000000003</v>
      </c>
      <c r="N2279">
        <v>339.82319999999999</v>
      </c>
      <c r="O2279">
        <v>375.8999</v>
      </c>
      <c r="P2279">
        <v>193</v>
      </c>
      <c r="Q2279" t="s">
        <v>4884</v>
      </c>
    </row>
    <row r="2280" spans="1:17" x14ac:dyDescent="0.3">
      <c r="A2280" t="s">
        <v>4664</v>
      </c>
      <c r="B2280" t="str">
        <f>"000506"</f>
        <v>000506</v>
      </c>
      <c r="C2280" t="s">
        <v>4885</v>
      </c>
      <c r="D2280" t="s">
        <v>104</v>
      </c>
      <c r="F2280">
        <v>232.60579999999999</v>
      </c>
      <c r="G2280">
        <v>762.65719999999999</v>
      </c>
      <c r="H2280">
        <v>634.39359999999999</v>
      </c>
      <c r="I2280">
        <v>677.98659999999995</v>
      </c>
      <c r="J2280">
        <v>587.34</v>
      </c>
      <c r="K2280">
        <v>1128.4464</v>
      </c>
      <c r="L2280">
        <v>2396.2150000000001</v>
      </c>
      <c r="M2280">
        <v>1598.9297999999999</v>
      </c>
      <c r="N2280">
        <v>820.05079999999998</v>
      </c>
      <c r="O2280">
        <v>2224.6473000000001</v>
      </c>
      <c r="P2280">
        <v>85</v>
      </c>
      <c r="Q2280" t="s">
        <v>4886</v>
      </c>
    </row>
    <row r="2281" spans="1:17" x14ac:dyDescent="0.3">
      <c r="A2281" t="s">
        <v>4664</v>
      </c>
      <c r="B2281" t="str">
        <f>"000507"</f>
        <v>000507</v>
      </c>
      <c r="C2281" t="s">
        <v>4887</v>
      </c>
      <c r="D2281" t="s">
        <v>51</v>
      </c>
      <c r="F2281">
        <v>24.1586</v>
      </c>
      <c r="G2281">
        <v>28.386199999999999</v>
      </c>
      <c r="H2281">
        <v>22.6126</v>
      </c>
      <c r="I2281">
        <v>34.279000000000003</v>
      </c>
      <c r="J2281">
        <v>24.632400000000001</v>
      </c>
      <c r="K2281">
        <v>20.381599999999999</v>
      </c>
      <c r="L2281">
        <v>21.065200000000001</v>
      </c>
      <c r="M2281">
        <v>7.1562000000000001</v>
      </c>
      <c r="N2281">
        <v>1.361</v>
      </c>
      <c r="O2281">
        <v>3.0249999999999999</v>
      </c>
      <c r="P2281">
        <v>185</v>
      </c>
      <c r="Q2281" t="s">
        <v>4888</v>
      </c>
    </row>
    <row r="2282" spans="1:17" x14ac:dyDescent="0.3">
      <c r="A2282" t="s">
        <v>4664</v>
      </c>
      <c r="B2282" t="str">
        <f>"000509"</f>
        <v>000509</v>
      </c>
      <c r="C2282" t="s">
        <v>4889</v>
      </c>
      <c r="D2282" t="s">
        <v>1147</v>
      </c>
      <c r="F2282">
        <v>1335.213</v>
      </c>
      <c r="G2282">
        <v>49.025399999999998</v>
      </c>
      <c r="H2282">
        <v>31.6023</v>
      </c>
      <c r="I2282">
        <v>12.0611</v>
      </c>
      <c r="J2282">
        <v>21.2178</v>
      </c>
      <c r="K2282">
        <v>649.15020000000004</v>
      </c>
      <c r="L2282">
        <v>588.61429999999996</v>
      </c>
      <c r="M2282">
        <v>428.42970000000003</v>
      </c>
      <c r="N2282">
        <v>129.29069999999999</v>
      </c>
      <c r="O2282">
        <v>105.0134</v>
      </c>
      <c r="P2282">
        <v>84</v>
      </c>
      <c r="Q2282" t="s">
        <v>4890</v>
      </c>
    </row>
    <row r="2283" spans="1:17" x14ac:dyDescent="0.3">
      <c r="A2283" t="s">
        <v>4664</v>
      </c>
      <c r="B2283" t="str">
        <f>"000510"</f>
        <v>000510</v>
      </c>
      <c r="C2283" t="s">
        <v>4891</v>
      </c>
      <c r="D2283" t="s">
        <v>175</v>
      </c>
      <c r="F2283">
        <v>40.466200000000001</v>
      </c>
      <c r="G2283">
        <v>30.4056</v>
      </c>
      <c r="H2283">
        <v>28.540600000000001</v>
      </c>
      <c r="I2283">
        <v>25.936800000000002</v>
      </c>
      <c r="J2283">
        <v>28.8811</v>
      </c>
      <c r="K2283">
        <v>37.732100000000003</v>
      </c>
      <c r="L2283">
        <v>39.651899999999998</v>
      </c>
      <c r="M2283">
        <v>44.228299999999997</v>
      </c>
      <c r="N2283">
        <v>49.043799999999997</v>
      </c>
      <c r="O2283">
        <v>40.067700000000002</v>
      </c>
      <c r="P2283">
        <v>128</v>
      </c>
      <c r="Q2283" t="s">
        <v>4892</v>
      </c>
    </row>
    <row r="2284" spans="1:17" x14ac:dyDescent="0.3">
      <c r="A2284" t="s">
        <v>4664</v>
      </c>
      <c r="B2284" t="str">
        <f>"000511"</f>
        <v>000511</v>
      </c>
      <c r="C2284" t="s">
        <v>4893</v>
      </c>
      <c r="J2284">
        <v>577.5693</v>
      </c>
      <c r="K2284">
        <v>841.8519</v>
      </c>
      <c r="L2284">
        <v>577.17139999999995</v>
      </c>
      <c r="M2284">
        <v>526.88549999999998</v>
      </c>
      <c r="N2284">
        <v>2891.5475000000001</v>
      </c>
      <c r="O2284">
        <v>5561.5621000000001</v>
      </c>
      <c r="P2284">
        <v>14</v>
      </c>
      <c r="Q2284" t="s">
        <v>4894</v>
      </c>
    </row>
    <row r="2285" spans="1:17" x14ac:dyDescent="0.3">
      <c r="A2285" t="s">
        <v>4664</v>
      </c>
      <c r="B2285" t="str">
        <f>"000513"</f>
        <v>000513</v>
      </c>
      <c r="C2285" t="s">
        <v>4895</v>
      </c>
      <c r="D2285" t="s">
        <v>143</v>
      </c>
      <c r="F2285">
        <v>165.2876</v>
      </c>
      <c r="G2285">
        <v>171.26669999999999</v>
      </c>
      <c r="H2285">
        <v>154.31360000000001</v>
      </c>
      <c r="I2285">
        <v>153.8683</v>
      </c>
      <c r="J2285">
        <v>175.1857</v>
      </c>
      <c r="K2285">
        <v>184.1174</v>
      </c>
      <c r="L2285">
        <v>172.78110000000001</v>
      </c>
      <c r="M2285">
        <v>172.22919999999999</v>
      </c>
      <c r="N2285">
        <v>183.40899999999999</v>
      </c>
      <c r="O2285">
        <v>148.21510000000001</v>
      </c>
      <c r="P2285">
        <v>1622</v>
      </c>
      <c r="Q2285" t="s">
        <v>4896</v>
      </c>
    </row>
    <row r="2286" spans="1:17" x14ac:dyDescent="0.3">
      <c r="A2286" t="s">
        <v>4664</v>
      </c>
      <c r="B2286" t="str">
        <f>"000514"</f>
        <v>000514</v>
      </c>
      <c r="C2286" t="s">
        <v>4897</v>
      </c>
      <c r="D2286" t="s">
        <v>104</v>
      </c>
      <c r="F2286">
        <v>13375.395500000001</v>
      </c>
      <c r="G2286">
        <v>11258.829599999999</v>
      </c>
      <c r="H2286">
        <v>9578.4087999999992</v>
      </c>
      <c r="I2286">
        <v>4258.9785000000002</v>
      </c>
      <c r="J2286">
        <v>2332.2516999999998</v>
      </c>
      <c r="K2286">
        <v>4920.8359</v>
      </c>
      <c r="L2286">
        <v>2432.0725000000002</v>
      </c>
      <c r="M2286">
        <v>1273.8804</v>
      </c>
      <c r="N2286">
        <v>3397.5859</v>
      </c>
      <c r="O2286">
        <v>4003.9760999999999</v>
      </c>
      <c r="P2286">
        <v>113</v>
      </c>
      <c r="Q2286" t="s">
        <v>4898</v>
      </c>
    </row>
    <row r="2287" spans="1:17" x14ac:dyDescent="0.3">
      <c r="A2287" t="s">
        <v>4664</v>
      </c>
      <c r="B2287" t="str">
        <f>"000516"</f>
        <v>000516</v>
      </c>
      <c r="C2287" t="s">
        <v>4899</v>
      </c>
      <c r="D2287" t="s">
        <v>1147</v>
      </c>
      <c r="F2287">
        <v>13.112500000000001</v>
      </c>
      <c r="G2287">
        <v>17.092400000000001</v>
      </c>
      <c r="H2287">
        <v>21.433900000000001</v>
      </c>
      <c r="I2287">
        <v>12.248200000000001</v>
      </c>
      <c r="J2287">
        <v>8.7332999999999998</v>
      </c>
      <c r="K2287">
        <v>8.5518000000000001</v>
      </c>
      <c r="L2287">
        <v>7.3606999999999996</v>
      </c>
      <c r="M2287">
        <v>5.5773000000000001</v>
      </c>
      <c r="N2287">
        <v>6.7789000000000001</v>
      </c>
      <c r="O2287">
        <v>7.5865</v>
      </c>
      <c r="P2287">
        <v>405</v>
      </c>
      <c r="Q2287" t="s">
        <v>4900</v>
      </c>
    </row>
    <row r="2288" spans="1:17" x14ac:dyDescent="0.3">
      <c r="A2288" t="s">
        <v>4664</v>
      </c>
      <c r="B2288" t="str">
        <f>"000517"</f>
        <v>000517</v>
      </c>
      <c r="C2288" t="s">
        <v>4901</v>
      </c>
      <c r="D2288" t="s">
        <v>104</v>
      </c>
      <c r="F2288">
        <v>2038.5496000000001</v>
      </c>
      <c r="G2288">
        <v>4529.5150999999996</v>
      </c>
      <c r="H2288">
        <v>5630.2736999999997</v>
      </c>
      <c r="I2288">
        <v>2940.5212999999999</v>
      </c>
      <c r="J2288">
        <v>890.07320000000004</v>
      </c>
      <c r="K2288">
        <v>3379.4256999999998</v>
      </c>
      <c r="L2288">
        <v>8025.7210999999998</v>
      </c>
      <c r="M2288">
        <v>654.96720000000005</v>
      </c>
      <c r="N2288">
        <v>904.14599999999996</v>
      </c>
      <c r="O2288">
        <v>10014.545400000001</v>
      </c>
      <c r="P2288">
        <v>312</v>
      </c>
      <c r="Q2288" t="s">
        <v>4902</v>
      </c>
    </row>
    <row r="2289" spans="1:17" x14ac:dyDescent="0.3">
      <c r="A2289" t="s">
        <v>4664</v>
      </c>
      <c r="B2289" t="str">
        <f>"000518"</f>
        <v>000518</v>
      </c>
      <c r="C2289" t="s">
        <v>4903</v>
      </c>
      <c r="D2289" t="s">
        <v>1379</v>
      </c>
      <c r="F2289">
        <v>2940.1291000000001</v>
      </c>
      <c r="G2289">
        <v>1443.4638</v>
      </c>
      <c r="H2289">
        <v>2741.8977</v>
      </c>
      <c r="I2289">
        <v>2987.7523000000001</v>
      </c>
      <c r="J2289">
        <v>2140.0565000000001</v>
      </c>
      <c r="K2289">
        <v>1572.7527</v>
      </c>
      <c r="L2289">
        <v>587.65570000000002</v>
      </c>
      <c r="M2289">
        <v>205.5513</v>
      </c>
      <c r="N2289">
        <v>169.29339999999999</v>
      </c>
      <c r="O2289">
        <v>160.3999</v>
      </c>
      <c r="P2289">
        <v>171</v>
      </c>
      <c r="Q2289" t="s">
        <v>4904</v>
      </c>
    </row>
    <row r="2290" spans="1:17" x14ac:dyDescent="0.3">
      <c r="A2290" t="s">
        <v>4664</v>
      </c>
      <c r="B2290" t="str">
        <f>"000519"</f>
        <v>000519</v>
      </c>
      <c r="C2290" t="s">
        <v>4905</v>
      </c>
      <c r="D2290" t="s">
        <v>428</v>
      </c>
      <c r="F2290">
        <v>148.7851</v>
      </c>
      <c r="G2290">
        <v>207.35509999999999</v>
      </c>
      <c r="H2290">
        <v>243.88409999999999</v>
      </c>
      <c r="I2290">
        <v>258.96269999999998</v>
      </c>
      <c r="J2290">
        <v>346.9248</v>
      </c>
      <c r="K2290">
        <v>676.32460000000003</v>
      </c>
      <c r="L2290">
        <v>594.65909999999997</v>
      </c>
      <c r="M2290">
        <v>379.78320000000002</v>
      </c>
      <c r="N2290">
        <v>182.17080000000001</v>
      </c>
      <c r="O2290">
        <v>181.97829999999999</v>
      </c>
      <c r="P2290">
        <v>336</v>
      </c>
      <c r="Q2290" t="s">
        <v>4906</v>
      </c>
    </row>
    <row r="2291" spans="1:17" x14ac:dyDescent="0.3">
      <c r="A2291" t="s">
        <v>4664</v>
      </c>
      <c r="B2291" t="str">
        <f>"000520"</f>
        <v>000520</v>
      </c>
      <c r="C2291" t="s">
        <v>4907</v>
      </c>
      <c r="D2291" t="s">
        <v>69</v>
      </c>
      <c r="F2291">
        <v>4.6852999999999998</v>
      </c>
      <c r="G2291">
        <v>6.8262999999999998</v>
      </c>
      <c r="H2291">
        <v>6.9985999999999997</v>
      </c>
      <c r="I2291">
        <v>10.0345</v>
      </c>
      <c r="J2291">
        <v>10.6218</v>
      </c>
      <c r="K2291">
        <v>13.989599999999999</v>
      </c>
      <c r="L2291">
        <v>14.588800000000001</v>
      </c>
      <c r="M2291">
        <v>13.7727</v>
      </c>
      <c r="N2291">
        <v>26.438199999999998</v>
      </c>
      <c r="O2291">
        <v>23.675899999999999</v>
      </c>
      <c r="P2291">
        <v>110</v>
      </c>
      <c r="Q2291" t="s">
        <v>4908</v>
      </c>
    </row>
    <row r="2292" spans="1:17" x14ac:dyDescent="0.3">
      <c r="A2292" t="s">
        <v>4664</v>
      </c>
      <c r="B2292" t="str">
        <f>"000521"</f>
        <v>000521</v>
      </c>
      <c r="C2292" t="s">
        <v>4909</v>
      </c>
      <c r="D2292" t="s">
        <v>754</v>
      </c>
      <c r="F2292">
        <v>48.845799999999997</v>
      </c>
      <c r="G2292">
        <v>61.371099999999998</v>
      </c>
      <c r="H2292">
        <v>66.141599999999997</v>
      </c>
      <c r="I2292">
        <v>94.486800000000002</v>
      </c>
      <c r="J2292">
        <v>70.933700000000002</v>
      </c>
      <c r="K2292">
        <v>66.581599999999995</v>
      </c>
      <c r="L2292">
        <v>87.641599999999997</v>
      </c>
      <c r="M2292">
        <v>81.765199999999993</v>
      </c>
      <c r="N2292">
        <v>76.844800000000006</v>
      </c>
      <c r="O2292">
        <v>103.7766</v>
      </c>
      <c r="P2292">
        <v>181</v>
      </c>
      <c r="Q2292" t="s">
        <v>4910</v>
      </c>
    </row>
    <row r="2293" spans="1:17" x14ac:dyDescent="0.3">
      <c r="A2293" t="s">
        <v>4664</v>
      </c>
      <c r="B2293" t="str">
        <f>"000522"</f>
        <v>000522</v>
      </c>
      <c r="C2293" t="s">
        <v>4911</v>
      </c>
      <c r="N2293">
        <v>66.357900000000001</v>
      </c>
      <c r="O2293">
        <v>118.56570000000001</v>
      </c>
      <c r="P2293">
        <v>63</v>
      </c>
      <c r="Q2293" t="s">
        <v>4912</v>
      </c>
    </row>
    <row r="2294" spans="1:17" x14ac:dyDescent="0.3">
      <c r="A2294" t="s">
        <v>4664</v>
      </c>
      <c r="B2294" t="str">
        <f>"000523"</f>
        <v>000523</v>
      </c>
      <c r="C2294" t="s">
        <v>4913</v>
      </c>
      <c r="D2294" t="s">
        <v>569</v>
      </c>
      <c r="F2294">
        <v>77.867000000000004</v>
      </c>
      <c r="G2294">
        <v>81.650000000000006</v>
      </c>
      <c r="H2294">
        <v>52.491100000000003</v>
      </c>
      <c r="I2294">
        <v>24.401599999999998</v>
      </c>
      <c r="J2294">
        <v>21.491900000000001</v>
      </c>
      <c r="K2294">
        <v>33.7423</v>
      </c>
      <c r="L2294">
        <v>45.6145</v>
      </c>
      <c r="M2294">
        <v>35.426299999999998</v>
      </c>
      <c r="N2294">
        <v>39.488799999999998</v>
      </c>
      <c r="O2294">
        <v>33.1023</v>
      </c>
      <c r="P2294">
        <v>97</v>
      </c>
      <c r="Q2294" t="s">
        <v>4914</v>
      </c>
    </row>
    <row r="2295" spans="1:17" x14ac:dyDescent="0.3">
      <c r="A2295" t="s">
        <v>4664</v>
      </c>
      <c r="B2295" t="str">
        <f>"000524"</f>
        <v>000524</v>
      </c>
      <c r="C2295" t="s">
        <v>4915</v>
      </c>
      <c r="D2295" t="s">
        <v>1120</v>
      </c>
      <c r="F2295">
        <v>4.9610000000000003</v>
      </c>
      <c r="G2295">
        <v>4.7944000000000004</v>
      </c>
      <c r="H2295">
        <v>1.2279</v>
      </c>
      <c r="I2295">
        <v>1.9377</v>
      </c>
      <c r="J2295">
        <v>1.4289000000000001</v>
      </c>
      <c r="K2295">
        <v>19.012</v>
      </c>
      <c r="L2295">
        <v>19.2333</v>
      </c>
      <c r="M2295">
        <v>20.062100000000001</v>
      </c>
      <c r="N2295">
        <v>21.912199999999999</v>
      </c>
      <c r="O2295">
        <v>21.340800000000002</v>
      </c>
      <c r="P2295">
        <v>156</v>
      </c>
      <c r="Q2295" t="s">
        <v>4916</v>
      </c>
    </row>
    <row r="2296" spans="1:17" x14ac:dyDescent="0.3">
      <c r="A2296" t="s">
        <v>4664</v>
      </c>
      <c r="B2296" t="str">
        <f>"000525"</f>
        <v>000525</v>
      </c>
      <c r="C2296" t="s">
        <v>4917</v>
      </c>
      <c r="D2296" t="s">
        <v>853</v>
      </c>
      <c r="F2296">
        <v>148.1277</v>
      </c>
      <c r="G2296">
        <v>171.8674</v>
      </c>
      <c r="H2296">
        <v>176.8409</v>
      </c>
      <c r="I2296">
        <v>205.417</v>
      </c>
      <c r="J2296">
        <v>198.26339999999999</v>
      </c>
      <c r="K2296">
        <v>180.38220000000001</v>
      </c>
      <c r="L2296">
        <v>182.3124</v>
      </c>
      <c r="M2296">
        <v>212.7312</v>
      </c>
      <c r="N2296">
        <v>173.76240000000001</v>
      </c>
      <c r="O2296">
        <v>112.15430000000001</v>
      </c>
      <c r="P2296">
        <v>150</v>
      </c>
      <c r="Q2296" t="s">
        <v>4918</v>
      </c>
    </row>
    <row r="2297" spans="1:17" x14ac:dyDescent="0.3">
      <c r="A2297" t="s">
        <v>4664</v>
      </c>
      <c r="B2297" t="str">
        <f>"000526"</f>
        <v>000526</v>
      </c>
      <c r="C2297" t="s">
        <v>4919</v>
      </c>
      <c r="D2297" t="s">
        <v>1336</v>
      </c>
      <c r="F2297">
        <v>0.13869999999999999</v>
      </c>
      <c r="G2297">
        <v>6.25E-2</v>
      </c>
      <c r="H2297">
        <v>2.86E-2</v>
      </c>
      <c r="I2297">
        <v>4.4999999999999997E-3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201</v>
      </c>
      <c r="Q2297" t="s">
        <v>4920</v>
      </c>
    </row>
    <row r="2298" spans="1:17" x14ac:dyDescent="0.3">
      <c r="A2298" t="s">
        <v>4664</v>
      </c>
      <c r="B2298" t="str">
        <f>"000527"</f>
        <v>000527</v>
      </c>
      <c r="C2298" t="s">
        <v>4921</v>
      </c>
      <c r="O2298">
        <v>87.022199999999998</v>
      </c>
      <c r="P2298">
        <v>296</v>
      </c>
      <c r="Q2298" t="s">
        <v>4922</v>
      </c>
    </row>
    <row r="2299" spans="1:17" x14ac:dyDescent="0.3">
      <c r="A2299" t="s">
        <v>4664</v>
      </c>
      <c r="B2299" t="str">
        <f>"000528"</f>
        <v>000528</v>
      </c>
      <c r="C2299" t="s">
        <v>4923</v>
      </c>
      <c r="D2299" t="s">
        <v>83</v>
      </c>
      <c r="F2299">
        <v>148.74959999999999</v>
      </c>
      <c r="G2299">
        <v>157.98009999999999</v>
      </c>
      <c r="H2299">
        <v>168.39179999999999</v>
      </c>
      <c r="I2299">
        <v>152.6849</v>
      </c>
      <c r="J2299">
        <v>175.65809999999999</v>
      </c>
      <c r="K2299">
        <v>257.37029999999999</v>
      </c>
      <c r="L2299">
        <v>305.04180000000002</v>
      </c>
      <c r="M2299">
        <v>227.2465</v>
      </c>
      <c r="N2299">
        <v>221.6859</v>
      </c>
      <c r="O2299">
        <v>213.9308</v>
      </c>
      <c r="P2299">
        <v>481</v>
      </c>
      <c r="Q2299" t="s">
        <v>4924</v>
      </c>
    </row>
    <row r="2300" spans="1:17" x14ac:dyDescent="0.3">
      <c r="A2300" t="s">
        <v>4664</v>
      </c>
      <c r="B2300" t="str">
        <f>"000529"</f>
        <v>000529</v>
      </c>
      <c r="C2300" t="s">
        <v>4925</v>
      </c>
      <c r="D2300" t="s">
        <v>1536</v>
      </c>
      <c r="F2300">
        <v>141.62430000000001</v>
      </c>
      <c r="G2300">
        <v>124.38</v>
      </c>
      <c r="H2300">
        <v>73.671700000000001</v>
      </c>
      <c r="I2300">
        <v>62.558900000000001</v>
      </c>
      <c r="J2300">
        <v>41.298999999999999</v>
      </c>
      <c r="K2300">
        <v>40.314300000000003</v>
      </c>
      <c r="L2300">
        <v>38.001600000000003</v>
      </c>
      <c r="M2300">
        <v>50.535499999999999</v>
      </c>
      <c r="N2300">
        <v>55.180599999999998</v>
      </c>
      <c r="O2300">
        <v>64.897999999999996</v>
      </c>
      <c r="P2300">
        <v>298</v>
      </c>
      <c r="Q2300" t="s">
        <v>4926</v>
      </c>
    </row>
    <row r="2301" spans="1:17" x14ac:dyDescent="0.3">
      <c r="A2301" t="s">
        <v>4664</v>
      </c>
      <c r="B2301" t="str">
        <f>"000530"</f>
        <v>000530</v>
      </c>
      <c r="C2301" t="s">
        <v>4927</v>
      </c>
      <c r="D2301" t="s">
        <v>988</v>
      </c>
      <c r="F2301">
        <v>189.56229999999999</v>
      </c>
      <c r="G2301">
        <v>191.35489999999999</v>
      </c>
      <c r="H2301">
        <v>141.4528</v>
      </c>
      <c r="I2301">
        <v>113.9572</v>
      </c>
      <c r="J2301">
        <v>110.6148</v>
      </c>
      <c r="K2301">
        <v>103.2042</v>
      </c>
      <c r="L2301">
        <v>114.9999</v>
      </c>
      <c r="M2301">
        <v>117.2732</v>
      </c>
      <c r="N2301">
        <v>141.5821</v>
      </c>
      <c r="O2301">
        <v>138.37989999999999</v>
      </c>
      <c r="P2301">
        <v>129</v>
      </c>
      <c r="Q2301" t="s">
        <v>4928</v>
      </c>
    </row>
    <row r="2302" spans="1:17" x14ac:dyDescent="0.3">
      <c r="A2302" t="s">
        <v>4664</v>
      </c>
      <c r="B2302" t="str">
        <f>"000531"</f>
        <v>000531</v>
      </c>
      <c r="C2302" t="s">
        <v>4929</v>
      </c>
      <c r="D2302" t="s">
        <v>41</v>
      </c>
      <c r="F2302">
        <v>110.8994</v>
      </c>
      <c r="G2302">
        <v>135.6285</v>
      </c>
      <c r="H2302">
        <v>127.2851</v>
      </c>
      <c r="I2302">
        <v>107.25709999999999</v>
      </c>
      <c r="J2302">
        <v>120.73650000000001</v>
      </c>
      <c r="K2302">
        <v>170.11879999999999</v>
      </c>
      <c r="L2302">
        <v>176.61109999999999</v>
      </c>
      <c r="M2302">
        <v>151.0881</v>
      </c>
      <c r="N2302">
        <v>339.56659999999999</v>
      </c>
      <c r="O2302">
        <v>207.19049999999999</v>
      </c>
      <c r="P2302">
        <v>277</v>
      </c>
      <c r="Q2302" t="s">
        <v>4930</v>
      </c>
    </row>
    <row r="2303" spans="1:17" x14ac:dyDescent="0.3">
      <c r="A2303" t="s">
        <v>4664</v>
      </c>
      <c r="B2303" t="str">
        <f>"000532"</f>
        <v>000532</v>
      </c>
      <c r="C2303" t="s">
        <v>4931</v>
      </c>
      <c r="D2303" t="s">
        <v>116</v>
      </c>
      <c r="F2303">
        <v>293.47469999999998</v>
      </c>
      <c r="G2303">
        <v>234.5737</v>
      </c>
      <c r="H2303">
        <v>236.3013</v>
      </c>
      <c r="I2303">
        <v>271.82389999999998</v>
      </c>
      <c r="J2303">
        <v>374.88630000000001</v>
      </c>
      <c r="K2303">
        <v>306.16649999999998</v>
      </c>
      <c r="L2303">
        <v>364.6771</v>
      </c>
      <c r="M2303">
        <v>243.55099999999999</v>
      </c>
      <c r="N2303">
        <v>240.41159999999999</v>
      </c>
      <c r="O2303">
        <v>240.71870000000001</v>
      </c>
      <c r="P2303">
        <v>140</v>
      </c>
      <c r="Q2303" t="s">
        <v>4932</v>
      </c>
    </row>
    <row r="2304" spans="1:17" x14ac:dyDescent="0.3">
      <c r="A2304" t="s">
        <v>4664</v>
      </c>
      <c r="B2304" t="str">
        <f>"000533"</f>
        <v>000533</v>
      </c>
      <c r="C2304" t="s">
        <v>4933</v>
      </c>
      <c r="D2304" t="s">
        <v>210</v>
      </c>
      <c r="F2304">
        <v>130.60120000000001</v>
      </c>
      <c r="G2304">
        <v>117.277</v>
      </c>
      <c r="H2304">
        <v>134.2242</v>
      </c>
      <c r="I2304">
        <v>18.3337</v>
      </c>
      <c r="J2304">
        <v>33.945999999999998</v>
      </c>
      <c r="K2304">
        <v>111.82429999999999</v>
      </c>
      <c r="L2304">
        <v>96.468800000000002</v>
      </c>
      <c r="M2304">
        <v>94.854500000000002</v>
      </c>
      <c r="N2304">
        <v>93.584800000000001</v>
      </c>
      <c r="O2304">
        <v>108.926</v>
      </c>
      <c r="P2304">
        <v>101</v>
      </c>
      <c r="Q2304" t="s">
        <v>4934</v>
      </c>
    </row>
    <row r="2305" spans="1:17" x14ac:dyDescent="0.3">
      <c r="A2305" t="s">
        <v>4664</v>
      </c>
      <c r="B2305" t="str">
        <f>"000534"</f>
        <v>000534</v>
      </c>
      <c r="C2305" t="s">
        <v>4935</v>
      </c>
      <c r="D2305" t="s">
        <v>1379</v>
      </c>
      <c r="F2305">
        <v>230.8946</v>
      </c>
      <c r="G2305">
        <v>296.2604</v>
      </c>
      <c r="H2305">
        <v>3247.8436000000002</v>
      </c>
      <c r="I2305">
        <v>15713.4105</v>
      </c>
      <c r="J2305">
        <v>2224.8184999999999</v>
      </c>
      <c r="K2305">
        <v>22174.671200000001</v>
      </c>
      <c r="L2305">
        <v>3857.9047</v>
      </c>
      <c r="M2305">
        <v>2883.6181000000001</v>
      </c>
      <c r="N2305">
        <v>3389.5844000000002</v>
      </c>
      <c r="O2305">
        <v>2527.4825000000001</v>
      </c>
      <c r="P2305">
        <v>120</v>
      </c>
      <c r="Q2305" t="s">
        <v>4936</v>
      </c>
    </row>
    <row r="2306" spans="1:17" x14ac:dyDescent="0.3">
      <c r="A2306" t="s">
        <v>4664</v>
      </c>
      <c r="B2306" t="str">
        <f>"000536"</f>
        <v>000536</v>
      </c>
      <c r="C2306" t="s">
        <v>4937</v>
      </c>
      <c r="D2306" t="s">
        <v>1117</v>
      </c>
      <c r="F2306">
        <v>102.63209999999999</v>
      </c>
      <c r="G2306">
        <v>103.3605</v>
      </c>
      <c r="H2306">
        <v>132.5778</v>
      </c>
      <c r="I2306">
        <v>82.844899999999996</v>
      </c>
      <c r="J2306">
        <v>42.141100000000002</v>
      </c>
      <c r="K2306">
        <v>39.320900000000002</v>
      </c>
      <c r="L2306">
        <v>27.456600000000002</v>
      </c>
      <c r="M2306">
        <v>35.589399999999998</v>
      </c>
      <c r="N2306">
        <v>36.2117</v>
      </c>
      <c r="O2306">
        <v>37.5214</v>
      </c>
      <c r="P2306">
        <v>142</v>
      </c>
      <c r="Q2306" t="s">
        <v>4938</v>
      </c>
    </row>
    <row r="2307" spans="1:17" x14ac:dyDescent="0.3">
      <c r="A2307" t="s">
        <v>4664</v>
      </c>
      <c r="B2307" t="str">
        <f>"000537"</f>
        <v>000537</v>
      </c>
      <c r="C2307" t="s">
        <v>4939</v>
      </c>
      <c r="D2307" t="s">
        <v>104</v>
      </c>
      <c r="F2307">
        <v>2322.7516999999998</v>
      </c>
      <c r="G2307">
        <v>1962.8801000000001</v>
      </c>
      <c r="H2307">
        <v>2793.1968000000002</v>
      </c>
      <c r="I2307">
        <v>2249.2617</v>
      </c>
      <c r="J2307">
        <v>2747.0599000000002</v>
      </c>
      <c r="K2307">
        <v>4027.8624</v>
      </c>
      <c r="L2307">
        <v>2976.6664999999998</v>
      </c>
      <c r="M2307">
        <v>1543.8053</v>
      </c>
      <c r="N2307">
        <v>1223.9559999999999</v>
      </c>
      <c r="O2307">
        <v>1625.7974999999999</v>
      </c>
      <c r="P2307">
        <v>604</v>
      </c>
      <c r="Q2307" t="s">
        <v>4940</v>
      </c>
    </row>
    <row r="2308" spans="1:17" x14ac:dyDescent="0.3">
      <c r="A2308" t="s">
        <v>4664</v>
      </c>
      <c r="B2308" t="str">
        <f>"000538"</f>
        <v>000538</v>
      </c>
      <c r="C2308" t="s">
        <v>4941</v>
      </c>
      <c r="D2308" t="s">
        <v>188</v>
      </c>
      <c r="F2308">
        <v>170.8733</v>
      </c>
      <c r="G2308">
        <v>257.15750000000003</v>
      </c>
      <c r="H2308">
        <v>261.85239999999999</v>
      </c>
      <c r="I2308">
        <v>243.5378</v>
      </c>
      <c r="J2308">
        <v>227.10050000000001</v>
      </c>
      <c r="K2308">
        <v>195.42429999999999</v>
      </c>
      <c r="L2308">
        <v>190.4436</v>
      </c>
      <c r="M2308">
        <v>190.67949999999999</v>
      </c>
      <c r="N2308">
        <v>210.69900000000001</v>
      </c>
      <c r="O2308">
        <v>214.27670000000001</v>
      </c>
      <c r="P2308">
        <v>30717</v>
      </c>
      <c r="Q2308" t="s">
        <v>4942</v>
      </c>
    </row>
    <row r="2309" spans="1:17" x14ac:dyDescent="0.3">
      <c r="A2309" t="s">
        <v>4664</v>
      </c>
      <c r="B2309" t="str">
        <f>"000539"</f>
        <v>000539</v>
      </c>
      <c r="C2309" t="s">
        <v>4943</v>
      </c>
      <c r="D2309" t="s">
        <v>41</v>
      </c>
      <c r="F2309">
        <v>23.314</v>
      </c>
      <c r="G2309">
        <v>40.364199999999997</v>
      </c>
      <c r="H2309">
        <v>33.561599999999999</v>
      </c>
      <c r="I2309">
        <v>33.983899999999998</v>
      </c>
      <c r="J2309">
        <v>32.628399999999999</v>
      </c>
      <c r="K2309">
        <v>39.847200000000001</v>
      </c>
      <c r="L2309">
        <v>41.22</v>
      </c>
      <c r="M2309">
        <v>36.327500000000001</v>
      </c>
      <c r="N2309">
        <v>38.205199999999998</v>
      </c>
      <c r="O2309">
        <v>48.150799999999997</v>
      </c>
      <c r="P2309">
        <v>203</v>
      </c>
      <c r="Q2309" t="s">
        <v>4944</v>
      </c>
    </row>
    <row r="2310" spans="1:17" x14ac:dyDescent="0.3">
      <c r="A2310" t="s">
        <v>4664</v>
      </c>
      <c r="B2310" t="str">
        <f>"000540"</f>
        <v>000540</v>
      </c>
      <c r="C2310" t="s">
        <v>4945</v>
      </c>
      <c r="D2310" t="s">
        <v>104</v>
      </c>
      <c r="F2310">
        <v>3000.5459000000001</v>
      </c>
      <c r="G2310">
        <v>3206.0934999999999</v>
      </c>
      <c r="H2310">
        <v>1911.8398999999999</v>
      </c>
      <c r="I2310">
        <v>1320.8889999999999</v>
      </c>
      <c r="J2310">
        <v>1911.8215</v>
      </c>
      <c r="K2310">
        <v>1196.5844999999999</v>
      </c>
      <c r="L2310">
        <v>1469.9273000000001</v>
      </c>
      <c r="M2310">
        <v>1733.1322</v>
      </c>
      <c r="N2310">
        <v>2104.8816000000002</v>
      </c>
      <c r="O2310">
        <v>3274.6206999999999</v>
      </c>
      <c r="P2310">
        <v>5239</v>
      </c>
      <c r="Q2310" t="s">
        <v>4946</v>
      </c>
    </row>
    <row r="2311" spans="1:17" x14ac:dyDescent="0.3">
      <c r="A2311" t="s">
        <v>4664</v>
      </c>
      <c r="B2311" t="str">
        <f>"000541"</f>
        <v>000541</v>
      </c>
      <c r="C2311" t="s">
        <v>4947</v>
      </c>
      <c r="D2311" t="s">
        <v>598</v>
      </c>
      <c r="F2311">
        <v>121.7216</v>
      </c>
      <c r="G2311">
        <v>115.1728</v>
      </c>
      <c r="H2311">
        <v>135.964</v>
      </c>
      <c r="I2311">
        <v>132.0658</v>
      </c>
      <c r="J2311">
        <v>113.0813</v>
      </c>
      <c r="K2311">
        <v>96.784400000000005</v>
      </c>
      <c r="L2311">
        <v>122.5656</v>
      </c>
      <c r="M2311">
        <v>106.9864</v>
      </c>
      <c r="N2311">
        <v>125.5744</v>
      </c>
      <c r="O2311">
        <v>155.2936</v>
      </c>
      <c r="P2311">
        <v>437</v>
      </c>
      <c r="Q2311" t="s">
        <v>4948</v>
      </c>
    </row>
    <row r="2312" spans="1:17" x14ac:dyDescent="0.3">
      <c r="A2312" t="s">
        <v>4664</v>
      </c>
      <c r="B2312" t="str">
        <f>"000543"</f>
        <v>000543</v>
      </c>
      <c r="C2312" t="s">
        <v>4949</v>
      </c>
      <c r="D2312" t="s">
        <v>41</v>
      </c>
      <c r="F2312">
        <v>9.2383000000000006</v>
      </c>
      <c r="G2312">
        <v>12.9984</v>
      </c>
      <c r="H2312">
        <v>15.0985</v>
      </c>
      <c r="I2312">
        <v>6.1062000000000003</v>
      </c>
      <c r="J2312">
        <v>7.6863000000000001</v>
      </c>
      <c r="K2312">
        <v>12.186199999999999</v>
      </c>
      <c r="L2312">
        <v>13.2448</v>
      </c>
      <c r="M2312">
        <v>15.6327</v>
      </c>
      <c r="N2312">
        <v>10.312900000000001</v>
      </c>
      <c r="O2312">
        <v>23.477499999999999</v>
      </c>
      <c r="P2312">
        <v>322</v>
      </c>
      <c r="Q2312" t="s">
        <v>4950</v>
      </c>
    </row>
    <row r="2313" spans="1:17" x14ac:dyDescent="0.3">
      <c r="A2313" t="s">
        <v>4664</v>
      </c>
      <c r="B2313" t="str">
        <f>"000544"</f>
        <v>000544</v>
      </c>
      <c r="C2313" t="s">
        <v>4951</v>
      </c>
      <c r="D2313" t="s">
        <v>33</v>
      </c>
      <c r="F2313">
        <v>9.3129000000000008</v>
      </c>
      <c r="G2313">
        <v>27.015799999999999</v>
      </c>
      <c r="H2313">
        <v>13.075699999999999</v>
      </c>
      <c r="I2313">
        <v>21.301600000000001</v>
      </c>
      <c r="J2313">
        <v>15.9085</v>
      </c>
      <c r="K2313">
        <v>10.3969</v>
      </c>
      <c r="L2313">
        <v>24.145600000000002</v>
      </c>
      <c r="M2313">
        <v>27.382200000000001</v>
      </c>
      <c r="N2313">
        <v>27.3553</v>
      </c>
      <c r="O2313">
        <v>34.769599999999997</v>
      </c>
      <c r="P2313">
        <v>247</v>
      </c>
      <c r="Q2313" t="s">
        <v>4952</v>
      </c>
    </row>
    <row r="2314" spans="1:17" x14ac:dyDescent="0.3">
      <c r="A2314" t="s">
        <v>4664</v>
      </c>
      <c r="B2314" t="str">
        <f>"000545"</f>
        <v>000545</v>
      </c>
      <c r="C2314" t="s">
        <v>4953</v>
      </c>
      <c r="D2314" t="s">
        <v>1474</v>
      </c>
      <c r="F2314">
        <v>52.698</v>
      </c>
      <c r="G2314">
        <v>73.052800000000005</v>
      </c>
      <c r="H2314">
        <v>82.095399999999998</v>
      </c>
      <c r="I2314">
        <v>67.048599999999993</v>
      </c>
      <c r="J2314">
        <v>65.366799999999998</v>
      </c>
      <c r="K2314">
        <v>79.110600000000005</v>
      </c>
      <c r="L2314">
        <v>71.767200000000003</v>
      </c>
      <c r="M2314">
        <v>57.995899999999999</v>
      </c>
      <c r="N2314">
        <v>50.998399999999997</v>
      </c>
      <c r="O2314">
        <v>578.54269999999997</v>
      </c>
      <c r="P2314">
        <v>106</v>
      </c>
      <c r="Q2314" t="s">
        <v>4954</v>
      </c>
    </row>
    <row r="2315" spans="1:17" x14ac:dyDescent="0.3">
      <c r="A2315" t="s">
        <v>4664</v>
      </c>
      <c r="B2315" t="str">
        <f>"000546"</f>
        <v>000546</v>
      </c>
      <c r="C2315" t="s">
        <v>4955</v>
      </c>
      <c r="D2315" t="s">
        <v>731</v>
      </c>
      <c r="F2315">
        <v>105.47750000000001</v>
      </c>
      <c r="G2315">
        <v>116.4923</v>
      </c>
      <c r="H2315">
        <v>111.947</v>
      </c>
      <c r="I2315">
        <v>96.032899999999998</v>
      </c>
      <c r="J2315">
        <v>113.5449</v>
      </c>
      <c r="K2315">
        <v>66.333299999999994</v>
      </c>
      <c r="L2315">
        <v>107.4511</v>
      </c>
      <c r="M2315">
        <v>214.29050000000001</v>
      </c>
      <c r="N2315">
        <v>809.46310000000005</v>
      </c>
      <c r="O2315">
        <v>1061.5563999999999</v>
      </c>
      <c r="P2315">
        <v>181</v>
      </c>
      <c r="Q2315" t="s">
        <v>4956</v>
      </c>
    </row>
    <row r="2316" spans="1:17" x14ac:dyDescent="0.3">
      <c r="A2316" t="s">
        <v>4664</v>
      </c>
      <c r="B2316" t="str">
        <f>"000547"</f>
        <v>000547</v>
      </c>
      <c r="C2316" t="s">
        <v>4957</v>
      </c>
      <c r="D2316" t="s">
        <v>1136</v>
      </c>
      <c r="F2316">
        <v>215.21299999999999</v>
      </c>
      <c r="G2316">
        <v>201.94730000000001</v>
      </c>
      <c r="H2316">
        <v>205.7407</v>
      </c>
      <c r="I2316">
        <v>264.64330000000001</v>
      </c>
      <c r="J2316">
        <v>249.578</v>
      </c>
      <c r="K2316">
        <v>334.75979999999998</v>
      </c>
      <c r="L2316">
        <v>829.33590000000004</v>
      </c>
      <c r="M2316">
        <v>603.2731</v>
      </c>
      <c r="N2316">
        <v>737.68600000000004</v>
      </c>
      <c r="O2316">
        <v>669.55629999999996</v>
      </c>
      <c r="P2316">
        <v>612</v>
      </c>
      <c r="Q2316" t="s">
        <v>4958</v>
      </c>
    </row>
    <row r="2317" spans="1:17" x14ac:dyDescent="0.3">
      <c r="A2317" t="s">
        <v>4664</v>
      </c>
      <c r="B2317" t="str">
        <f>"000548"</f>
        <v>000548</v>
      </c>
      <c r="C2317" t="s">
        <v>4959</v>
      </c>
      <c r="D2317" t="s">
        <v>44</v>
      </c>
      <c r="F2317">
        <v>2497.3937000000001</v>
      </c>
      <c r="G2317">
        <v>1228.1123</v>
      </c>
      <c r="H2317">
        <v>2533.1183999999998</v>
      </c>
      <c r="I2317">
        <v>1526.1867999999999</v>
      </c>
      <c r="J2317">
        <v>532.63580000000002</v>
      </c>
      <c r="K2317">
        <v>4597.3338000000003</v>
      </c>
      <c r="L2317">
        <v>3446.3362999999999</v>
      </c>
      <c r="M2317">
        <v>2936.76</v>
      </c>
      <c r="N2317">
        <v>2179.9553000000001</v>
      </c>
      <c r="O2317">
        <v>2352.3836999999999</v>
      </c>
      <c r="P2317">
        <v>90</v>
      </c>
      <c r="Q2317" t="s">
        <v>4960</v>
      </c>
    </row>
    <row r="2318" spans="1:17" x14ac:dyDescent="0.3">
      <c r="A2318" t="s">
        <v>4664</v>
      </c>
      <c r="B2318" t="str">
        <f>"000550"</f>
        <v>000550</v>
      </c>
      <c r="C2318" t="s">
        <v>4961</v>
      </c>
      <c r="D2318" t="s">
        <v>27</v>
      </c>
      <c r="F2318">
        <v>36.257599999999996</v>
      </c>
      <c r="G2318">
        <v>40.3673</v>
      </c>
      <c r="H2318">
        <v>48.403500000000001</v>
      </c>
      <c r="I2318">
        <v>52.875399999999999</v>
      </c>
      <c r="J2318">
        <v>42.865200000000002</v>
      </c>
      <c r="K2318">
        <v>51.217799999999997</v>
      </c>
      <c r="L2318">
        <v>48.926299999999998</v>
      </c>
      <c r="M2318">
        <v>42.969299999999997</v>
      </c>
      <c r="N2318">
        <v>44.2179</v>
      </c>
      <c r="O2318">
        <v>44.224200000000003</v>
      </c>
      <c r="P2318">
        <v>595</v>
      </c>
      <c r="Q2318" t="s">
        <v>4962</v>
      </c>
    </row>
    <row r="2319" spans="1:17" x14ac:dyDescent="0.3">
      <c r="A2319" t="s">
        <v>4664</v>
      </c>
      <c r="B2319" t="str">
        <f>"000551"</f>
        <v>000551</v>
      </c>
      <c r="C2319" t="s">
        <v>4963</v>
      </c>
      <c r="D2319" t="s">
        <v>1070</v>
      </c>
      <c r="F2319">
        <v>178.1011</v>
      </c>
      <c r="G2319">
        <v>195.696</v>
      </c>
      <c r="H2319">
        <v>172.27850000000001</v>
      </c>
      <c r="I2319">
        <v>190.98679999999999</v>
      </c>
      <c r="J2319">
        <v>211.33779999999999</v>
      </c>
      <c r="K2319">
        <v>206.0153</v>
      </c>
      <c r="L2319">
        <v>195.15809999999999</v>
      </c>
      <c r="M2319">
        <v>173.73599999999999</v>
      </c>
      <c r="N2319">
        <v>155.97280000000001</v>
      </c>
      <c r="O2319">
        <v>150.25960000000001</v>
      </c>
      <c r="P2319">
        <v>122</v>
      </c>
      <c r="Q2319" t="s">
        <v>4964</v>
      </c>
    </row>
    <row r="2320" spans="1:17" x14ac:dyDescent="0.3">
      <c r="A2320" t="s">
        <v>4664</v>
      </c>
      <c r="B2320" t="str">
        <f>"000552"</f>
        <v>000552</v>
      </c>
      <c r="C2320" t="s">
        <v>4965</v>
      </c>
      <c r="D2320" t="s">
        <v>292</v>
      </c>
      <c r="F2320">
        <v>29.410599999999999</v>
      </c>
      <c r="G2320">
        <v>58.036499999999997</v>
      </c>
      <c r="H2320">
        <v>65.290700000000001</v>
      </c>
      <c r="I2320">
        <v>61.391199999999998</v>
      </c>
      <c r="J2320">
        <v>50.193100000000001</v>
      </c>
      <c r="K2320">
        <v>73.711299999999994</v>
      </c>
      <c r="L2320">
        <v>117.9149</v>
      </c>
      <c r="M2320">
        <v>69.705600000000004</v>
      </c>
      <c r="N2320">
        <v>112.8347</v>
      </c>
      <c r="O2320">
        <v>64.279799999999994</v>
      </c>
      <c r="P2320">
        <v>263</v>
      </c>
      <c r="Q2320" t="s">
        <v>4966</v>
      </c>
    </row>
    <row r="2321" spans="1:17" x14ac:dyDescent="0.3">
      <c r="A2321" t="s">
        <v>4664</v>
      </c>
      <c r="B2321" t="str">
        <f>"000553"</f>
        <v>000553</v>
      </c>
      <c r="C2321" t="s">
        <v>4967</v>
      </c>
      <c r="D2321" t="s">
        <v>853</v>
      </c>
      <c r="F2321">
        <v>241.76400000000001</v>
      </c>
      <c r="G2321">
        <v>256.65809999999999</v>
      </c>
      <c r="H2321">
        <v>261.33339999999998</v>
      </c>
      <c r="I2321">
        <v>234.55459999999999</v>
      </c>
      <c r="J2321">
        <v>115.65349999999999</v>
      </c>
      <c r="K2321">
        <v>70.190799999999996</v>
      </c>
      <c r="L2321">
        <v>80.452600000000004</v>
      </c>
      <c r="M2321">
        <v>49.163600000000002</v>
      </c>
      <c r="N2321">
        <v>68.871200000000002</v>
      </c>
      <c r="O2321">
        <v>68.900899999999993</v>
      </c>
      <c r="P2321">
        <v>227</v>
      </c>
      <c r="Q2321" t="s">
        <v>4968</v>
      </c>
    </row>
    <row r="2322" spans="1:17" x14ac:dyDescent="0.3">
      <c r="A2322" t="s">
        <v>4664</v>
      </c>
      <c r="B2322" t="str">
        <f>"000554"</f>
        <v>000554</v>
      </c>
      <c r="C2322" t="s">
        <v>4969</v>
      </c>
      <c r="D2322" t="s">
        <v>584</v>
      </c>
      <c r="F2322">
        <v>43.026600000000002</v>
      </c>
      <c r="G2322">
        <v>36.53</v>
      </c>
      <c r="H2322">
        <v>33.121499999999997</v>
      </c>
      <c r="I2322">
        <v>23.668600000000001</v>
      </c>
      <c r="J2322">
        <v>18.067599999999999</v>
      </c>
      <c r="K2322">
        <v>13.752599999999999</v>
      </c>
      <c r="L2322">
        <v>12.9794</v>
      </c>
      <c r="M2322">
        <v>12.666</v>
      </c>
      <c r="N2322">
        <v>16.37</v>
      </c>
      <c r="O2322">
        <v>14.0274</v>
      </c>
      <c r="P2322">
        <v>112</v>
      </c>
      <c r="Q2322" t="s">
        <v>4970</v>
      </c>
    </row>
    <row r="2323" spans="1:17" x14ac:dyDescent="0.3">
      <c r="A2323" t="s">
        <v>4664</v>
      </c>
      <c r="B2323" t="str">
        <f>"000555"</f>
        <v>000555</v>
      </c>
      <c r="C2323" t="s">
        <v>4971</v>
      </c>
      <c r="D2323" t="s">
        <v>316</v>
      </c>
      <c r="F2323">
        <v>170.20570000000001</v>
      </c>
      <c r="G2323">
        <v>114.7621</v>
      </c>
      <c r="H2323">
        <v>133.63470000000001</v>
      </c>
      <c r="I2323">
        <v>127.35980000000001</v>
      </c>
      <c r="J2323">
        <v>112.27930000000001</v>
      </c>
      <c r="K2323">
        <v>87.015299999999996</v>
      </c>
      <c r="L2323">
        <v>73.344200000000001</v>
      </c>
      <c r="M2323">
        <v>72.124600000000001</v>
      </c>
      <c r="N2323">
        <v>0</v>
      </c>
      <c r="O2323">
        <v>0</v>
      </c>
      <c r="P2323">
        <v>374</v>
      </c>
      <c r="Q2323" t="s">
        <v>4972</v>
      </c>
    </row>
    <row r="2324" spans="1:17" x14ac:dyDescent="0.3">
      <c r="A2324" t="s">
        <v>4664</v>
      </c>
      <c r="B2324" t="str">
        <f>"000556"</f>
        <v>000556</v>
      </c>
      <c r="C2324" t="s">
        <v>4973</v>
      </c>
      <c r="K2324">
        <v>0</v>
      </c>
      <c r="N2324">
        <v>29.8535</v>
      </c>
      <c r="P2324">
        <v>4</v>
      </c>
      <c r="Q2324" t="s">
        <v>4974</v>
      </c>
    </row>
    <row r="2325" spans="1:17" x14ac:dyDescent="0.3">
      <c r="A2325" t="s">
        <v>4664</v>
      </c>
      <c r="B2325" t="str">
        <f>"000557"</f>
        <v>000557</v>
      </c>
      <c r="C2325" t="s">
        <v>4975</v>
      </c>
      <c r="D2325" t="s">
        <v>301</v>
      </c>
      <c r="F2325">
        <v>28.166399999999999</v>
      </c>
      <c r="G2325">
        <v>43.908999999999999</v>
      </c>
      <c r="H2325">
        <v>50.322099999999999</v>
      </c>
      <c r="I2325">
        <v>72.189899999999994</v>
      </c>
      <c r="J2325">
        <v>89.434799999999996</v>
      </c>
      <c r="K2325">
        <v>83.360500000000002</v>
      </c>
      <c r="L2325">
        <v>2100.4582999999998</v>
      </c>
      <c r="M2325">
        <v>4890.8687</v>
      </c>
      <c r="N2325">
        <v>2918.8762999999999</v>
      </c>
      <c r="P2325">
        <v>103</v>
      </c>
      <c r="Q2325" t="s">
        <v>4976</v>
      </c>
    </row>
    <row r="2326" spans="1:17" x14ac:dyDescent="0.3">
      <c r="A2326" t="s">
        <v>4664</v>
      </c>
      <c r="B2326" t="str">
        <f>"000558"</f>
        <v>000558</v>
      </c>
      <c r="C2326" t="s">
        <v>4977</v>
      </c>
      <c r="D2326" t="s">
        <v>104</v>
      </c>
      <c r="F2326">
        <v>135.3021</v>
      </c>
      <c r="G2326">
        <v>1298.5594000000001</v>
      </c>
      <c r="H2326">
        <v>1751.2488000000001</v>
      </c>
      <c r="I2326">
        <v>195.9402</v>
      </c>
      <c r="J2326">
        <v>225.75370000000001</v>
      </c>
      <c r="K2326">
        <v>122.8019</v>
      </c>
      <c r="L2326">
        <v>718.73239999999998</v>
      </c>
      <c r="M2326">
        <v>1066.9971</v>
      </c>
      <c r="N2326">
        <v>1395.8114</v>
      </c>
      <c r="O2326">
        <v>2752.8092000000001</v>
      </c>
      <c r="P2326">
        <v>118</v>
      </c>
      <c r="Q2326" t="s">
        <v>4978</v>
      </c>
    </row>
    <row r="2327" spans="1:17" x14ac:dyDescent="0.3">
      <c r="A2327" t="s">
        <v>4664</v>
      </c>
      <c r="B2327" t="str">
        <f>"000559"</f>
        <v>000559</v>
      </c>
      <c r="C2327" t="s">
        <v>4979</v>
      </c>
      <c r="D2327" t="s">
        <v>348</v>
      </c>
      <c r="F2327">
        <v>81.461600000000004</v>
      </c>
      <c r="G2327">
        <v>112.56319999999999</v>
      </c>
      <c r="H2327">
        <v>112.65940000000001</v>
      </c>
      <c r="I2327">
        <v>100.5277</v>
      </c>
      <c r="J2327">
        <v>92.565200000000004</v>
      </c>
      <c r="K2327">
        <v>88.525000000000006</v>
      </c>
      <c r="L2327">
        <v>105.06959999999999</v>
      </c>
      <c r="M2327">
        <v>106.3797</v>
      </c>
      <c r="N2327">
        <v>99.084199999999996</v>
      </c>
      <c r="O2327">
        <v>106.3227</v>
      </c>
      <c r="P2327">
        <v>414</v>
      </c>
      <c r="Q2327" t="s">
        <v>4980</v>
      </c>
    </row>
    <row r="2328" spans="1:17" x14ac:dyDescent="0.3">
      <c r="A2328" t="s">
        <v>4664</v>
      </c>
      <c r="B2328" t="str">
        <f>"000560"</f>
        <v>000560</v>
      </c>
      <c r="C2328" t="s">
        <v>4981</v>
      </c>
      <c r="D2328" t="s">
        <v>4982</v>
      </c>
      <c r="F2328">
        <v>29.553599999999999</v>
      </c>
      <c r="G2328">
        <v>36.515500000000003</v>
      </c>
      <c r="H2328">
        <v>34.558500000000002</v>
      </c>
      <c r="I2328">
        <v>38.766100000000002</v>
      </c>
      <c r="J2328">
        <v>536.8442</v>
      </c>
      <c r="K2328">
        <v>468.7242</v>
      </c>
      <c r="L2328">
        <v>701.49429999999995</v>
      </c>
      <c r="M2328">
        <v>743.27120000000002</v>
      </c>
      <c r="N2328">
        <v>580.70140000000004</v>
      </c>
      <c r="O2328">
        <v>689.42240000000004</v>
      </c>
      <c r="P2328">
        <v>206</v>
      </c>
      <c r="Q2328" t="s">
        <v>4983</v>
      </c>
    </row>
    <row r="2329" spans="1:17" x14ac:dyDescent="0.3">
      <c r="A2329" t="s">
        <v>4664</v>
      </c>
      <c r="B2329" t="str">
        <f>"000561"</f>
        <v>000561</v>
      </c>
      <c r="C2329" t="s">
        <v>4984</v>
      </c>
      <c r="D2329" t="s">
        <v>98</v>
      </c>
      <c r="F2329">
        <v>609.50609999999995</v>
      </c>
      <c r="G2329">
        <v>609.97329999999999</v>
      </c>
      <c r="H2329">
        <v>633.69780000000003</v>
      </c>
      <c r="I2329">
        <v>585.12810000000002</v>
      </c>
      <c r="J2329">
        <v>689.84649999999999</v>
      </c>
      <c r="K2329">
        <v>736.58410000000003</v>
      </c>
      <c r="L2329">
        <v>717.19320000000005</v>
      </c>
      <c r="M2329">
        <v>670.89940000000001</v>
      </c>
      <c r="N2329">
        <v>577.75819999999999</v>
      </c>
      <c r="O2329">
        <v>487.3304</v>
      </c>
      <c r="P2329">
        <v>134</v>
      </c>
      <c r="Q2329" t="s">
        <v>4985</v>
      </c>
    </row>
    <row r="2330" spans="1:17" x14ac:dyDescent="0.3">
      <c r="A2330" t="s">
        <v>4664</v>
      </c>
      <c r="B2330" t="str">
        <f>"000562"</f>
        <v>000562</v>
      </c>
      <c r="C2330" t="s">
        <v>4986</v>
      </c>
      <c r="P2330">
        <v>18</v>
      </c>
      <c r="Q2330" t="s">
        <v>4987</v>
      </c>
    </row>
    <row r="2331" spans="1:17" x14ac:dyDescent="0.3">
      <c r="A2331" t="s">
        <v>4664</v>
      </c>
      <c r="B2331" t="str">
        <f>"000563"</f>
        <v>000563</v>
      </c>
      <c r="C2331" t="s">
        <v>4988</v>
      </c>
      <c r="D2331" t="s">
        <v>1649</v>
      </c>
      <c r="P2331">
        <v>205</v>
      </c>
      <c r="Q2331" t="s">
        <v>4989</v>
      </c>
    </row>
    <row r="2332" spans="1:17" x14ac:dyDescent="0.3">
      <c r="A2332" t="s">
        <v>4664</v>
      </c>
      <c r="B2332" t="str">
        <f>"000564"</f>
        <v>000564</v>
      </c>
      <c r="C2332" t="s">
        <v>4990</v>
      </c>
      <c r="D2332" t="s">
        <v>633</v>
      </c>
      <c r="F2332">
        <v>2749.8346999999999</v>
      </c>
      <c r="G2332">
        <v>1800.3794</v>
      </c>
      <c r="H2332">
        <v>635.06899999999996</v>
      </c>
      <c r="I2332">
        <v>193.76419999999999</v>
      </c>
      <c r="J2332">
        <v>228.53210000000001</v>
      </c>
      <c r="K2332">
        <v>248.6645</v>
      </c>
      <c r="L2332">
        <v>26.142499999999998</v>
      </c>
      <c r="M2332">
        <v>30.311</v>
      </c>
      <c r="N2332">
        <v>28.018999999999998</v>
      </c>
      <c r="O2332">
        <v>33.122300000000003</v>
      </c>
      <c r="P2332">
        <v>187</v>
      </c>
      <c r="Q2332" t="s">
        <v>4991</v>
      </c>
    </row>
    <row r="2333" spans="1:17" x14ac:dyDescent="0.3">
      <c r="A2333" t="s">
        <v>4664</v>
      </c>
      <c r="B2333" t="str">
        <f>"000565"</f>
        <v>000565</v>
      </c>
      <c r="C2333" t="s">
        <v>4992</v>
      </c>
      <c r="D2333" t="s">
        <v>2570</v>
      </c>
      <c r="F2333">
        <v>150.98490000000001</v>
      </c>
      <c r="G2333">
        <v>191.5719</v>
      </c>
      <c r="H2333">
        <v>178.274</v>
      </c>
      <c r="I2333">
        <v>87.8673</v>
      </c>
      <c r="J2333">
        <v>12.2836</v>
      </c>
      <c r="K2333">
        <v>22.301400000000001</v>
      </c>
      <c r="L2333">
        <v>179.0308</v>
      </c>
      <c r="M2333">
        <v>156.66</v>
      </c>
      <c r="N2333">
        <v>141.75530000000001</v>
      </c>
      <c r="O2333">
        <v>141.5993</v>
      </c>
      <c r="P2333">
        <v>79</v>
      </c>
      <c r="Q2333" t="s">
        <v>4993</v>
      </c>
    </row>
    <row r="2334" spans="1:17" x14ac:dyDescent="0.3">
      <c r="A2334" t="s">
        <v>4664</v>
      </c>
      <c r="B2334" t="str">
        <f>"000566"</f>
        <v>000566</v>
      </c>
      <c r="C2334" t="s">
        <v>4994</v>
      </c>
      <c r="D2334" t="s">
        <v>143</v>
      </c>
      <c r="F2334">
        <v>117.77849999999999</v>
      </c>
      <c r="G2334">
        <v>199.3381</v>
      </c>
      <c r="H2334">
        <v>253.1113</v>
      </c>
      <c r="I2334">
        <v>177.84350000000001</v>
      </c>
      <c r="J2334">
        <v>213.23570000000001</v>
      </c>
      <c r="K2334">
        <v>207.49189999999999</v>
      </c>
      <c r="L2334">
        <v>180.63630000000001</v>
      </c>
      <c r="M2334">
        <v>158.14590000000001</v>
      </c>
      <c r="N2334">
        <v>243.09350000000001</v>
      </c>
      <c r="O2334">
        <v>299.39460000000003</v>
      </c>
      <c r="P2334">
        <v>195</v>
      </c>
      <c r="Q2334" t="s">
        <v>4995</v>
      </c>
    </row>
    <row r="2335" spans="1:17" x14ac:dyDescent="0.3">
      <c r="A2335" t="s">
        <v>4664</v>
      </c>
      <c r="B2335" t="str">
        <f>"000567"</f>
        <v>000567</v>
      </c>
      <c r="C2335" t="s">
        <v>4996</v>
      </c>
      <c r="D2335" t="s">
        <v>116</v>
      </c>
      <c r="K2335">
        <v>575.39449999999999</v>
      </c>
      <c r="L2335">
        <v>2800.2725999999998</v>
      </c>
      <c r="M2335">
        <v>77176.325599999996</v>
      </c>
      <c r="N2335">
        <v>58802.662799999998</v>
      </c>
      <c r="O2335">
        <v>3776.2514999999999</v>
      </c>
      <c r="P2335">
        <v>117</v>
      </c>
      <c r="Q2335" t="s">
        <v>4997</v>
      </c>
    </row>
    <row r="2336" spans="1:17" x14ac:dyDescent="0.3">
      <c r="A2336" t="s">
        <v>4664</v>
      </c>
      <c r="B2336" t="str">
        <f>"000568"</f>
        <v>000568</v>
      </c>
      <c r="C2336" t="s">
        <v>4998</v>
      </c>
      <c r="D2336" t="s">
        <v>458</v>
      </c>
      <c r="F2336">
        <v>1052.2856999999999</v>
      </c>
      <c r="G2336">
        <v>689.19470000000001</v>
      </c>
      <c r="H2336">
        <v>556.09559999999999</v>
      </c>
      <c r="I2336">
        <v>494.03649999999999</v>
      </c>
      <c r="J2336">
        <v>462.17899999999997</v>
      </c>
      <c r="K2336">
        <v>435.07749999999999</v>
      </c>
      <c r="L2336">
        <v>454.50319999999999</v>
      </c>
      <c r="M2336">
        <v>371.93509999999998</v>
      </c>
      <c r="N2336">
        <v>263.96589999999998</v>
      </c>
      <c r="O2336">
        <v>313.09320000000002</v>
      </c>
      <c r="P2336">
        <v>6440</v>
      </c>
      <c r="Q2336" t="s">
        <v>4999</v>
      </c>
    </row>
    <row r="2337" spans="1:17" x14ac:dyDescent="0.3">
      <c r="A2337" t="s">
        <v>4664</v>
      </c>
      <c r="B2337" t="str">
        <f>"000570"</f>
        <v>000570</v>
      </c>
      <c r="C2337" t="s">
        <v>5000</v>
      </c>
      <c r="D2337" t="s">
        <v>348</v>
      </c>
      <c r="F2337">
        <v>125.8886</v>
      </c>
      <c r="G2337">
        <v>117.0137</v>
      </c>
      <c r="H2337">
        <v>135.5025</v>
      </c>
      <c r="I2337">
        <v>119.6602</v>
      </c>
      <c r="J2337">
        <v>98.087699999999998</v>
      </c>
      <c r="K2337">
        <v>82.555700000000002</v>
      </c>
      <c r="L2337">
        <v>72.142399999999995</v>
      </c>
      <c r="M2337">
        <v>91.648799999999994</v>
      </c>
      <c r="N2337">
        <v>69.604600000000005</v>
      </c>
      <c r="O2337">
        <v>68</v>
      </c>
      <c r="P2337">
        <v>81</v>
      </c>
      <c r="Q2337" t="s">
        <v>5001</v>
      </c>
    </row>
    <row r="2338" spans="1:17" x14ac:dyDescent="0.3">
      <c r="A2338" t="s">
        <v>4664</v>
      </c>
      <c r="B2338" t="str">
        <f>"000571"</f>
        <v>000571</v>
      </c>
      <c r="C2338" t="s">
        <v>5002</v>
      </c>
      <c r="D2338" t="s">
        <v>292</v>
      </c>
      <c r="F2338">
        <v>31.022300000000001</v>
      </c>
      <c r="G2338">
        <v>36.397599999999997</v>
      </c>
      <c r="H2338">
        <v>53.382100000000001</v>
      </c>
      <c r="I2338">
        <v>60.207599999999999</v>
      </c>
      <c r="J2338">
        <v>72.918300000000002</v>
      </c>
      <c r="K2338">
        <v>141.57159999999999</v>
      </c>
      <c r="L2338">
        <v>145.60489999999999</v>
      </c>
      <c r="M2338">
        <v>116.7435</v>
      </c>
      <c r="N2338">
        <v>79.039900000000003</v>
      </c>
      <c r="O2338">
        <v>69.536799999999999</v>
      </c>
      <c r="P2338">
        <v>72</v>
      </c>
      <c r="Q2338" t="s">
        <v>5003</v>
      </c>
    </row>
    <row r="2339" spans="1:17" x14ac:dyDescent="0.3">
      <c r="A2339" t="s">
        <v>4664</v>
      </c>
      <c r="B2339" t="str">
        <f>"000572"</f>
        <v>000572</v>
      </c>
      <c r="C2339" t="s">
        <v>5004</v>
      </c>
      <c r="D2339" t="s">
        <v>247</v>
      </c>
      <c r="F2339">
        <v>231.45359999999999</v>
      </c>
      <c r="G2339">
        <v>121.1122</v>
      </c>
      <c r="H2339">
        <v>72.499799999999993</v>
      </c>
      <c r="I2339">
        <v>108.69329999999999</v>
      </c>
      <c r="J2339">
        <v>95.221199999999996</v>
      </c>
      <c r="K2339">
        <v>68.105999999999995</v>
      </c>
      <c r="L2339">
        <v>81.836399999999998</v>
      </c>
      <c r="M2339">
        <v>63.747</v>
      </c>
      <c r="N2339">
        <v>60.848399999999998</v>
      </c>
      <c r="O2339">
        <v>73.668700000000001</v>
      </c>
      <c r="P2339">
        <v>151</v>
      </c>
      <c r="Q2339" t="s">
        <v>5005</v>
      </c>
    </row>
    <row r="2340" spans="1:17" x14ac:dyDescent="0.3">
      <c r="A2340" t="s">
        <v>4664</v>
      </c>
      <c r="B2340" t="str">
        <f>"000573"</f>
        <v>000573</v>
      </c>
      <c r="C2340" t="s">
        <v>5006</v>
      </c>
      <c r="D2340" t="s">
        <v>104</v>
      </c>
      <c r="F2340">
        <v>556.75540000000001</v>
      </c>
      <c r="G2340">
        <v>1017.4999</v>
      </c>
      <c r="H2340">
        <v>915.69960000000003</v>
      </c>
      <c r="I2340">
        <v>2245.4852000000001</v>
      </c>
      <c r="J2340">
        <v>1390.9544000000001</v>
      </c>
      <c r="K2340">
        <v>1368.9236000000001</v>
      </c>
      <c r="L2340">
        <v>3164.9542999999999</v>
      </c>
      <c r="M2340">
        <v>1051.9276</v>
      </c>
      <c r="N2340">
        <v>916.11130000000003</v>
      </c>
      <c r="O2340">
        <v>1670.1851999999999</v>
      </c>
      <c r="P2340">
        <v>130</v>
      </c>
      <c r="Q2340" t="s">
        <v>5007</v>
      </c>
    </row>
    <row r="2341" spans="1:17" x14ac:dyDescent="0.3">
      <c r="A2341" t="s">
        <v>4664</v>
      </c>
      <c r="B2341" t="str">
        <f>"000576"</f>
        <v>000576</v>
      </c>
      <c r="C2341" t="s">
        <v>5008</v>
      </c>
      <c r="D2341" t="s">
        <v>428</v>
      </c>
      <c r="F2341">
        <v>115.8814</v>
      </c>
      <c r="G2341">
        <v>173.19069999999999</v>
      </c>
      <c r="H2341">
        <v>127.34650000000001</v>
      </c>
      <c r="I2341">
        <v>53.543100000000003</v>
      </c>
      <c r="J2341">
        <v>43.904899999999998</v>
      </c>
      <c r="K2341">
        <v>104.3173</v>
      </c>
      <c r="L2341">
        <v>90.289299999999997</v>
      </c>
      <c r="M2341">
        <v>27.8857</v>
      </c>
      <c r="N2341">
        <v>13.216799999999999</v>
      </c>
      <c r="O2341">
        <v>31.049600000000002</v>
      </c>
      <c r="P2341">
        <v>161</v>
      </c>
      <c r="Q2341" t="s">
        <v>5009</v>
      </c>
    </row>
    <row r="2342" spans="1:17" x14ac:dyDescent="0.3">
      <c r="A2342" t="s">
        <v>4664</v>
      </c>
      <c r="B2342" t="str">
        <f>"000578"</f>
        <v>000578</v>
      </c>
      <c r="C2342" t="s">
        <v>5010</v>
      </c>
      <c r="N2342">
        <v>310.52690000000001</v>
      </c>
      <c r="O2342">
        <v>301.90600000000001</v>
      </c>
      <c r="P2342">
        <v>12</v>
      </c>
      <c r="Q2342" t="s">
        <v>5011</v>
      </c>
    </row>
    <row r="2343" spans="1:17" x14ac:dyDescent="0.3">
      <c r="A2343" t="s">
        <v>4664</v>
      </c>
      <c r="B2343" t="str">
        <f>"000581"</f>
        <v>000581</v>
      </c>
      <c r="C2343" t="s">
        <v>5012</v>
      </c>
      <c r="D2343" t="s">
        <v>348</v>
      </c>
      <c r="F2343">
        <v>90.153099999999995</v>
      </c>
      <c r="G2343">
        <v>91.917699999999996</v>
      </c>
      <c r="H2343">
        <v>114.6332</v>
      </c>
      <c r="I2343">
        <v>92.442400000000006</v>
      </c>
      <c r="J2343">
        <v>93.183800000000005</v>
      </c>
      <c r="K2343">
        <v>86.427700000000002</v>
      </c>
      <c r="L2343">
        <v>103.182</v>
      </c>
      <c r="M2343">
        <v>96.897199999999998</v>
      </c>
      <c r="N2343">
        <v>87.636399999999995</v>
      </c>
      <c r="O2343">
        <v>109.1461</v>
      </c>
      <c r="P2343">
        <v>1711</v>
      </c>
      <c r="Q2343" t="s">
        <v>5013</v>
      </c>
    </row>
    <row r="2344" spans="1:17" x14ac:dyDescent="0.3">
      <c r="A2344" t="s">
        <v>4664</v>
      </c>
      <c r="B2344" t="str">
        <f>"000582"</f>
        <v>000582</v>
      </c>
      <c r="C2344" t="s">
        <v>5014</v>
      </c>
      <c r="D2344" t="s">
        <v>51</v>
      </c>
      <c r="F2344">
        <v>4.5743</v>
      </c>
      <c r="G2344">
        <v>4.6620999999999997</v>
      </c>
      <c r="H2344">
        <v>4.9817</v>
      </c>
      <c r="I2344">
        <v>15.190200000000001</v>
      </c>
      <c r="J2344">
        <v>18.107099999999999</v>
      </c>
      <c r="K2344">
        <v>22.808599999999998</v>
      </c>
      <c r="L2344">
        <v>27.8263</v>
      </c>
      <c r="M2344">
        <v>14.9</v>
      </c>
      <c r="N2344">
        <v>35.340600000000002</v>
      </c>
      <c r="O2344">
        <v>7.0858999999999996</v>
      </c>
      <c r="P2344">
        <v>227</v>
      </c>
      <c r="Q2344" t="s">
        <v>5015</v>
      </c>
    </row>
    <row r="2345" spans="1:17" x14ac:dyDescent="0.3">
      <c r="A2345" t="s">
        <v>4664</v>
      </c>
      <c r="B2345" t="str">
        <f>"000583"</f>
        <v>000583</v>
      </c>
      <c r="C2345" t="s">
        <v>5016</v>
      </c>
      <c r="P2345">
        <v>3</v>
      </c>
      <c r="Q2345" t="s">
        <v>5017</v>
      </c>
    </row>
    <row r="2346" spans="1:17" x14ac:dyDescent="0.3">
      <c r="A2346" t="s">
        <v>4664</v>
      </c>
      <c r="B2346" t="str">
        <f>"000584"</f>
        <v>000584</v>
      </c>
      <c r="C2346" t="s">
        <v>5018</v>
      </c>
      <c r="D2346" t="s">
        <v>2911</v>
      </c>
      <c r="F2346">
        <v>377.05380000000002</v>
      </c>
      <c r="G2346">
        <v>456.41680000000002</v>
      </c>
      <c r="H2346">
        <v>412.72070000000002</v>
      </c>
      <c r="I2346">
        <v>244.97049999999999</v>
      </c>
      <c r="J2346">
        <v>385.80560000000003</v>
      </c>
      <c r="K2346">
        <v>526.80449999999996</v>
      </c>
      <c r="L2346">
        <v>532.85019999999997</v>
      </c>
      <c r="M2346">
        <v>358.61430000000001</v>
      </c>
      <c r="N2346">
        <v>288.3972</v>
      </c>
      <c r="O2346">
        <v>552.75009999999997</v>
      </c>
      <c r="P2346">
        <v>134</v>
      </c>
      <c r="Q2346" t="s">
        <v>5019</v>
      </c>
    </row>
    <row r="2347" spans="1:17" x14ac:dyDescent="0.3">
      <c r="A2347" t="s">
        <v>4664</v>
      </c>
      <c r="B2347" t="str">
        <f>"000585"</f>
        <v>000585</v>
      </c>
      <c r="C2347" t="s">
        <v>5020</v>
      </c>
      <c r="D2347" t="s">
        <v>210</v>
      </c>
      <c r="F2347">
        <v>162.95580000000001</v>
      </c>
      <c r="G2347">
        <v>164.0196</v>
      </c>
      <c r="H2347">
        <v>107.4265</v>
      </c>
      <c r="I2347">
        <v>223.9051</v>
      </c>
      <c r="J2347">
        <v>338.70370000000003</v>
      </c>
      <c r="K2347">
        <v>247.14169999999999</v>
      </c>
      <c r="L2347">
        <v>192.81270000000001</v>
      </c>
      <c r="M2347">
        <v>163.01920000000001</v>
      </c>
      <c r="N2347">
        <v>242.23310000000001</v>
      </c>
      <c r="O2347">
        <v>203.68520000000001</v>
      </c>
      <c r="P2347">
        <v>73</v>
      </c>
      <c r="Q2347" t="s">
        <v>5021</v>
      </c>
    </row>
    <row r="2348" spans="1:17" x14ac:dyDescent="0.3">
      <c r="A2348" t="s">
        <v>4664</v>
      </c>
      <c r="B2348" t="str">
        <f>"000586"</f>
        <v>000586</v>
      </c>
      <c r="C2348" t="s">
        <v>5022</v>
      </c>
      <c r="D2348" t="s">
        <v>250</v>
      </c>
      <c r="F2348">
        <v>127.2636</v>
      </c>
      <c r="G2348">
        <v>223.12950000000001</v>
      </c>
      <c r="H2348">
        <v>189.4606</v>
      </c>
      <c r="I2348">
        <v>203.37219999999999</v>
      </c>
      <c r="J2348">
        <v>157.2808</v>
      </c>
      <c r="K2348">
        <v>133.87989999999999</v>
      </c>
      <c r="L2348">
        <v>119.185</v>
      </c>
      <c r="M2348">
        <v>115.79730000000001</v>
      </c>
      <c r="N2348">
        <v>129.3528</v>
      </c>
      <c r="O2348">
        <v>134.43799999999999</v>
      </c>
      <c r="P2348">
        <v>145</v>
      </c>
      <c r="Q2348" t="s">
        <v>5023</v>
      </c>
    </row>
    <row r="2349" spans="1:17" x14ac:dyDescent="0.3">
      <c r="A2349" t="s">
        <v>4664</v>
      </c>
      <c r="B2349" t="str">
        <f>"000587"</f>
        <v>000587</v>
      </c>
      <c r="C2349" t="s">
        <v>5024</v>
      </c>
      <c r="D2349" t="s">
        <v>1238</v>
      </c>
      <c r="F2349">
        <v>3979.5263</v>
      </c>
      <c r="G2349">
        <v>170.78659999999999</v>
      </c>
      <c r="H2349">
        <v>577.0009</v>
      </c>
      <c r="I2349">
        <v>110.44670000000001</v>
      </c>
      <c r="J2349">
        <v>95.507900000000006</v>
      </c>
      <c r="K2349">
        <v>86.222200000000001</v>
      </c>
      <c r="L2349">
        <v>52.556399999999996</v>
      </c>
      <c r="M2349">
        <v>53.030999999999999</v>
      </c>
      <c r="N2349">
        <v>68.733000000000004</v>
      </c>
      <c r="O2349">
        <v>85.833500000000001</v>
      </c>
      <c r="P2349">
        <v>114</v>
      </c>
      <c r="Q2349" t="s">
        <v>5025</v>
      </c>
    </row>
    <row r="2350" spans="1:17" x14ac:dyDescent="0.3">
      <c r="A2350" t="s">
        <v>4664</v>
      </c>
      <c r="B2350" t="str">
        <f>"000588"</f>
        <v>000588</v>
      </c>
      <c r="C2350" t="s">
        <v>5026</v>
      </c>
      <c r="K2350">
        <v>77.524199999999993</v>
      </c>
      <c r="L2350">
        <v>0</v>
      </c>
      <c r="P2350">
        <v>5</v>
      </c>
      <c r="Q2350" t="s">
        <v>5027</v>
      </c>
    </row>
    <row r="2351" spans="1:17" x14ac:dyDescent="0.3">
      <c r="A2351" t="s">
        <v>4664</v>
      </c>
      <c r="B2351" t="str">
        <f>"000589"</f>
        <v>000589</v>
      </c>
      <c r="C2351" t="s">
        <v>5028</v>
      </c>
      <c r="D2351" t="s">
        <v>422</v>
      </c>
      <c r="F2351">
        <v>54.119700000000002</v>
      </c>
      <c r="G2351">
        <v>57.781399999999998</v>
      </c>
      <c r="H2351">
        <v>64.786299999999997</v>
      </c>
      <c r="I2351">
        <v>55.509300000000003</v>
      </c>
      <c r="J2351">
        <v>65.224699999999999</v>
      </c>
      <c r="K2351">
        <v>98.805999999999997</v>
      </c>
      <c r="L2351">
        <v>162.87639999999999</v>
      </c>
      <c r="M2351">
        <v>121.58</v>
      </c>
      <c r="N2351">
        <v>93.382300000000001</v>
      </c>
      <c r="O2351">
        <v>91.856499999999997</v>
      </c>
      <c r="P2351">
        <v>208</v>
      </c>
      <c r="Q2351" t="s">
        <v>5029</v>
      </c>
    </row>
    <row r="2352" spans="1:17" x14ac:dyDescent="0.3">
      <c r="A2352" t="s">
        <v>4664</v>
      </c>
      <c r="B2352" t="str">
        <f>"000590"</f>
        <v>000590</v>
      </c>
      <c r="C2352" t="s">
        <v>5030</v>
      </c>
      <c r="D2352" t="s">
        <v>188</v>
      </c>
      <c r="F2352">
        <v>240.02199999999999</v>
      </c>
      <c r="G2352">
        <v>239.83349999999999</v>
      </c>
      <c r="H2352">
        <v>223.9545</v>
      </c>
      <c r="I2352">
        <v>367.57499999999999</v>
      </c>
      <c r="J2352">
        <v>267.9502</v>
      </c>
      <c r="K2352">
        <v>227.01830000000001</v>
      </c>
      <c r="L2352">
        <v>192.62459999999999</v>
      </c>
      <c r="M2352">
        <v>290.10169999999999</v>
      </c>
      <c r="N2352">
        <v>223.90379999999999</v>
      </c>
      <c r="O2352">
        <v>210.8115</v>
      </c>
      <c r="P2352">
        <v>148</v>
      </c>
      <c r="Q2352" t="s">
        <v>5031</v>
      </c>
    </row>
    <row r="2353" spans="1:17" x14ac:dyDescent="0.3">
      <c r="A2353" t="s">
        <v>4664</v>
      </c>
      <c r="B2353" t="str">
        <f>"000591"</f>
        <v>000591</v>
      </c>
      <c r="C2353" t="s">
        <v>5032</v>
      </c>
      <c r="D2353" t="s">
        <v>86</v>
      </c>
      <c r="F2353">
        <v>32.290999999999997</v>
      </c>
      <c r="G2353">
        <v>27.306100000000001</v>
      </c>
      <c r="H2353">
        <v>31.8582</v>
      </c>
      <c r="I2353">
        <v>50.400199999999998</v>
      </c>
      <c r="J2353">
        <v>31.510999999999999</v>
      </c>
      <c r="K2353">
        <v>55.804000000000002</v>
      </c>
      <c r="L2353">
        <v>74.602400000000003</v>
      </c>
      <c r="M2353">
        <v>76.060500000000005</v>
      </c>
      <c r="N2353">
        <v>82.330799999999996</v>
      </c>
      <c r="O2353">
        <v>74.5916</v>
      </c>
      <c r="P2353">
        <v>664</v>
      </c>
      <c r="Q2353" t="s">
        <v>5033</v>
      </c>
    </row>
    <row r="2354" spans="1:17" x14ac:dyDescent="0.3">
      <c r="A2354" t="s">
        <v>4664</v>
      </c>
      <c r="B2354" t="str">
        <f>"000592"</f>
        <v>000592</v>
      </c>
      <c r="C2354" t="s">
        <v>5034</v>
      </c>
      <c r="D2354" t="s">
        <v>603</v>
      </c>
      <c r="F2354">
        <v>838.46479999999997</v>
      </c>
      <c r="G2354">
        <v>1320.06</v>
      </c>
      <c r="H2354">
        <v>1259.0419999999999</v>
      </c>
      <c r="I2354">
        <v>1057.2784999999999</v>
      </c>
      <c r="J2354">
        <v>1145.2351000000001</v>
      </c>
      <c r="K2354">
        <v>904.58839999999998</v>
      </c>
      <c r="L2354">
        <v>739.10730000000001</v>
      </c>
      <c r="M2354">
        <v>678.31449999999995</v>
      </c>
      <c r="N2354">
        <v>549.37159999999994</v>
      </c>
      <c r="O2354">
        <v>540.91719999999998</v>
      </c>
      <c r="P2354">
        <v>150</v>
      </c>
      <c r="Q2354" t="s">
        <v>5035</v>
      </c>
    </row>
    <row r="2355" spans="1:17" x14ac:dyDescent="0.3">
      <c r="A2355" t="s">
        <v>4664</v>
      </c>
      <c r="B2355" t="str">
        <f>"000593"</f>
        <v>000593</v>
      </c>
      <c r="C2355" t="s">
        <v>5036</v>
      </c>
      <c r="D2355" t="s">
        <v>749</v>
      </c>
      <c r="F2355">
        <v>26.131599999999999</v>
      </c>
      <c r="G2355">
        <v>34.439700000000002</v>
      </c>
      <c r="H2355">
        <v>58.7363</v>
      </c>
      <c r="I2355">
        <v>74.063900000000004</v>
      </c>
      <c r="J2355">
        <v>105.5535</v>
      </c>
      <c r="K2355">
        <v>80.913899999999998</v>
      </c>
      <c r="L2355">
        <v>92.625500000000002</v>
      </c>
      <c r="M2355">
        <v>100.4053</v>
      </c>
      <c r="N2355">
        <v>85.238</v>
      </c>
      <c r="O2355">
        <v>78.016199999999998</v>
      </c>
      <c r="P2355">
        <v>80</v>
      </c>
      <c r="Q2355" t="s">
        <v>5037</v>
      </c>
    </row>
    <row r="2356" spans="1:17" x14ac:dyDescent="0.3">
      <c r="A2356" t="s">
        <v>4664</v>
      </c>
      <c r="B2356" t="str">
        <f>"000594"</f>
        <v>000594</v>
      </c>
      <c r="C2356" t="s">
        <v>5038</v>
      </c>
      <c r="K2356">
        <v>0.83150000000000002</v>
      </c>
      <c r="L2356">
        <v>100.9288</v>
      </c>
      <c r="M2356">
        <v>83.771799999999999</v>
      </c>
      <c r="N2356">
        <v>19.316299999999998</v>
      </c>
      <c r="O2356">
        <v>40.412999999999997</v>
      </c>
      <c r="P2356">
        <v>3</v>
      </c>
      <c r="Q2356" t="s">
        <v>5039</v>
      </c>
    </row>
    <row r="2357" spans="1:17" x14ac:dyDescent="0.3">
      <c r="A2357" t="s">
        <v>4664</v>
      </c>
      <c r="B2357" t="str">
        <f>"000595"</f>
        <v>000595</v>
      </c>
      <c r="C2357" t="s">
        <v>5040</v>
      </c>
      <c r="D2357" t="s">
        <v>274</v>
      </c>
      <c r="F2357">
        <v>533.42319999999995</v>
      </c>
      <c r="G2357">
        <v>522.26729999999998</v>
      </c>
      <c r="H2357">
        <v>511.7337</v>
      </c>
      <c r="I2357">
        <v>407.60300000000001</v>
      </c>
      <c r="J2357">
        <v>369.28750000000002</v>
      </c>
      <c r="K2357">
        <v>627.8229</v>
      </c>
      <c r="L2357">
        <v>335.05360000000002</v>
      </c>
      <c r="M2357">
        <v>277.14980000000003</v>
      </c>
      <c r="N2357">
        <v>298.46319999999997</v>
      </c>
      <c r="O2357">
        <v>348.64609999999999</v>
      </c>
      <c r="P2357">
        <v>98</v>
      </c>
      <c r="Q2357" t="s">
        <v>5041</v>
      </c>
    </row>
    <row r="2358" spans="1:17" x14ac:dyDescent="0.3">
      <c r="A2358" t="s">
        <v>4664</v>
      </c>
      <c r="B2358" t="str">
        <f>"000596"</f>
        <v>000596</v>
      </c>
      <c r="C2358" t="s">
        <v>5042</v>
      </c>
      <c r="D2358" t="s">
        <v>458</v>
      </c>
      <c r="F2358">
        <v>573.18179999999995</v>
      </c>
      <c r="G2358">
        <v>554.37909999999999</v>
      </c>
      <c r="H2358">
        <v>450.75850000000003</v>
      </c>
      <c r="I2358">
        <v>514.83150000000001</v>
      </c>
      <c r="J2358">
        <v>491.96429999999998</v>
      </c>
      <c r="K2358">
        <v>470.00549999999998</v>
      </c>
      <c r="L2358">
        <v>375.66809999999998</v>
      </c>
      <c r="M2358">
        <v>370.36919999999998</v>
      </c>
      <c r="N2358">
        <v>296.2319</v>
      </c>
      <c r="O2358">
        <v>241.9203</v>
      </c>
      <c r="P2358">
        <v>53678</v>
      </c>
      <c r="Q2358" t="s">
        <v>5043</v>
      </c>
    </row>
    <row r="2359" spans="1:17" x14ac:dyDescent="0.3">
      <c r="A2359" t="s">
        <v>4664</v>
      </c>
      <c r="B2359" t="str">
        <f>"000597"</f>
        <v>000597</v>
      </c>
      <c r="C2359" t="s">
        <v>5044</v>
      </c>
      <c r="D2359" t="s">
        <v>143</v>
      </c>
      <c r="F2359">
        <v>108.78959999999999</v>
      </c>
      <c r="G2359">
        <v>140.1371</v>
      </c>
      <c r="H2359">
        <v>124.5625</v>
      </c>
      <c r="I2359">
        <v>152.94749999999999</v>
      </c>
      <c r="J2359">
        <v>142.59229999999999</v>
      </c>
      <c r="K2359">
        <v>123.36060000000001</v>
      </c>
      <c r="L2359">
        <v>153.99529999999999</v>
      </c>
      <c r="M2359">
        <v>163.9682</v>
      </c>
      <c r="N2359">
        <v>154.52619999999999</v>
      </c>
      <c r="O2359">
        <v>128.70609999999999</v>
      </c>
      <c r="P2359">
        <v>131</v>
      </c>
      <c r="Q2359" t="s">
        <v>5045</v>
      </c>
    </row>
    <row r="2360" spans="1:17" x14ac:dyDescent="0.3">
      <c r="A2360" t="s">
        <v>4664</v>
      </c>
      <c r="B2360" t="str">
        <f>"000598"</f>
        <v>000598</v>
      </c>
      <c r="C2360" t="s">
        <v>5046</v>
      </c>
      <c r="D2360" t="s">
        <v>33</v>
      </c>
      <c r="F2360">
        <v>51.063400000000001</v>
      </c>
      <c r="G2360">
        <v>97.195599999999999</v>
      </c>
      <c r="H2360">
        <v>123.52070000000001</v>
      </c>
      <c r="I2360">
        <v>90.491399999999999</v>
      </c>
      <c r="J2360">
        <v>70.1267</v>
      </c>
      <c r="K2360">
        <v>55.481000000000002</v>
      </c>
      <c r="L2360">
        <v>43.522799999999997</v>
      </c>
      <c r="M2360">
        <v>69.773200000000003</v>
      </c>
      <c r="N2360">
        <v>47.641199999999998</v>
      </c>
      <c r="O2360">
        <v>60.111499999999999</v>
      </c>
      <c r="P2360">
        <v>444</v>
      </c>
      <c r="Q2360" t="s">
        <v>5047</v>
      </c>
    </row>
    <row r="2361" spans="1:17" x14ac:dyDescent="0.3">
      <c r="A2361" t="s">
        <v>4664</v>
      </c>
      <c r="B2361" t="str">
        <f>"000599"</f>
        <v>000599</v>
      </c>
      <c r="C2361" t="s">
        <v>5048</v>
      </c>
      <c r="D2361" t="s">
        <v>422</v>
      </c>
      <c r="F2361">
        <v>137.19900000000001</v>
      </c>
      <c r="G2361">
        <v>132.60230000000001</v>
      </c>
      <c r="H2361">
        <v>181.92920000000001</v>
      </c>
      <c r="I2361">
        <v>218.22040000000001</v>
      </c>
      <c r="J2361">
        <v>164.9205</v>
      </c>
      <c r="K2361">
        <v>105.1347</v>
      </c>
      <c r="L2361">
        <v>148.3408</v>
      </c>
      <c r="M2361">
        <v>96.055099999999996</v>
      </c>
      <c r="N2361">
        <v>90.642899999999997</v>
      </c>
      <c r="O2361">
        <v>106.02</v>
      </c>
      <c r="P2361">
        <v>119</v>
      </c>
      <c r="Q2361" t="s">
        <v>5049</v>
      </c>
    </row>
    <row r="2362" spans="1:17" x14ac:dyDescent="0.3">
      <c r="A2362" t="s">
        <v>4664</v>
      </c>
      <c r="B2362" t="str">
        <f>"000600"</f>
        <v>000600</v>
      </c>
      <c r="C2362" t="s">
        <v>5050</v>
      </c>
      <c r="D2362" t="s">
        <v>41</v>
      </c>
      <c r="F2362">
        <v>20.765799999999999</v>
      </c>
      <c r="G2362">
        <v>22.207899999999999</v>
      </c>
      <c r="H2362">
        <v>23.224399999999999</v>
      </c>
      <c r="I2362">
        <v>14.339499999999999</v>
      </c>
      <c r="J2362">
        <v>26.461099999999998</v>
      </c>
      <c r="K2362">
        <v>22.1372</v>
      </c>
      <c r="L2362">
        <v>23.9651</v>
      </c>
      <c r="M2362">
        <v>22.130700000000001</v>
      </c>
      <c r="N2362">
        <v>21.0748</v>
      </c>
      <c r="O2362">
        <v>31.344999999999999</v>
      </c>
      <c r="P2362">
        <v>312</v>
      </c>
      <c r="Q2362" t="s">
        <v>5051</v>
      </c>
    </row>
    <row r="2363" spans="1:17" x14ac:dyDescent="0.3">
      <c r="A2363" t="s">
        <v>4664</v>
      </c>
      <c r="B2363" t="str">
        <f>"000601"</f>
        <v>000601</v>
      </c>
      <c r="C2363" t="s">
        <v>5052</v>
      </c>
      <c r="D2363" t="s">
        <v>66</v>
      </c>
      <c r="F2363">
        <v>80.249300000000005</v>
      </c>
      <c r="G2363">
        <v>60.467199999999998</v>
      </c>
      <c r="H2363">
        <v>50.306199999999997</v>
      </c>
      <c r="I2363">
        <v>51.3215</v>
      </c>
      <c r="J2363">
        <v>58.180599999999998</v>
      </c>
      <c r="K2363">
        <v>65.822599999999994</v>
      </c>
      <c r="L2363">
        <v>77.259299999999996</v>
      </c>
      <c r="M2363">
        <v>70.083399999999997</v>
      </c>
      <c r="N2363">
        <v>98.892799999999994</v>
      </c>
      <c r="O2363">
        <v>85.075800000000001</v>
      </c>
      <c r="P2363">
        <v>215</v>
      </c>
      <c r="Q2363" t="s">
        <v>5053</v>
      </c>
    </row>
    <row r="2364" spans="1:17" x14ac:dyDescent="0.3">
      <c r="A2364" t="s">
        <v>4664</v>
      </c>
      <c r="B2364" t="str">
        <f>"000602"</f>
        <v>000602</v>
      </c>
      <c r="C2364" t="s">
        <v>5054</v>
      </c>
      <c r="O2364">
        <v>67.6935</v>
      </c>
      <c r="P2364">
        <v>5</v>
      </c>
      <c r="Q2364" t="s">
        <v>5055</v>
      </c>
    </row>
    <row r="2365" spans="1:17" x14ac:dyDescent="0.3">
      <c r="A2365" t="s">
        <v>4664</v>
      </c>
      <c r="B2365" t="str">
        <f>"000603"</f>
        <v>000603</v>
      </c>
      <c r="C2365" t="s">
        <v>5056</v>
      </c>
      <c r="D2365" t="s">
        <v>744</v>
      </c>
      <c r="F2365">
        <v>175.5813</v>
      </c>
      <c r="G2365">
        <v>90.784800000000004</v>
      </c>
      <c r="H2365">
        <v>48.576700000000002</v>
      </c>
      <c r="I2365">
        <v>24.404399999999999</v>
      </c>
      <c r="J2365">
        <v>22.692900000000002</v>
      </c>
      <c r="K2365">
        <v>73.583399999999997</v>
      </c>
      <c r="L2365">
        <v>133.208</v>
      </c>
      <c r="M2365">
        <v>198.32669999999999</v>
      </c>
      <c r="N2365">
        <v>157.1884</v>
      </c>
      <c r="O2365">
        <v>98.575500000000005</v>
      </c>
      <c r="P2365">
        <v>351</v>
      </c>
      <c r="Q2365" t="s">
        <v>5057</v>
      </c>
    </row>
    <row r="2366" spans="1:17" x14ac:dyDescent="0.3">
      <c r="A2366" t="s">
        <v>4664</v>
      </c>
      <c r="B2366" t="str">
        <f>"000605"</f>
        <v>000605</v>
      </c>
      <c r="C2366" t="s">
        <v>5058</v>
      </c>
      <c r="D2366" t="s">
        <v>33</v>
      </c>
      <c r="F2366">
        <v>55.790599999999998</v>
      </c>
      <c r="G2366">
        <v>227.03110000000001</v>
      </c>
      <c r="H2366">
        <v>421.21960000000001</v>
      </c>
      <c r="I2366">
        <v>238.494</v>
      </c>
      <c r="J2366">
        <v>38.9026</v>
      </c>
      <c r="K2366">
        <v>30.767700000000001</v>
      </c>
      <c r="L2366">
        <v>29.053899999999999</v>
      </c>
      <c r="M2366">
        <v>8.9953000000000003</v>
      </c>
      <c r="N2366">
        <v>209.29040000000001</v>
      </c>
      <c r="O2366">
        <v>268.72660000000002</v>
      </c>
      <c r="P2366">
        <v>85</v>
      </c>
      <c r="Q2366" t="s">
        <v>5059</v>
      </c>
    </row>
    <row r="2367" spans="1:17" x14ac:dyDescent="0.3">
      <c r="A2367" t="s">
        <v>4664</v>
      </c>
      <c r="B2367" t="str">
        <f>"000606"</f>
        <v>000606</v>
      </c>
      <c r="C2367" t="s">
        <v>5060</v>
      </c>
      <c r="D2367" t="s">
        <v>316</v>
      </c>
      <c r="F2367">
        <v>1.4E-3</v>
      </c>
      <c r="G2367">
        <v>4.0000000000000002E-4</v>
      </c>
      <c r="H2367">
        <v>2.1000000000000001E-2</v>
      </c>
      <c r="I2367">
        <v>1.1678999999999999</v>
      </c>
      <c r="J2367">
        <v>161.7886</v>
      </c>
      <c r="K2367">
        <v>176.30410000000001</v>
      </c>
      <c r="L2367">
        <v>185.46469999999999</v>
      </c>
      <c r="M2367">
        <v>274.27890000000002</v>
      </c>
      <c r="N2367">
        <v>258.22480000000002</v>
      </c>
      <c r="O2367">
        <v>216.06989999999999</v>
      </c>
      <c r="P2367">
        <v>99</v>
      </c>
      <c r="Q2367" t="s">
        <v>5061</v>
      </c>
    </row>
    <row r="2368" spans="1:17" x14ac:dyDescent="0.3">
      <c r="A2368" t="s">
        <v>4664</v>
      </c>
      <c r="B2368" t="str">
        <f>"000607"</f>
        <v>000607</v>
      </c>
      <c r="C2368" t="s">
        <v>5062</v>
      </c>
      <c r="D2368" t="s">
        <v>5063</v>
      </c>
      <c r="F2368">
        <v>8.8234999999999992</v>
      </c>
      <c r="G2368">
        <v>11.568</v>
      </c>
      <c r="H2368">
        <v>60.03</v>
      </c>
      <c r="I2368">
        <v>17.037099999999999</v>
      </c>
      <c r="J2368">
        <v>14.2758</v>
      </c>
      <c r="K2368">
        <v>19.998200000000001</v>
      </c>
      <c r="L2368">
        <v>17.188400000000001</v>
      </c>
      <c r="M2368">
        <v>111.7141</v>
      </c>
      <c r="N2368">
        <v>75.152500000000003</v>
      </c>
      <c r="O2368">
        <v>90.186300000000003</v>
      </c>
      <c r="P2368">
        <v>109</v>
      </c>
      <c r="Q2368" t="s">
        <v>5064</v>
      </c>
    </row>
    <row r="2369" spans="1:17" x14ac:dyDescent="0.3">
      <c r="A2369" t="s">
        <v>4664</v>
      </c>
      <c r="B2369" t="str">
        <f>"000608"</f>
        <v>000608</v>
      </c>
      <c r="C2369" t="s">
        <v>5065</v>
      </c>
      <c r="D2369" t="s">
        <v>30</v>
      </c>
      <c r="F2369">
        <v>216.28190000000001</v>
      </c>
      <c r="G2369">
        <v>31637.514500000001</v>
      </c>
      <c r="H2369">
        <v>14937.9336</v>
      </c>
      <c r="I2369">
        <v>4254.1873999999998</v>
      </c>
      <c r="J2369">
        <v>2900.0639999999999</v>
      </c>
      <c r="K2369">
        <v>5675.8338000000003</v>
      </c>
      <c r="L2369">
        <v>7008.8437999999996</v>
      </c>
      <c r="M2369">
        <v>3810.1098000000002</v>
      </c>
      <c r="N2369">
        <v>-42543.870799999997</v>
      </c>
      <c r="O2369">
        <v>9319.1592999999993</v>
      </c>
      <c r="P2369">
        <v>102</v>
      </c>
      <c r="Q2369" t="s">
        <v>5066</v>
      </c>
    </row>
    <row r="2370" spans="1:17" x14ac:dyDescent="0.3">
      <c r="A2370" t="s">
        <v>4664</v>
      </c>
      <c r="B2370" t="str">
        <f>"000609"</f>
        <v>000609</v>
      </c>
      <c r="C2370" t="s">
        <v>5067</v>
      </c>
      <c r="D2370" t="s">
        <v>104</v>
      </c>
      <c r="F2370">
        <v>31840.497299999999</v>
      </c>
      <c r="G2370">
        <v>20798.131399999998</v>
      </c>
      <c r="H2370">
        <v>60010.362699999998</v>
      </c>
      <c r="I2370">
        <v>29119.123800000001</v>
      </c>
      <c r="J2370">
        <v>871.77660000000003</v>
      </c>
      <c r="K2370">
        <v>44196.2327</v>
      </c>
      <c r="L2370">
        <v>5250.6027000000004</v>
      </c>
      <c r="M2370">
        <v>27869.958299999998</v>
      </c>
      <c r="N2370">
        <v>43041.530400000003</v>
      </c>
      <c r="O2370">
        <v>21069.579099999999</v>
      </c>
      <c r="P2370">
        <v>95</v>
      </c>
      <c r="Q2370" t="s">
        <v>5068</v>
      </c>
    </row>
    <row r="2371" spans="1:17" x14ac:dyDescent="0.3">
      <c r="A2371" t="s">
        <v>4664</v>
      </c>
      <c r="B2371" t="str">
        <f>"000610"</f>
        <v>000610</v>
      </c>
      <c r="C2371" t="s">
        <v>5069</v>
      </c>
      <c r="D2371" t="s">
        <v>590</v>
      </c>
      <c r="F2371">
        <v>97.423199999999994</v>
      </c>
      <c r="G2371">
        <v>87.454499999999996</v>
      </c>
      <c r="H2371">
        <v>0.71360000000000001</v>
      </c>
      <c r="I2371">
        <v>222.5838</v>
      </c>
      <c r="J2371">
        <v>215.12119999999999</v>
      </c>
      <c r="K2371">
        <v>107.51220000000001</v>
      </c>
      <c r="L2371">
        <v>41.4193</v>
      </c>
      <c r="M2371">
        <v>3.5512999999999999</v>
      </c>
      <c r="N2371">
        <v>4.2069000000000001</v>
      </c>
      <c r="O2371">
        <v>28.651199999999999</v>
      </c>
      <c r="P2371">
        <v>152</v>
      </c>
      <c r="Q2371" t="s">
        <v>5070</v>
      </c>
    </row>
    <row r="2372" spans="1:17" x14ac:dyDescent="0.3">
      <c r="A2372" t="s">
        <v>4664</v>
      </c>
      <c r="B2372" t="str">
        <f>"000611"</f>
        <v>000611</v>
      </c>
      <c r="C2372" t="s">
        <v>5071</v>
      </c>
      <c r="D2372" t="s">
        <v>292</v>
      </c>
      <c r="F2372">
        <v>53.391300000000001</v>
      </c>
      <c r="G2372">
        <v>294.97649999999999</v>
      </c>
      <c r="H2372">
        <v>18.183599999999998</v>
      </c>
      <c r="I2372">
        <v>137.03389999999999</v>
      </c>
      <c r="J2372">
        <v>131.87639999999999</v>
      </c>
      <c r="K2372">
        <v>184.50190000000001</v>
      </c>
      <c r="L2372">
        <v>143.01580000000001</v>
      </c>
      <c r="M2372">
        <v>171.0147</v>
      </c>
      <c r="N2372">
        <v>50.239100000000001</v>
      </c>
      <c r="O2372">
        <v>449.02690000000001</v>
      </c>
      <c r="P2372">
        <v>68</v>
      </c>
      <c r="Q2372" t="s">
        <v>5072</v>
      </c>
    </row>
    <row r="2373" spans="1:17" x14ac:dyDescent="0.3">
      <c r="A2373" t="s">
        <v>4664</v>
      </c>
      <c r="B2373" t="str">
        <f>"000612"</f>
        <v>000612</v>
      </c>
      <c r="C2373" t="s">
        <v>5073</v>
      </c>
      <c r="D2373" t="s">
        <v>504</v>
      </c>
      <c r="F2373">
        <v>70.942499999999995</v>
      </c>
      <c r="G2373">
        <v>54.891300000000001</v>
      </c>
      <c r="H2373">
        <v>45.8855</v>
      </c>
      <c r="I2373">
        <v>62.512799999999999</v>
      </c>
      <c r="J2373">
        <v>63.4666</v>
      </c>
      <c r="K2373">
        <v>54.018599999999999</v>
      </c>
      <c r="L2373">
        <v>42.176000000000002</v>
      </c>
      <c r="M2373">
        <v>43.254100000000001</v>
      </c>
      <c r="N2373">
        <v>40.235799999999998</v>
      </c>
      <c r="O2373">
        <v>38.130299999999998</v>
      </c>
      <c r="P2373">
        <v>199</v>
      </c>
      <c r="Q2373" t="s">
        <v>5074</v>
      </c>
    </row>
    <row r="2374" spans="1:17" x14ac:dyDescent="0.3">
      <c r="A2374" t="s">
        <v>4664</v>
      </c>
      <c r="B2374" t="str">
        <f>"000613"</f>
        <v>000613</v>
      </c>
      <c r="C2374" t="s">
        <v>5075</v>
      </c>
      <c r="D2374" t="s">
        <v>590</v>
      </c>
      <c r="F2374">
        <v>27.1935</v>
      </c>
      <c r="G2374">
        <v>10.9122</v>
      </c>
      <c r="H2374">
        <v>8.1018000000000008</v>
      </c>
      <c r="I2374">
        <v>9.8966999999999992</v>
      </c>
      <c r="J2374">
        <v>10.8249</v>
      </c>
      <c r="K2374">
        <v>99.201899999999995</v>
      </c>
      <c r="L2374">
        <v>264.80829999999997</v>
      </c>
      <c r="M2374">
        <v>1376.8761</v>
      </c>
      <c r="N2374">
        <v>16818.554400000001</v>
      </c>
      <c r="O2374">
        <v>57.758699999999997</v>
      </c>
      <c r="P2374">
        <v>100</v>
      </c>
      <c r="Q2374" t="s">
        <v>5076</v>
      </c>
    </row>
    <row r="2375" spans="1:17" x14ac:dyDescent="0.3">
      <c r="A2375" t="s">
        <v>4664</v>
      </c>
      <c r="B2375" t="str">
        <f>"000615"</f>
        <v>000615</v>
      </c>
      <c r="C2375" t="s">
        <v>5077</v>
      </c>
      <c r="D2375" t="s">
        <v>5078</v>
      </c>
      <c r="F2375">
        <v>944.29049999999995</v>
      </c>
      <c r="G2375">
        <v>2067.7438000000002</v>
      </c>
      <c r="H2375">
        <v>2337.3463000000002</v>
      </c>
      <c r="I2375">
        <v>1841.7798</v>
      </c>
      <c r="J2375">
        <v>2682.9083000000001</v>
      </c>
      <c r="K2375">
        <v>2531.4753999999998</v>
      </c>
      <c r="L2375">
        <v>524.20920000000001</v>
      </c>
      <c r="M2375">
        <v>90.109399999999994</v>
      </c>
      <c r="N2375">
        <v>415.66379999999998</v>
      </c>
      <c r="O2375">
        <v>235.34819999999999</v>
      </c>
      <c r="P2375">
        <v>188</v>
      </c>
      <c r="Q2375" t="s">
        <v>5079</v>
      </c>
    </row>
    <row r="2376" spans="1:17" x14ac:dyDescent="0.3">
      <c r="A2376" t="s">
        <v>4664</v>
      </c>
      <c r="B2376" t="str">
        <f>"000616"</f>
        <v>000616</v>
      </c>
      <c r="C2376" t="s">
        <v>5080</v>
      </c>
      <c r="D2376" t="s">
        <v>104</v>
      </c>
      <c r="F2376">
        <v>895.90430000000003</v>
      </c>
      <c r="G2376">
        <v>14424.614</v>
      </c>
      <c r="H2376">
        <v>3589.5455999999999</v>
      </c>
      <c r="I2376">
        <v>6950.3460999999998</v>
      </c>
      <c r="J2376">
        <v>13509.640100000001</v>
      </c>
      <c r="K2376">
        <v>8230.9189000000006</v>
      </c>
      <c r="L2376">
        <v>5100.1662999999999</v>
      </c>
      <c r="M2376">
        <v>3178.7420999999999</v>
      </c>
      <c r="N2376">
        <v>2276.4348</v>
      </c>
      <c r="O2376">
        <v>2310.1514000000002</v>
      </c>
      <c r="P2376">
        <v>140</v>
      </c>
      <c r="Q2376" t="s">
        <v>5081</v>
      </c>
    </row>
    <row r="2377" spans="1:17" x14ac:dyDescent="0.3">
      <c r="A2377" t="s">
        <v>4664</v>
      </c>
      <c r="B2377" t="str">
        <f>"000617"</f>
        <v>000617</v>
      </c>
      <c r="C2377" t="s">
        <v>5082</v>
      </c>
      <c r="D2377" t="s">
        <v>140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478.97469999999998</v>
      </c>
      <c r="L2377">
        <v>279.47329999999999</v>
      </c>
      <c r="M2377">
        <v>279.87290000000002</v>
      </c>
      <c r="N2377">
        <v>208.16409999999999</v>
      </c>
      <c r="O2377">
        <v>267.48270000000002</v>
      </c>
      <c r="P2377">
        <v>234</v>
      </c>
      <c r="Q2377" t="s">
        <v>5083</v>
      </c>
    </row>
    <row r="2378" spans="1:17" x14ac:dyDescent="0.3">
      <c r="A2378" t="s">
        <v>4664</v>
      </c>
      <c r="B2378" t="str">
        <f>"000619"</f>
        <v>000619</v>
      </c>
      <c r="C2378" t="s">
        <v>5084</v>
      </c>
      <c r="D2378" t="s">
        <v>722</v>
      </c>
      <c r="F2378">
        <v>62.222000000000001</v>
      </c>
      <c r="G2378">
        <v>70.111199999999997</v>
      </c>
      <c r="H2378">
        <v>78.365600000000001</v>
      </c>
      <c r="I2378">
        <v>90.004099999999994</v>
      </c>
      <c r="J2378">
        <v>78.817099999999996</v>
      </c>
      <c r="K2378">
        <v>75.564400000000006</v>
      </c>
      <c r="L2378">
        <v>87.167299999999997</v>
      </c>
      <c r="M2378">
        <v>91.157300000000006</v>
      </c>
      <c r="N2378">
        <v>82.774299999999997</v>
      </c>
      <c r="O2378">
        <v>84.4495</v>
      </c>
      <c r="P2378">
        <v>98</v>
      </c>
      <c r="Q2378" t="s">
        <v>5085</v>
      </c>
    </row>
    <row r="2379" spans="1:17" x14ac:dyDescent="0.3">
      <c r="A2379" t="s">
        <v>4664</v>
      </c>
      <c r="B2379" t="str">
        <f>"000620"</f>
        <v>000620</v>
      </c>
      <c r="C2379" t="s">
        <v>5086</v>
      </c>
      <c r="D2379" t="s">
        <v>104</v>
      </c>
      <c r="F2379">
        <v>2404.8438000000001</v>
      </c>
      <c r="G2379">
        <v>2948.4459999999999</v>
      </c>
      <c r="H2379">
        <v>2237.7881000000002</v>
      </c>
      <c r="I2379">
        <v>2189.4175</v>
      </c>
      <c r="J2379">
        <v>3115.3420999999998</v>
      </c>
      <c r="K2379">
        <v>3359.9292</v>
      </c>
      <c r="L2379">
        <v>3937.8670000000002</v>
      </c>
      <c r="M2379">
        <v>4026.0216</v>
      </c>
      <c r="N2379">
        <v>3270.8141999999998</v>
      </c>
      <c r="O2379">
        <v>2223.6345000000001</v>
      </c>
      <c r="P2379">
        <v>298</v>
      </c>
      <c r="Q2379" t="s">
        <v>5087</v>
      </c>
    </row>
    <row r="2380" spans="1:17" x14ac:dyDescent="0.3">
      <c r="A2380" t="s">
        <v>4664</v>
      </c>
      <c r="B2380" t="str">
        <f>"000622"</f>
        <v>000622</v>
      </c>
      <c r="C2380" t="s">
        <v>5088</v>
      </c>
      <c r="D2380" t="s">
        <v>110</v>
      </c>
      <c r="F2380">
        <v>16.266400000000001</v>
      </c>
      <c r="G2380">
        <v>20.011900000000001</v>
      </c>
      <c r="H2380">
        <v>18.256699999999999</v>
      </c>
      <c r="I2380">
        <v>249.19720000000001</v>
      </c>
      <c r="J2380">
        <v>276.08960000000002</v>
      </c>
      <c r="K2380">
        <v>277.89319999999998</v>
      </c>
      <c r="L2380">
        <v>196.78790000000001</v>
      </c>
      <c r="M2380">
        <v>318.42419999999998</v>
      </c>
      <c r="N2380">
        <v>187.20849999999999</v>
      </c>
      <c r="O2380">
        <v>166.33709999999999</v>
      </c>
      <c r="P2380">
        <v>101</v>
      </c>
      <c r="Q2380" t="s">
        <v>5089</v>
      </c>
    </row>
    <row r="2381" spans="1:17" x14ac:dyDescent="0.3">
      <c r="A2381" t="s">
        <v>4664</v>
      </c>
      <c r="B2381" t="str">
        <f>"000623"</f>
        <v>000623</v>
      </c>
      <c r="C2381" t="s">
        <v>5090</v>
      </c>
      <c r="D2381" t="s">
        <v>143</v>
      </c>
      <c r="F2381">
        <v>278.86130000000003</v>
      </c>
      <c r="G2381">
        <v>325.44200000000001</v>
      </c>
      <c r="H2381">
        <v>292.18720000000002</v>
      </c>
      <c r="I2381">
        <v>287.13470000000001</v>
      </c>
      <c r="J2381">
        <v>299.04059999999998</v>
      </c>
      <c r="K2381">
        <v>330.76650000000001</v>
      </c>
      <c r="L2381">
        <v>312.71719999999999</v>
      </c>
      <c r="M2381">
        <v>272.37959999999998</v>
      </c>
      <c r="N2381">
        <v>228.08680000000001</v>
      </c>
      <c r="O2381">
        <v>270.51060000000001</v>
      </c>
      <c r="P2381">
        <v>671</v>
      </c>
      <c r="Q2381" t="s">
        <v>5091</v>
      </c>
    </row>
    <row r="2382" spans="1:17" x14ac:dyDescent="0.3">
      <c r="A2382" t="s">
        <v>4664</v>
      </c>
      <c r="B2382" t="str">
        <f>"000625"</f>
        <v>000625</v>
      </c>
      <c r="C2382" t="s">
        <v>5092</v>
      </c>
      <c r="D2382" t="s">
        <v>247</v>
      </c>
      <c r="F2382">
        <v>31.017399999999999</v>
      </c>
      <c r="G2382">
        <v>29.8734</v>
      </c>
      <c r="H2382">
        <v>48.456099999999999</v>
      </c>
      <c r="I2382">
        <v>47.322800000000001</v>
      </c>
      <c r="J2382">
        <v>68.159800000000004</v>
      </c>
      <c r="K2382">
        <v>70.647099999999995</v>
      </c>
      <c r="L2382">
        <v>61.8371</v>
      </c>
      <c r="M2382">
        <v>67.645200000000003</v>
      </c>
      <c r="N2382">
        <v>81.640199999999993</v>
      </c>
      <c r="O2382">
        <v>91.374799999999993</v>
      </c>
      <c r="P2382">
        <v>3098</v>
      </c>
      <c r="Q2382" t="s">
        <v>5093</v>
      </c>
    </row>
    <row r="2383" spans="1:17" x14ac:dyDescent="0.3">
      <c r="A2383" t="s">
        <v>4664</v>
      </c>
      <c r="B2383" t="str">
        <f>"000626"</f>
        <v>000626</v>
      </c>
      <c r="C2383" t="s">
        <v>5094</v>
      </c>
      <c r="D2383" t="s">
        <v>128</v>
      </c>
      <c r="F2383">
        <v>6.5179999999999998</v>
      </c>
      <c r="G2383">
        <v>7.2771999999999997</v>
      </c>
      <c r="H2383">
        <v>7.85</v>
      </c>
      <c r="I2383">
        <v>9.5030000000000001</v>
      </c>
      <c r="J2383">
        <v>9.6541999999999994</v>
      </c>
      <c r="K2383">
        <v>17.954699999999999</v>
      </c>
      <c r="L2383">
        <v>23.1371</v>
      </c>
      <c r="M2383">
        <v>24.082599999999999</v>
      </c>
      <c r="N2383">
        <v>24.337700000000002</v>
      </c>
      <c r="O2383">
        <v>27.829599999999999</v>
      </c>
      <c r="P2383">
        <v>125</v>
      </c>
      <c r="Q2383" t="s">
        <v>5095</v>
      </c>
    </row>
    <row r="2384" spans="1:17" x14ac:dyDescent="0.3">
      <c r="A2384" t="s">
        <v>4664</v>
      </c>
      <c r="B2384" t="str">
        <f>"000627"</f>
        <v>000627</v>
      </c>
      <c r="C2384" t="s">
        <v>5096</v>
      </c>
      <c r="D2384" t="s">
        <v>660</v>
      </c>
      <c r="F2384">
        <v>113.4515</v>
      </c>
      <c r="H2384">
        <v>6567.3279000000002</v>
      </c>
      <c r="I2384">
        <v>1830.3259</v>
      </c>
      <c r="J2384">
        <v>615.29510000000005</v>
      </c>
      <c r="K2384">
        <v>335.78640000000001</v>
      </c>
      <c r="L2384">
        <v>130.94550000000001</v>
      </c>
      <c r="M2384">
        <v>92.823400000000007</v>
      </c>
      <c r="N2384">
        <v>74.876300000000001</v>
      </c>
      <c r="O2384">
        <v>94.452200000000005</v>
      </c>
      <c r="P2384">
        <v>288</v>
      </c>
      <c r="Q2384" t="s">
        <v>5097</v>
      </c>
    </row>
    <row r="2385" spans="1:17" x14ac:dyDescent="0.3">
      <c r="A2385" t="s">
        <v>4664</v>
      </c>
      <c r="B2385" t="str">
        <f>"000628"</f>
        <v>000628</v>
      </c>
      <c r="C2385" t="s">
        <v>5098</v>
      </c>
      <c r="D2385" t="s">
        <v>398</v>
      </c>
      <c r="F2385">
        <v>1.4853000000000001</v>
      </c>
      <c r="G2385">
        <v>88.8095</v>
      </c>
      <c r="H2385">
        <v>193.69550000000001</v>
      </c>
      <c r="I2385">
        <v>354.6979</v>
      </c>
      <c r="J2385">
        <v>564.77390000000003</v>
      </c>
      <c r="K2385">
        <v>297.93049999999999</v>
      </c>
      <c r="L2385">
        <v>260.27390000000003</v>
      </c>
      <c r="M2385">
        <v>190.2079</v>
      </c>
      <c r="N2385">
        <v>181.5752</v>
      </c>
      <c r="O2385">
        <v>200.9512</v>
      </c>
      <c r="P2385">
        <v>127</v>
      </c>
      <c r="Q2385" t="s">
        <v>5099</v>
      </c>
    </row>
    <row r="2386" spans="1:17" x14ac:dyDescent="0.3">
      <c r="A2386" t="s">
        <v>4664</v>
      </c>
      <c r="B2386" t="str">
        <f>"000629"</f>
        <v>000629</v>
      </c>
      <c r="C2386" t="s">
        <v>5100</v>
      </c>
      <c r="D2386" t="s">
        <v>669</v>
      </c>
      <c r="F2386">
        <v>31.6844</v>
      </c>
      <c r="G2386">
        <v>40.976799999999997</v>
      </c>
      <c r="H2386">
        <v>40.6053</v>
      </c>
      <c r="I2386">
        <v>41.130200000000002</v>
      </c>
      <c r="J2386">
        <v>48.28</v>
      </c>
      <c r="K2386">
        <v>56.132300000000001</v>
      </c>
      <c r="L2386">
        <v>85.325999999999993</v>
      </c>
      <c r="M2386">
        <v>54.378300000000003</v>
      </c>
      <c r="N2386">
        <v>46.130499999999998</v>
      </c>
      <c r="O2386">
        <v>51.087800000000001</v>
      </c>
      <c r="P2386">
        <v>335</v>
      </c>
      <c r="Q2386" t="s">
        <v>5101</v>
      </c>
    </row>
    <row r="2387" spans="1:17" x14ac:dyDescent="0.3">
      <c r="A2387" t="s">
        <v>4664</v>
      </c>
      <c r="B2387" t="str">
        <f>"000630"</f>
        <v>000630</v>
      </c>
      <c r="C2387" t="s">
        <v>5102</v>
      </c>
      <c r="D2387" t="s">
        <v>263</v>
      </c>
      <c r="F2387">
        <v>53.228900000000003</v>
      </c>
      <c r="G2387">
        <v>64.906499999999994</v>
      </c>
      <c r="H2387">
        <v>58.002499999999998</v>
      </c>
      <c r="I2387">
        <v>62.104100000000003</v>
      </c>
      <c r="J2387">
        <v>54.621099999999998</v>
      </c>
      <c r="K2387">
        <v>43.127499999999998</v>
      </c>
      <c r="L2387">
        <v>46.435299999999998</v>
      </c>
      <c r="M2387">
        <v>58.8367</v>
      </c>
      <c r="N2387">
        <v>81.546400000000006</v>
      </c>
      <c r="O2387">
        <v>68.406599999999997</v>
      </c>
      <c r="P2387">
        <v>464</v>
      </c>
      <c r="Q2387" t="s">
        <v>5103</v>
      </c>
    </row>
    <row r="2388" spans="1:17" x14ac:dyDescent="0.3">
      <c r="A2388" t="s">
        <v>4664</v>
      </c>
      <c r="B2388" t="str">
        <f>"000631"</f>
        <v>000631</v>
      </c>
      <c r="C2388" t="s">
        <v>5104</v>
      </c>
      <c r="D2388" t="s">
        <v>104</v>
      </c>
      <c r="F2388">
        <v>7376.7313000000004</v>
      </c>
      <c r="G2388">
        <v>700.06010000000003</v>
      </c>
      <c r="H2388">
        <v>467.78820000000002</v>
      </c>
      <c r="I2388">
        <v>868.04899999999998</v>
      </c>
      <c r="J2388">
        <v>433.3426</v>
      </c>
      <c r="K2388">
        <v>1461.1273000000001</v>
      </c>
      <c r="L2388">
        <v>1632.4935</v>
      </c>
      <c r="M2388">
        <v>5080.0163000000002</v>
      </c>
      <c r="N2388">
        <v>11605.479300000001</v>
      </c>
      <c r="O2388">
        <v>3054.1727000000001</v>
      </c>
      <c r="P2388">
        <v>359</v>
      </c>
      <c r="Q2388" t="s">
        <v>5105</v>
      </c>
    </row>
    <row r="2389" spans="1:17" x14ac:dyDescent="0.3">
      <c r="A2389" t="s">
        <v>4664</v>
      </c>
      <c r="B2389" t="str">
        <f>"000632"</f>
        <v>000632</v>
      </c>
      <c r="C2389" t="s">
        <v>5106</v>
      </c>
      <c r="D2389" t="s">
        <v>110</v>
      </c>
      <c r="F2389">
        <v>254.36920000000001</v>
      </c>
      <c r="G2389">
        <v>273.89800000000002</v>
      </c>
      <c r="H2389">
        <v>217.86869999999999</v>
      </c>
      <c r="I2389">
        <v>161.0153</v>
      </c>
      <c r="J2389">
        <v>165.25880000000001</v>
      </c>
      <c r="K2389">
        <v>165.18430000000001</v>
      </c>
      <c r="L2389">
        <v>168.76480000000001</v>
      </c>
      <c r="M2389">
        <v>207.11269999999999</v>
      </c>
      <c r="N2389">
        <v>150.3348</v>
      </c>
      <c r="O2389">
        <v>163.38040000000001</v>
      </c>
      <c r="P2389">
        <v>69</v>
      </c>
      <c r="Q2389" t="s">
        <v>5107</v>
      </c>
    </row>
    <row r="2390" spans="1:17" x14ac:dyDescent="0.3">
      <c r="A2390" t="s">
        <v>4664</v>
      </c>
      <c r="B2390" t="str">
        <f>"000633"</f>
        <v>000633</v>
      </c>
      <c r="C2390" t="s">
        <v>5108</v>
      </c>
      <c r="D2390" t="s">
        <v>581</v>
      </c>
      <c r="F2390">
        <v>140.6541</v>
      </c>
      <c r="G2390">
        <v>125.5681</v>
      </c>
      <c r="H2390">
        <v>147.7595</v>
      </c>
      <c r="I2390">
        <v>133.184</v>
      </c>
      <c r="J2390">
        <v>166.63470000000001</v>
      </c>
      <c r="K2390">
        <v>248.2012</v>
      </c>
      <c r="L2390">
        <v>319.59719999999999</v>
      </c>
      <c r="M2390">
        <v>147.56379999999999</v>
      </c>
      <c r="N2390">
        <v>88.352199999999996</v>
      </c>
      <c r="O2390">
        <v>60.659599999999998</v>
      </c>
      <c r="P2390">
        <v>72</v>
      </c>
      <c r="Q2390" t="s">
        <v>5109</v>
      </c>
    </row>
    <row r="2391" spans="1:17" x14ac:dyDescent="0.3">
      <c r="A2391" t="s">
        <v>4664</v>
      </c>
      <c r="B2391" t="str">
        <f>"000635"</f>
        <v>000635</v>
      </c>
      <c r="C2391" t="s">
        <v>5110</v>
      </c>
      <c r="D2391" t="s">
        <v>175</v>
      </c>
      <c r="F2391">
        <v>27.543700000000001</v>
      </c>
      <c r="G2391">
        <v>32.931800000000003</v>
      </c>
      <c r="H2391">
        <v>47.425800000000002</v>
      </c>
      <c r="I2391">
        <v>67.421700000000001</v>
      </c>
      <c r="J2391">
        <v>63.21</v>
      </c>
      <c r="K2391">
        <v>48.885199999999998</v>
      </c>
      <c r="L2391">
        <v>52.636400000000002</v>
      </c>
      <c r="M2391">
        <v>53.857999999999997</v>
      </c>
      <c r="N2391">
        <v>53.231099999999998</v>
      </c>
      <c r="O2391">
        <v>71.3108</v>
      </c>
      <c r="P2391">
        <v>135</v>
      </c>
      <c r="Q2391" t="s">
        <v>5111</v>
      </c>
    </row>
    <row r="2392" spans="1:17" x14ac:dyDescent="0.3">
      <c r="A2392" t="s">
        <v>4664</v>
      </c>
      <c r="B2392" t="str">
        <f>"000636"</f>
        <v>000636</v>
      </c>
      <c r="C2392" t="s">
        <v>5112</v>
      </c>
      <c r="D2392" t="s">
        <v>546</v>
      </c>
      <c r="F2392">
        <v>83.856499999999997</v>
      </c>
      <c r="G2392">
        <v>88.803700000000006</v>
      </c>
      <c r="H2392">
        <v>98.318100000000001</v>
      </c>
      <c r="I2392">
        <v>89.685000000000002</v>
      </c>
      <c r="J2392">
        <v>107.045</v>
      </c>
      <c r="K2392">
        <v>120.2647</v>
      </c>
      <c r="L2392">
        <v>127.52379999999999</v>
      </c>
      <c r="M2392">
        <v>95.356099999999998</v>
      </c>
      <c r="N2392">
        <v>94.745900000000006</v>
      </c>
      <c r="O2392">
        <v>109.18129999999999</v>
      </c>
      <c r="P2392">
        <v>896</v>
      </c>
      <c r="Q2392" t="s">
        <v>5113</v>
      </c>
    </row>
    <row r="2393" spans="1:17" x14ac:dyDescent="0.3">
      <c r="A2393" t="s">
        <v>4664</v>
      </c>
      <c r="B2393" t="str">
        <f>"000637"</f>
        <v>000637</v>
      </c>
      <c r="C2393" t="s">
        <v>5114</v>
      </c>
      <c r="D2393" t="s">
        <v>1615</v>
      </c>
      <c r="F2393">
        <v>26.989899999999999</v>
      </c>
      <c r="G2393">
        <v>24.521999999999998</v>
      </c>
      <c r="H2393">
        <v>22.4621</v>
      </c>
      <c r="I2393">
        <v>21.7669</v>
      </c>
      <c r="J2393">
        <v>15.285</v>
      </c>
      <c r="K2393">
        <v>18.614699999999999</v>
      </c>
      <c r="L2393">
        <v>20.473500000000001</v>
      </c>
      <c r="M2393">
        <v>17.1477</v>
      </c>
      <c r="N2393">
        <v>19.695</v>
      </c>
      <c r="O2393">
        <v>16.479399999999998</v>
      </c>
      <c r="P2393">
        <v>93</v>
      </c>
      <c r="Q2393" t="s">
        <v>5115</v>
      </c>
    </row>
    <row r="2394" spans="1:17" x14ac:dyDescent="0.3">
      <c r="A2394" t="s">
        <v>4664</v>
      </c>
      <c r="B2394" t="str">
        <f>"000638"</f>
        <v>000638</v>
      </c>
      <c r="C2394" t="s">
        <v>5116</v>
      </c>
      <c r="D2394" t="s">
        <v>316</v>
      </c>
      <c r="F2394">
        <v>658.17520000000002</v>
      </c>
      <c r="G2394">
        <v>1056.2661000000001</v>
      </c>
      <c r="H2394">
        <v>1214.1121000000001</v>
      </c>
      <c r="I2394">
        <v>2263.8998999999999</v>
      </c>
      <c r="J2394">
        <v>4339.2556000000004</v>
      </c>
      <c r="K2394">
        <v>2773.9396000000002</v>
      </c>
      <c r="L2394">
        <v>1827.1183000000001</v>
      </c>
      <c r="M2394">
        <v>635.90940000000001</v>
      </c>
      <c r="N2394">
        <v>957.89729999999997</v>
      </c>
      <c r="P2394">
        <v>87</v>
      </c>
      <c r="Q2394" t="s">
        <v>5117</v>
      </c>
    </row>
    <row r="2395" spans="1:17" x14ac:dyDescent="0.3">
      <c r="A2395" t="s">
        <v>4664</v>
      </c>
      <c r="B2395" t="str">
        <f>"000639"</f>
        <v>000639</v>
      </c>
      <c r="C2395" t="s">
        <v>5118</v>
      </c>
      <c r="D2395" t="s">
        <v>306</v>
      </c>
      <c r="F2395">
        <v>73.670699999999997</v>
      </c>
      <c r="G2395">
        <v>81.267600000000002</v>
      </c>
      <c r="H2395">
        <v>85.660300000000007</v>
      </c>
      <c r="I2395">
        <v>107.42570000000001</v>
      </c>
      <c r="J2395">
        <v>111.6521</v>
      </c>
      <c r="K2395">
        <v>78.007000000000005</v>
      </c>
      <c r="L2395">
        <v>88.116299999999995</v>
      </c>
      <c r="M2395">
        <v>91.604600000000005</v>
      </c>
      <c r="N2395">
        <v>65.230800000000002</v>
      </c>
      <c r="O2395">
        <v>54.345100000000002</v>
      </c>
      <c r="P2395">
        <v>328</v>
      </c>
      <c r="Q2395" t="s">
        <v>5119</v>
      </c>
    </row>
    <row r="2396" spans="1:17" x14ac:dyDescent="0.3">
      <c r="A2396" t="s">
        <v>4664</v>
      </c>
      <c r="B2396" t="str">
        <f>"000650"</f>
        <v>000650</v>
      </c>
      <c r="C2396" t="s">
        <v>5120</v>
      </c>
      <c r="D2396" t="s">
        <v>188</v>
      </c>
      <c r="F2396">
        <v>79.752200000000002</v>
      </c>
      <c r="G2396">
        <v>98.622299999999996</v>
      </c>
      <c r="H2396">
        <v>90.177300000000002</v>
      </c>
      <c r="I2396">
        <v>87.9208</v>
      </c>
      <c r="J2396">
        <v>88.812700000000007</v>
      </c>
      <c r="K2396">
        <v>83.835700000000003</v>
      </c>
      <c r="L2396">
        <v>114.96040000000001</v>
      </c>
      <c r="M2396">
        <v>107.26739999999999</v>
      </c>
      <c r="N2396">
        <v>107.83710000000001</v>
      </c>
      <c r="O2396">
        <v>55.290599999999998</v>
      </c>
      <c r="P2396">
        <v>888</v>
      </c>
      <c r="Q2396" t="s">
        <v>5121</v>
      </c>
    </row>
    <row r="2397" spans="1:17" x14ac:dyDescent="0.3">
      <c r="A2397" t="s">
        <v>4664</v>
      </c>
      <c r="B2397" t="str">
        <f>"000651"</f>
        <v>000651</v>
      </c>
      <c r="C2397" t="s">
        <v>5122</v>
      </c>
      <c r="D2397" t="s">
        <v>1723</v>
      </c>
      <c r="F2397">
        <v>116.0295</v>
      </c>
      <c r="G2397">
        <v>83.501900000000006</v>
      </c>
      <c r="H2397">
        <v>65.726699999999994</v>
      </c>
      <c r="I2397">
        <v>48.926400000000001</v>
      </c>
      <c r="J2397">
        <v>52.381599999999999</v>
      </c>
      <c r="K2397">
        <v>48.066200000000002</v>
      </c>
      <c r="L2397">
        <v>49.755400000000002</v>
      </c>
      <c r="M2397">
        <v>67.968100000000007</v>
      </c>
      <c r="N2397">
        <v>77.531499999999994</v>
      </c>
      <c r="O2397">
        <v>92.343199999999996</v>
      </c>
      <c r="P2397">
        <v>55062</v>
      </c>
      <c r="Q2397" t="s">
        <v>5123</v>
      </c>
    </row>
    <row r="2398" spans="1:17" x14ac:dyDescent="0.3">
      <c r="A2398" t="s">
        <v>4664</v>
      </c>
      <c r="B2398" t="str">
        <f>"000652"</f>
        <v>000652</v>
      </c>
      <c r="C2398" t="s">
        <v>5124</v>
      </c>
      <c r="D2398" t="s">
        <v>110</v>
      </c>
      <c r="F2398">
        <v>329.3297</v>
      </c>
      <c r="G2398">
        <v>552.47059999999999</v>
      </c>
      <c r="H2398">
        <v>521.90440000000001</v>
      </c>
      <c r="I2398">
        <v>532.42539999999997</v>
      </c>
      <c r="J2398">
        <v>447.91899999999998</v>
      </c>
      <c r="K2398">
        <v>497.4692</v>
      </c>
      <c r="L2398">
        <v>676.41890000000001</v>
      </c>
      <c r="M2398">
        <v>519.19849999999997</v>
      </c>
      <c r="N2398">
        <v>469.70240000000001</v>
      </c>
      <c r="O2398">
        <v>335.56560000000002</v>
      </c>
      <c r="P2398">
        <v>196</v>
      </c>
      <c r="Q2398" t="s">
        <v>5125</v>
      </c>
    </row>
    <row r="2399" spans="1:17" x14ac:dyDescent="0.3">
      <c r="A2399" t="s">
        <v>4664</v>
      </c>
      <c r="B2399" t="str">
        <f>"000655"</f>
        <v>000655</v>
      </c>
      <c r="C2399" t="s">
        <v>5126</v>
      </c>
      <c r="D2399" t="s">
        <v>2367</v>
      </c>
      <c r="F2399">
        <v>29.918700000000001</v>
      </c>
      <c r="G2399">
        <v>56.391500000000001</v>
      </c>
      <c r="H2399">
        <v>52.4711</v>
      </c>
      <c r="I2399">
        <v>72.510000000000005</v>
      </c>
      <c r="J2399">
        <v>60.651499999999999</v>
      </c>
      <c r="K2399">
        <v>138.70429999999999</v>
      </c>
      <c r="L2399">
        <v>109.43429999999999</v>
      </c>
      <c r="M2399">
        <v>79.335800000000006</v>
      </c>
      <c r="N2399">
        <v>71.198400000000007</v>
      </c>
      <c r="O2399">
        <v>58.255699999999997</v>
      </c>
      <c r="P2399">
        <v>145</v>
      </c>
      <c r="Q2399" t="s">
        <v>5127</v>
      </c>
    </row>
    <row r="2400" spans="1:17" x14ac:dyDescent="0.3">
      <c r="A2400" t="s">
        <v>4664</v>
      </c>
      <c r="B2400" t="str">
        <f>"000656"</f>
        <v>000656</v>
      </c>
      <c r="C2400" t="s">
        <v>5128</v>
      </c>
      <c r="D2400" t="s">
        <v>104</v>
      </c>
      <c r="F2400">
        <v>1704.1587</v>
      </c>
      <c r="G2400">
        <v>2357.9875000000002</v>
      </c>
      <c r="H2400">
        <v>2166.5805999999998</v>
      </c>
      <c r="I2400">
        <v>2242.1356999999998</v>
      </c>
      <c r="J2400">
        <v>2016.5026</v>
      </c>
      <c r="K2400">
        <v>1548.5923</v>
      </c>
      <c r="L2400">
        <v>2905.1725999999999</v>
      </c>
      <c r="M2400">
        <v>2511.3114999999998</v>
      </c>
      <c r="N2400">
        <v>2333.6637999999998</v>
      </c>
      <c r="O2400">
        <v>2847.7093</v>
      </c>
      <c r="P2400">
        <v>1065</v>
      </c>
      <c r="Q2400" t="s">
        <v>5129</v>
      </c>
    </row>
    <row r="2401" spans="1:17" x14ac:dyDescent="0.3">
      <c r="A2401" t="s">
        <v>4664</v>
      </c>
      <c r="B2401" t="str">
        <f>"000657"</f>
        <v>000657</v>
      </c>
      <c r="C2401" t="s">
        <v>5130</v>
      </c>
      <c r="D2401" t="s">
        <v>1110</v>
      </c>
      <c r="F2401">
        <v>118.68429999999999</v>
      </c>
      <c r="G2401">
        <v>126.69070000000001</v>
      </c>
      <c r="H2401">
        <v>132.9298</v>
      </c>
      <c r="I2401">
        <v>130.03530000000001</v>
      </c>
      <c r="J2401">
        <v>147.4093</v>
      </c>
      <c r="K2401">
        <v>170.16659999999999</v>
      </c>
      <c r="L2401">
        <v>197.40960000000001</v>
      </c>
      <c r="M2401">
        <v>220.81039999999999</v>
      </c>
      <c r="N2401">
        <v>62.957799999999999</v>
      </c>
      <c r="O2401">
        <v>78.506</v>
      </c>
      <c r="P2401">
        <v>177</v>
      </c>
      <c r="Q2401" t="s">
        <v>5131</v>
      </c>
    </row>
    <row r="2402" spans="1:17" x14ac:dyDescent="0.3">
      <c r="A2402" t="s">
        <v>4664</v>
      </c>
      <c r="B2402" t="str">
        <f>"000658"</f>
        <v>000658</v>
      </c>
      <c r="C2402" t="s">
        <v>5132</v>
      </c>
      <c r="L2402">
        <v>0</v>
      </c>
      <c r="M2402">
        <v>0</v>
      </c>
      <c r="N2402">
        <v>0</v>
      </c>
      <c r="O2402">
        <v>0</v>
      </c>
      <c r="P2402">
        <v>5</v>
      </c>
      <c r="Q2402" t="s">
        <v>5133</v>
      </c>
    </row>
    <row r="2403" spans="1:17" x14ac:dyDescent="0.3">
      <c r="A2403" t="s">
        <v>4664</v>
      </c>
      <c r="B2403" t="str">
        <f>"000659"</f>
        <v>000659</v>
      </c>
      <c r="C2403" t="s">
        <v>5134</v>
      </c>
      <c r="D2403" t="s">
        <v>485</v>
      </c>
      <c r="F2403">
        <v>55.230800000000002</v>
      </c>
      <c r="G2403">
        <v>73.401899999999998</v>
      </c>
      <c r="H2403">
        <v>64.133099999999999</v>
      </c>
      <c r="I2403">
        <v>61.352400000000003</v>
      </c>
      <c r="J2403">
        <v>70.101699999999994</v>
      </c>
      <c r="K2403">
        <v>69.646000000000001</v>
      </c>
      <c r="L2403">
        <v>65.897599999999997</v>
      </c>
      <c r="M2403">
        <v>70.961100000000002</v>
      </c>
      <c r="N2403">
        <v>79.638599999999997</v>
      </c>
      <c r="O2403">
        <v>82.495099999999994</v>
      </c>
      <c r="P2403">
        <v>77</v>
      </c>
      <c r="Q2403" t="s">
        <v>5135</v>
      </c>
    </row>
    <row r="2404" spans="1:17" x14ac:dyDescent="0.3">
      <c r="A2404" t="s">
        <v>4664</v>
      </c>
      <c r="B2404" t="str">
        <f>"000660"</f>
        <v>000660</v>
      </c>
      <c r="C2404" t="s">
        <v>5136</v>
      </c>
      <c r="K2404">
        <v>78.577600000000004</v>
      </c>
      <c r="O2404">
        <v>365.99009999999998</v>
      </c>
      <c r="P2404">
        <v>6</v>
      </c>
      <c r="Q2404" t="s">
        <v>5137</v>
      </c>
    </row>
    <row r="2405" spans="1:17" x14ac:dyDescent="0.3">
      <c r="A2405" t="s">
        <v>4664</v>
      </c>
      <c r="B2405" t="str">
        <f>"000661"</f>
        <v>000661</v>
      </c>
      <c r="C2405" t="s">
        <v>5138</v>
      </c>
      <c r="D2405" t="s">
        <v>1379</v>
      </c>
      <c r="F2405">
        <v>1195.5001999999999</v>
      </c>
      <c r="G2405">
        <v>756.19949999999994</v>
      </c>
      <c r="H2405">
        <v>877.47590000000002</v>
      </c>
      <c r="I2405">
        <v>1091.7534000000001</v>
      </c>
      <c r="J2405">
        <v>1584.7868000000001</v>
      </c>
      <c r="K2405">
        <v>504.08620000000002</v>
      </c>
      <c r="L2405">
        <v>699.21990000000005</v>
      </c>
      <c r="M2405">
        <v>874.07640000000004</v>
      </c>
      <c r="N2405">
        <v>528.04729999999995</v>
      </c>
      <c r="O2405">
        <v>573.59</v>
      </c>
      <c r="P2405">
        <v>59935</v>
      </c>
      <c r="Q2405" t="s">
        <v>5139</v>
      </c>
    </row>
    <row r="2406" spans="1:17" x14ac:dyDescent="0.3">
      <c r="A2406" t="s">
        <v>4664</v>
      </c>
      <c r="B2406" t="str">
        <f>"000662"</f>
        <v>000662</v>
      </c>
      <c r="C2406" t="s">
        <v>5140</v>
      </c>
      <c r="G2406">
        <v>1585.4675</v>
      </c>
      <c r="H2406">
        <v>139.56620000000001</v>
      </c>
      <c r="I2406">
        <v>40.760100000000001</v>
      </c>
      <c r="J2406">
        <v>49.025700000000001</v>
      </c>
      <c r="K2406">
        <v>34.496200000000002</v>
      </c>
      <c r="L2406">
        <v>51.871600000000001</v>
      </c>
      <c r="M2406">
        <v>101.48090000000001</v>
      </c>
      <c r="N2406">
        <v>102.68689999999999</v>
      </c>
      <c r="O2406">
        <v>184.3015</v>
      </c>
      <c r="P2406">
        <v>146</v>
      </c>
      <c r="Q2406" t="s">
        <v>5141</v>
      </c>
    </row>
    <row r="2407" spans="1:17" x14ac:dyDescent="0.3">
      <c r="A2407" t="s">
        <v>4664</v>
      </c>
      <c r="B2407" t="str">
        <f>"000663"</f>
        <v>000663</v>
      </c>
      <c r="C2407" t="s">
        <v>5142</v>
      </c>
      <c r="D2407" t="s">
        <v>2647</v>
      </c>
      <c r="F2407">
        <v>904.05039999999997</v>
      </c>
      <c r="G2407">
        <v>886.69650000000001</v>
      </c>
      <c r="H2407">
        <v>625.76030000000003</v>
      </c>
      <c r="I2407">
        <v>580.27660000000003</v>
      </c>
      <c r="J2407">
        <v>465.75639999999999</v>
      </c>
      <c r="K2407">
        <v>384.92140000000001</v>
      </c>
      <c r="L2407">
        <v>1113.8243</v>
      </c>
      <c r="M2407">
        <v>839.49710000000005</v>
      </c>
      <c r="N2407">
        <v>781.25009999999997</v>
      </c>
      <c r="O2407">
        <v>836.44860000000006</v>
      </c>
      <c r="P2407">
        <v>93</v>
      </c>
      <c r="Q2407" t="s">
        <v>5143</v>
      </c>
    </row>
    <row r="2408" spans="1:17" x14ac:dyDescent="0.3">
      <c r="A2408" t="s">
        <v>4664</v>
      </c>
      <c r="B2408" t="str">
        <f>"000665"</f>
        <v>000665</v>
      </c>
      <c r="C2408" t="s">
        <v>5144</v>
      </c>
      <c r="D2408" t="s">
        <v>95</v>
      </c>
      <c r="F2408">
        <v>16.774100000000001</v>
      </c>
      <c r="G2408">
        <v>21.3567</v>
      </c>
      <c r="H2408">
        <v>1.1503000000000001</v>
      </c>
      <c r="I2408">
        <v>5.2957999999999998</v>
      </c>
      <c r="J2408">
        <v>9.5543999999999993</v>
      </c>
      <c r="K2408">
        <v>12.8803</v>
      </c>
      <c r="L2408">
        <v>15.759399999999999</v>
      </c>
      <c r="M2408">
        <v>104.33759999999999</v>
      </c>
      <c r="N2408">
        <v>91.2667</v>
      </c>
      <c r="O2408">
        <v>56.491799999999998</v>
      </c>
      <c r="P2408">
        <v>221</v>
      </c>
      <c r="Q2408" t="s">
        <v>5145</v>
      </c>
    </row>
    <row r="2409" spans="1:17" x14ac:dyDescent="0.3">
      <c r="A2409" t="s">
        <v>4664</v>
      </c>
      <c r="B2409" t="str">
        <f>"000666"</f>
        <v>000666</v>
      </c>
      <c r="C2409" t="s">
        <v>5146</v>
      </c>
      <c r="D2409" t="s">
        <v>1649</v>
      </c>
      <c r="F2409">
        <v>94.827699999999993</v>
      </c>
      <c r="G2409">
        <v>195.6961</v>
      </c>
      <c r="H2409">
        <v>119.111</v>
      </c>
      <c r="I2409">
        <v>130.4753</v>
      </c>
      <c r="J2409">
        <v>127.92059999999999</v>
      </c>
      <c r="K2409">
        <v>227.24189999999999</v>
      </c>
      <c r="L2409">
        <v>258.8125</v>
      </c>
      <c r="M2409">
        <v>184.74600000000001</v>
      </c>
      <c r="N2409">
        <v>167.0042</v>
      </c>
      <c r="O2409">
        <v>170.50280000000001</v>
      </c>
      <c r="P2409">
        <v>186</v>
      </c>
      <c r="Q2409" t="s">
        <v>5147</v>
      </c>
    </row>
    <row r="2410" spans="1:17" x14ac:dyDescent="0.3">
      <c r="A2410" t="s">
        <v>4664</v>
      </c>
      <c r="B2410" t="str">
        <f>"000667"</f>
        <v>000667</v>
      </c>
      <c r="C2410" t="s">
        <v>5148</v>
      </c>
      <c r="D2410" t="s">
        <v>104</v>
      </c>
      <c r="F2410">
        <v>2632.5232999999998</v>
      </c>
      <c r="G2410">
        <v>3060.9897000000001</v>
      </c>
      <c r="H2410">
        <v>3708.9306999999999</v>
      </c>
      <c r="I2410">
        <v>8575.6694000000007</v>
      </c>
      <c r="J2410">
        <v>3151.6880999999998</v>
      </c>
      <c r="K2410">
        <v>2506.4699000000001</v>
      </c>
      <c r="L2410">
        <v>2948.1289000000002</v>
      </c>
      <c r="M2410">
        <v>3638.1316999999999</v>
      </c>
      <c r="N2410">
        <v>4092.8971000000001</v>
      </c>
      <c r="O2410">
        <v>3904.6612</v>
      </c>
      <c r="P2410">
        <v>169</v>
      </c>
      <c r="Q2410" t="s">
        <v>5149</v>
      </c>
    </row>
    <row r="2411" spans="1:17" x14ac:dyDescent="0.3">
      <c r="A2411" t="s">
        <v>4664</v>
      </c>
      <c r="B2411" t="str">
        <f>"000668"</f>
        <v>000668</v>
      </c>
      <c r="C2411" t="s">
        <v>5150</v>
      </c>
      <c r="D2411" t="s">
        <v>104</v>
      </c>
      <c r="F2411">
        <v>12742.5093</v>
      </c>
      <c r="G2411">
        <v>26136.162700000001</v>
      </c>
      <c r="H2411">
        <v>4029.9484000000002</v>
      </c>
      <c r="I2411">
        <v>9177.4192000000003</v>
      </c>
      <c r="J2411">
        <v>158593.21470000001</v>
      </c>
      <c r="K2411">
        <v>353281.56589999999</v>
      </c>
      <c r="L2411">
        <v>126851.08319999999</v>
      </c>
      <c r="M2411">
        <v>94233.421000000002</v>
      </c>
      <c r="N2411">
        <v>2777.8553999999999</v>
      </c>
      <c r="O2411">
        <v>24456.525799999999</v>
      </c>
      <c r="P2411">
        <v>96</v>
      </c>
      <c r="Q2411" t="s">
        <v>5151</v>
      </c>
    </row>
    <row r="2412" spans="1:17" x14ac:dyDescent="0.3">
      <c r="A2412" t="s">
        <v>4664</v>
      </c>
      <c r="B2412" t="str">
        <f>"000669"</f>
        <v>000669</v>
      </c>
      <c r="C2412" t="s">
        <v>5152</v>
      </c>
      <c r="D2412" t="s">
        <v>749</v>
      </c>
      <c r="F2412">
        <v>12.5684</v>
      </c>
      <c r="G2412">
        <v>14.194800000000001</v>
      </c>
      <c r="H2412">
        <v>17.5396</v>
      </c>
      <c r="I2412">
        <v>15.550800000000001</v>
      </c>
      <c r="J2412">
        <v>16.5747</v>
      </c>
      <c r="K2412">
        <v>46.593800000000002</v>
      </c>
      <c r="L2412">
        <v>11.5124</v>
      </c>
      <c r="M2412">
        <v>9.5656999999999996</v>
      </c>
      <c r="N2412">
        <v>8.0513999999999992</v>
      </c>
      <c r="O2412">
        <v>210.72190000000001</v>
      </c>
      <c r="P2412">
        <v>83</v>
      </c>
      <c r="Q2412" t="s">
        <v>5153</v>
      </c>
    </row>
    <row r="2413" spans="1:17" x14ac:dyDescent="0.3">
      <c r="A2413" t="s">
        <v>4664</v>
      </c>
      <c r="B2413" t="str">
        <f>"000670"</f>
        <v>000670</v>
      </c>
      <c r="C2413" t="s">
        <v>5154</v>
      </c>
      <c r="D2413" t="s">
        <v>461</v>
      </c>
      <c r="F2413">
        <v>23.327500000000001</v>
      </c>
      <c r="G2413">
        <v>269.47160000000002</v>
      </c>
      <c r="H2413">
        <v>312.45499999999998</v>
      </c>
      <c r="I2413">
        <v>44.283900000000003</v>
      </c>
      <c r="J2413">
        <v>157.77289999999999</v>
      </c>
      <c r="K2413">
        <v>85.143799999999999</v>
      </c>
      <c r="L2413">
        <v>399.87900000000002</v>
      </c>
      <c r="M2413">
        <v>1757.0319</v>
      </c>
      <c r="N2413">
        <v>1697.2264</v>
      </c>
      <c r="O2413">
        <v>673.49839999999995</v>
      </c>
      <c r="P2413">
        <v>116</v>
      </c>
      <c r="Q2413" t="s">
        <v>5155</v>
      </c>
    </row>
    <row r="2414" spans="1:17" x14ac:dyDescent="0.3">
      <c r="A2414" t="s">
        <v>4664</v>
      </c>
      <c r="B2414" t="str">
        <f>"000671"</f>
        <v>000671</v>
      </c>
      <c r="C2414" t="s">
        <v>5156</v>
      </c>
      <c r="D2414" t="s">
        <v>104</v>
      </c>
      <c r="F2414">
        <v>2051.6727000000001</v>
      </c>
      <c r="G2414">
        <v>2318.1570000000002</v>
      </c>
      <c r="H2414">
        <v>2532.2802000000001</v>
      </c>
      <c r="I2414">
        <v>2625.0421999999999</v>
      </c>
      <c r="J2414">
        <v>2959.6695</v>
      </c>
      <c r="K2414">
        <v>3901.9306999999999</v>
      </c>
      <c r="L2414">
        <v>2553.2754</v>
      </c>
      <c r="M2414">
        <v>1838.3196</v>
      </c>
      <c r="N2414">
        <v>1332.3995</v>
      </c>
      <c r="O2414">
        <v>949.92060000000004</v>
      </c>
      <c r="P2414">
        <v>1192</v>
      </c>
      <c r="Q2414" t="s">
        <v>5157</v>
      </c>
    </row>
    <row r="2415" spans="1:17" x14ac:dyDescent="0.3">
      <c r="A2415" t="s">
        <v>4664</v>
      </c>
      <c r="B2415" t="str">
        <f>"000672"</f>
        <v>000672</v>
      </c>
      <c r="C2415" t="s">
        <v>5158</v>
      </c>
      <c r="D2415" t="s">
        <v>731</v>
      </c>
      <c r="F2415">
        <v>101.002</v>
      </c>
      <c r="G2415">
        <v>130.4649</v>
      </c>
      <c r="H2415">
        <v>211.8357</v>
      </c>
      <c r="I2415">
        <v>186.77809999999999</v>
      </c>
      <c r="J2415">
        <v>230.2628</v>
      </c>
      <c r="K2415">
        <v>135.08430000000001</v>
      </c>
      <c r="L2415">
        <v>78.713499999999996</v>
      </c>
      <c r="M2415">
        <v>56.549399999999999</v>
      </c>
      <c r="N2415">
        <v>26.3383</v>
      </c>
      <c r="O2415">
        <v>0.77010000000000001</v>
      </c>
      <c r="P2415">
        <v>1263</v>
      </c>
      <c r="Q2415" t="s">
        <v>5159</v>
      </c>
    </row>
    <row r="2416" spans="1:17" x14ac:dyDescent="0.3">
      <c r="A2416" t="s">
        <v>4664</v>
      </c>
      <c r="B2416" t="str">
        <f>"000673"</f>
        <v>000673</v>
      </c>
      <c r="C2416" t="s">
        <v>5160</v>
      </c>
      <c r="D2416" t="s">
        <v>113</v>
      </c>
      <c r="F2416">
        <v>780.44870000000003</v>
      </c>
      <c r="G2416">
        <v>887.28240000000005</v>
      </c>
      <c r="H2416">
        <v>403.61779999999999</v>
      </c>
      <c r="I2416">
        <v>489.36329999999998</v>
      </c>
      <c r="J2416">
        <v>447.41800000000001</v>
      </c>
      <c r="K2416">
        <v>420.30380000000002</v>
      </c>
      <c r="L2416">
        <v>291.78820000000002</v>
      </c>
      <c r="M2416">
        <v>27.055299999999999</v>
      </c>
      <c r="N2416">
        <v>0</v>
      </c>
      <c r="O2416">
        <v>27.218599999999999</v>
      </c>
      <c r="P2416">
        <v>90</v>
      </c>
      <c r="Q2416" t="s">
        <v>5161</v>
      </c>
    </row>
    <row r="2417" spans="1:17" x14ac:dyDescent="0.3">
      <c r="A2417" t="s">
        <v>4664</v>
      </c>
      <c r="B2417" t="str">
        <f>"000675"</f>
        <v>000675</v>
      </c>
      <c r="C2417" t="s">
        <v>5162</v>
      </c>
      <c r="P2417">
        <v>5</v>
      </c>
      <c r="Q2417" t="s">
        <v>5163</v>
      </c>
    </row>
    <row r="2418" spans="1:17" x14ac:dyDescent="0.3">
      <c r="A2418" t="s">
        <v>4664</v>
      </c>
      <c r="B2418" t="str">
        <f>"000676"</f>
        <v>000676</v>
      </c>
      <c r="C2418" t="s">
        <v>5164</v>
      </c>
      <c r="D2418" t="s">
        <v>207</v>
      </c>
      <c r="F2418">
        <v>3.5756000000000001</v>
      </c>
      <c r="G2418">
        <v>1.8499999999999999E-2</v>
      </c>
      <c r="H2418">
        <v>1.7399999999999999E-2</v>
      </c>
      <c r="I2418">
        <v>0</v>
      </c>
      <c r="J2418">
        <v>0</v>
      </c>
      <c r="K2418">
        <v>5.5156999999999998</v>
      </c>
      <c r="L2418">
        <v>210.18979999999999</v>
      </c>
      <c r="M2418">
        <v>303.60480000000001</v>
      </c>
      <c r="N2418">
        <v>213.56800000000001</v>
      </c>
      <c r="O2418">
        <v>231.80350000000001</v>
      </c>
      <c r="P2418">
        <v>215</v>
      </c>
      <c r="Q2418" t="s">
        <v>5165</v>
      </c>
    </row>
    <row r="2419" spans="1:17" x14ac:dyDescent="0.3">
      <c r="A2419" t="s">
        <v>4664</v>
      </c>
      <c r="B2419" t="str">
        <f>"000677"</f>
        <v>000677</v>
      </c>
      <c r="C2419" t="s">
        <v>5166</v>
      </c>
      <c r="D2419" t="s">
        <v>888</v>
      </c>
      <c r="F2419">
        <v>62.004800000000003</v>
      </c>
      <c r="G2419">
        <v>63.7896</v>
      </c>
      <c r="H2419">
        <v>62.442999999999998</v>
      </c>
      <c r="I2419">
        <v>55.565600000000003</v>
      </c>
      <c r="J2419">
        <v>58.481299999999997</v>
      </c>
      <c r="K2419">
        <v>60.189300000000003</v>
      </c>
      <c r="L2419">
        <v>47.814700000000002</v>
      </c>
      <c r="M2419">
        <v>57.4221</v>
      </c>
      <c r="N2419">
        <v>56.5428</v>
      </c>
      <c r="O2419">
        <v>174.07740000000001</v>
      </c>
      <c r="P2419">
        <v>80</v>
      </c>
      <c r="Q2419" t="s">
        <v>5167</v>
      </c>
    </row>
    <row r="2420" spans="1:17" x14ac:dyDescent="0.3">
      <c r="A2420" t="s">
        <v>4664</v>
      </c>
      <c r="B2420" t="str">
        <f>"000678"</f>
        <v>000678</v>
      </c>
      <c r="C2420" t="s">
        <v>5168</v>
      </c>
      <c r="D2420" t="s">
        <v>348</v>
      </c>
      <c r="F2420">
        <v>158.14699999999999</v>
      </c>
      <c r="G2420">
        <v>209.97380000000001</v>
      </c>
      <c r="H2420">
        <v>213.7698</v>
      </c>
      <c r="I2420">
        <v>173.69239999999999</v>
      </c>
      <c r="J2420">
        <v>163.72229999999999</v>
      </c>
      <c r="K2420">
        <v>158.35489999999999</v>
      </c>
      <c r="L2420">
        <v>196.7234</v>
      </c>
      <c r="M2420">
        <v>176.0831</v>
      </c>
      <c r="N2420">
        <v>180.33879999999999</v>
      </c>
      <c r="O2420">
        <v>207.64099999999999</v>
      </c>
      <c r="P2420">
        <v>71</v>
      </c>
      <c r="Q2420" t="s">
        <v>5169</v>
      </c>
    </row>
    <row r="2421" spans="1:17" x14ac:dyDescent="0.3">
      <c r="A2421" t="s">
        <v>4664</v>
      </c>
      <c r="B2421" t="str">
        <f>"000679"</f>
        <v>000679</v>
      </c>
      <c r="C2421" t="s">
        <v>5170</v>
      </c>
      <c r="D2421" t="s">
        <v>1404</v>
      </c>
      <c r="F2421">
        <v>109.0772</v>
      </c>
      <c r="G2421">
        <v>9368.4032000000007</v>
      </c>
      <c r="H2421">
        <v>2029.4311</v>
      </c>
      <c r="I2421">
        <v>1952.4739</v>
      </c>
      <c r="J2421">
        <v>1357.3108</v>
      </c>
      <c r="K2421">
        <v>1460.6282000000001</v>
      </c>
      <c r="L2421">
        <v>1166.1293000000001</v>
      </c>
      <c r="M2421">
        <v>1163.0898999999999</v>
      </c>
      <c r="N2421">
        <v>1108.9611</v>
      </c>
      <c r="O2421">
        <v>1294.3639000000001</v>
      </c>
      <c r="P2421">
        <v>83</v>
      </c>
      <c r="Q2421" t="s">
        <v>5171</v>
      </c>
    </row>
    <row r="2422" spans="1:17" x14ac:dyDescent="0.3">
      <c r="A2422" t="s">
        <v>4664</v>
      </c>
      <c r="B2422" t="str">
        <f>"000680"</f>
        <v>000680</v>
      </c>
      <c r="C2422" t="s">
        <v>5172</v>
      </c>
      <c r="D2422" t="s">
        <v>83</v>
      </c>
      <c r="F2422">
        <v>87.247200000000007</v>
      </c>
      <c r="G2422">
        <v>101.5793</v>
      </c>
      <c r="H2422">
        <v>126.7961</v>
      </c>
      <c r="I2422">
        <v>117.1601</v>
      </c>
      <c r="J2422">
        <v>127.69929999999999</v>
      </c>
      <c r="K2422">
        <v>190.19370000000001</v>
      </c>
      <c r="L2422">
        <v>237.91</v>
      </c>
      <c r="M2422">
        <v>158.95320000000001</v>
      </c>
      <c r="N2422">
        <v>130.4298</v>
      </c>
      <c r="O2422">
        <v>155.16159999999999</v>
      </c>
      <c r="P2422">
        <v>120</v>
      </c>
      <c r="Q2422" t="s">
        <v>5173</v>
      </c>
    </row>
    <row r="2423" spans="1:17" x14ac:dyDescent="0.3">
      <c r="A2423" t="s">
        <v>4664</v>
      </c>
      <c r="B2423" t="str">
        <f>"000681"</f>
        <v>000681</v>
      </c>
      <c r="C2423" t="s">
        <v>5174</v>
      </c>
      <c r="D2423" t="s">
        <v>5175</v>
      </c>
      <c r="F2423">
        <v>0</v>
      </c>
      <c r="G2423">
        <v>0</v>
      </c>
      <c r="H2423">
        <v>0</v>
      </c>
      <c r="I2423">
        <v>59.597200000000001</v>
      </c>
      <c r="J2423">
        <v>47.930599999999998</v>
      </c>
      <c r="K2423">
        <v>62.0595</v>
      </c>
      <c r="L2423">
        <v>41.146799999999999</v>
      </c>
      <c r="M2423">
        <v>36.601999999999997</v>
      </c>
      <c r="N2423">
        <v>60.923999999999999</v>
      </c>
      <c r="O2423">
        <v>280.63990000000001</v>
      </c>
      <c r="P2423">
        <v>449</v>
      </c>
      <c r="Q2423" t="s">
        <v>5176</v>
      </c>
    </row>
    <row r="2424" spans="1:17" x14ac:dyDescent="0.3">
      <c r="A2424" t="s">
        <v>4664</v>
      </c>
      <c r="B2424" t="str">
        <f>"000682"</f>
        <v>000682</v>
      </c>
      <c r="C2424" t="s">
        <v>5177</v>
      </c>
      <c r="D2424" t="s">
        <v>610</v>
      </c>
      <c r="F2424">
        <v>366.50409999999999</v>
      </c>
      <c r="G2424">
        <v>314.34969999999998</v>
      </c>
      <c r="H2424">
        <v>288.24759999999998</v>
      </c>
      <c r="I2424">
        <v>275.83240000000001</v>
      </c>
      <c r="J2424">
        <v>283.40530000000001</v>
      </c>
      <c r="K2424">
        <v>288.68430000000001</v>
      </c>
      <c r="L2424">
        <v>319.17200000000003</v>
      </c>
      <c r="M2424">
        <v>268.77480000000003</v>
      </c>
      <c r="N2424">
        <v>214.0342</v>
      </c>
      <c r="O2424">
        <v>169.02180000000001</v>
      </c>
      <c r="P2424">
        <v>156</v>
      </c>
      <c r="Q2424" t="s">
        <v>5178</v>
      </c>
    </row>
    <row r="2425" spans="1:17" x14ac:dyDescent="0.3">
      <c r="A2425" t="s">
        <v>4664</v>
      </c>
      <c r="B2425" t="str">
        <f>"000683"</f>
        <v>000683</v>
      </c>
      <c r="C2425" t="s">
        <v>5179</v>
      </c>
      <c r="D2425" t="s">
        <v>2516</v>
      </c>
      <c r="F2425">
        <v>29.5122</v>
      </c>
      <c r="G2425">
        <v>39.5047</v>
      </c>
      <c r="H2425">
        <v>48.746499999999997</v>
      </c>
      <c r="I2425">
        <v>20.550599999999999</v>
      </c>
      <c r="J2425">
        <v>13.3353</v>
      </c>
      <c r="K2425">
        <v>16.828700000000001</v>
      </c>
      <c r="L2425">
        <v>27.741199999999999</v>
      </c>
      <c r="M2425">
        <v>24.019500000000001</v>
      </c>
      <c r="N2425">
        <v>33.046700000000001</v>
      </c>
      <c r="O2425">
        <v>31.494199999999999</v>
      </c>
      <c r="P2425">
        <v>314</v>
      </c>
      <c r="Q2425" t="s">
        <v>5180</v>
      </c>
    </row>
    <row r="2426" spans="1:17" x14ac:dyDescent="0.3">
      <c r="A2426" t="s">
        <v>4664</v>
      </c>
      <c r="B2426" t="str">
        <f>"000685"</f>
        <v>000685</v>
      </c>
      <c r="C2426" t="s">
        <v>5181</v>
      </c>
      <c r="D2426" t="s">
        <v>33</v>
      </c>
      <c r="F2426">
        <v>47.514800000000001</v>
      </c>
      <c r="G2426">
        <v>71.054100000000005</v>
      </c>
      <c r="H2426">
        <v>76.077100000000002</v>
      </c>
      <c r="I2426">
        <v>55.253799999999998</v>
      </c>
      <c r="J2426">
        <v>57.9818</v>
      </c>
      <c r="K2426">
        <v>61.189700000000002</v>
      </c>
      <c r="L2426">
        <v>28.269100000000002</v>
      </c>
      <c r="M2426">
        <v>19.324100000000001</v>
      </c>
      <c r="N2426">
        <v>17.286300000000001</v>
      </c>
      <c r="O2426">
        <v>19.4377</v>
      </c>
      <c r="P2426">
        <v>511</v>
      </c>
      <c r="Q2426" t="s">
        <v>5182</v>
      </c>
    </row>
    <row r="2427" spans="1:17" x14ac:dyDescent="0.3">
      <c r="A2427" t="s">
        <v>4664</v>
      </c>
      <c r="B2427" t="str">
        <f>"000686"</f>
        <v>000686</v>
      </c>
      <c r="C2427" t="s">
        <v>5183</v>
      </c>
      <c r="D2427" t="s">
        <v>80</v>
      </c>
      <c r="P2427">
        <v>888</v>
      </c>
      <c r="Q2427" t="s">
        <v>5184</v>
      </c>
    </row>
    <row r="2428" spans="1:17" x14ac:dyDescent="0.3">
      <c r="A2428" t="s">
        <v>4664</v>
      </c>
      <c r="B2428" t="str">
        <f>"000687"</f>
        <v>000687</v>
      </c>
      <c r="C2428" t="s">
        <v>5185</v>
      </c>
      <c r="D2428" t="s">
        <v>98</v>
      </c>
      <c r="F2428">
        <v>782.13649999999996</v>
      </c>
      <c r="G2428">
        <v>1517.5619999999999</v>
      </c>
      <c r="H2428">
        <v>221.61920000000001</v>
      </c>
      <c r="I2428">
        <v>40.670499999999997</v>
      </c>
      <c r="J2428">
        <v>44.448799999999999</v>
      </c>
      <c r="K2428">
        <v>14.500500000000001</v>
      </c>
      <c r="L2428">
        <v>117.62949999999999</v>
      </c>
      <c r="M2428">
        <v>214.52600000000001</v>
      </c>
      <c r="N2428">
        <v>249.0087</v>
      </c>
      <c r="O2428">
        <v>247.4092</v>
      </c>
      <c r="P2428">
        <v>86</v>
      </c>
      <c r="Q2428" t="s">
        <v>5186</v>
      </c>
    </row>
    <row r="2429" spans="1:17" x14ac:dyDescent="0.3">
      <c r="A2429" t="s">
        <v>4664</v>
      </c>
      <c r="B2429" t="str">
        <f>"000688"</f>
        <v>000688</v>
      </c>
      <c r="C2429" t="s">
        <v>5187</v>
      </c>
      <c r="D2429" t="s">
        <v>744</v>
      </c>
      <c r="F2429">
        <v>55.103400000000001</v>
      </c>
      <c r="G2429">
        <v>56.28</v>
      </c>
      <c r="H2429">
        <v>50.043300000000002</v>
      </c>
      <c r="I2429">
        <v>77.377499999999998</v>
      </c>
      <c r="J2429">
        <v>57.877299999999998</v>
      </c>
      <c r="K2429">
        <v>33.474299999999999</v>
      </c>
      <c r="L2429">
        <v>78.752399999999994</v>
      </c>
      <c r="M2429">
        <v>36.873199999999997</v>
      </c>
      <c r="N2429">
        <v>26.582000000000001</v>
      </c>
      <c r="O2429">
        <v>114.0274</v>
      </c>
      <c r="P2429">
        <v>197</v>
      </c>
      <c r="Q2429" t="s">
        <v>5188</v>
      </c>
    </row>
    <row r="2430" spans="1:17" x14ac:dyDescent="0.3">
      <c r="A2430" t="s">
        <v>4664</v>
      </c>
      <c r="B2430" t="str">
        <f>"000689"</f>
        <v>000689</v>
      </c>
      <c r="C2430" t="s">
        <v>5189</v>
      </c>
      <c r="P2430">
        <v>5</v>
      </c>
      <c r="Q2430" t="s">
        <v>5190</v>
      </c>
    </row>
    <row r="2431" spans="1:17" x14ac:dyDescent="0.3">
      <c r="A2431" t="s">
        <v>4664</v>
      </c>
      <c r="B2431" t="str">
        <f>"000690"</f>
        <v>000690</v>
      </c>
      <c r="C2431" t="s">
        <v>5191</v>
      </c>
      <c r="D2431" t="s">
        <v>41</v>
      </c>
      <c r="F2431">
        <v>17.529299999999999</v>
      </c>
      <c r="G2431">
        <v>47.091999999999999</v>
      </c>
      <c r="H2431">
        <v>45.774099999999997</v>
      </c>
      <c r="I2431">
        <v>39.835999999999999</v>
      </c>
      <c r="J2431">
        <v>44.542400000000001</v>
      </c>
      <c r="K2431">
        <v>28.024699999999999</v>
      </c>
      <c r="L2431">
        <v>27.2819</v>
      </c>
      <c r="M2431">
        <v>48.643700000000003</v>
      </c>
      <c r="N2431">
        <v>93.597700000000003</v>
      </c>
      <c r="O2431">
        <v>199.23949999999999</v>
      </c>
      <c r="P2431">
        <v>643</v>
      </c>
      <c r="Q2431" t="s">
        <v>5192</v>
      </c>
    </row>
    <row r="2432" spans="1:17" x14ac:dyDescent="0.3">
      <c r="A2432" t="s">
        <v>4664</v>
      </c>
      <c r="B2432" t="str">
        <f>"000691"</f>
        <v>000691</v>
      </c>
      <c r="C2432" t="s">
        <v>5193</v>
      </c>
      <c r="D2432" t="s">
        <v>104</v>
      </c>
      <c r="F2432">
        <v>171.291</v>
      </c>
      <c r="G2432">
        <v>337.27760000000001</v>
      </c>
      <c r="H2432">
        <v>4289.7950000000001</v>
      </c>
      <c r="I2432">
        <v>3971.8597</v>
      </c>
      <c r="J2432">
        <v>1621.3698999999999</v>
      </c>
      <c r="K2432">
        <v>4707.1688000000004</v>
      </c>
      <c r="L2432">
        <v>2152.0992000000001</v>
      </c>
      <c r="M2432">
        <v>10168.4481</v>
      </c>
      <c r="N2432">
        <v>5577.9359999999997</v>
      </c>
      <c r="O2432">
        <v>4945.6877000000004</v>
      </c>
      <c r="P2432">
        <v>91</v>
      </c>
      <c r="Q2432" t="s">
        <v>5194</v>
      </c>
    </row>
    <row r="2433" spans="1:17" x14ac:dyDescent="0.3">
      <c r="A2433" t="s">
        <v>4664</v>
      </c>
      <c r="B2433" t="str">
        <f>"000692"</f>
        <v>000692</v>
      </c>
      <c r="C2433" t="s">
        <v>5195</v>
      </c>
      <c r="D2433" t="s">
        <v>351</v>
      </c>
      <c r="F2433">
        <v>76.265900000000002</v>
      </c>
      <c r="G2433">
        <v>73.857500000000002</v>
      </c>
      <c r="H2433">
        <v>91.027299999999997</v>
      </c>
      <c r="I2433">
        <v>123.5916</v>
      </c>
      <c r="J2433">
        <v>171.18539999999999</v>
      </c>
      <c r="K2433">
        <v>187.8254</v>
      </c>
      <c r="L2433">
        <v>183.941</v>
      </c>
      <c r="M2433">
        <v>180.70189999999999</v>
      </c>
      <c r="N2433">
        <v>77.488600000000005</v>
      </c>
      <c r="O2433">
        <v>257.93290000000002</v>
      </c>
      <c r="P2433">
        <v>77</v>
      </c>
      <c r="Q2433" t="s">
        <v>5196</v>
      </c>
    </row>
    <row r="2434" spans="1:17" x14ac:dyDescent="0.3">
      <c r="A2434" t="s">
        <v>4664</v>
      </c>
      <c r="B2434" t="str">
        <f>"000693"</f>
        <v>000693</v>
      </c>
      <c r="C2434" t="s">
        <v>5197</v>
      </c>
      <c r="I2434">
        <v>39086.643700000001</v>
      </c>
      <c r="J2434">
        <v>124.2103</v>
      </c>
      <c r="K2434">
        <v>45.178199999999997</v>
      </c>
      <c r="L2434">
        <v>21.957899999999999</v>
      </c>
      <c r="M2434">
        <v>28.235700000000001</v>
      </c>
      <c r="N2434">
        <v>29.060300000000002</v>
      </c>
      <c r="O2434">
        <v>46.289000000000001</v>
      </c>
      <c r="P2434">
        <v>17</v>
      </c>
      <c r="Q2434" t="s">
        <v>5198</v>
      </c>
    </row>
    <row r="2435" spans="1:17" x14ac:dyDescent="0.3">
      <c r="A2435" t="s">
        <v>4664</v>
      </c>
      <c r="B2435" t="str">
        <f>"000695"</f>
        <v>000695</v>
      </c>
      <c r="C2435" t="s">
        <v>5199</v>
      </c>
      <c r="D2435" t="s">
        <v>1692</v>
      </c>
      <c r="F2435">
        <v>133.46520000000001</v>
      </c>
      <c r="G2435">
        <v>147.26400000000001</v>
      </c>
      <c r="H2435">
        <v>114.66719999999999</v>
      </c>
      <c r="I2435">
        <v>43.124200000000002</v>
      </c>
      <c r="J2435">
        <v>65.230400000000003</v>
      </c>
      <c r="K2435">
        <v>14.483599999999999</v>
      </c>
      <c r="L2435">
        <v>30.789899999999999</v>
      </c>
      <c r="M2435">
        <v>29.226900000000001</v>
      </c>
      <c r="N2435">
        <v>57.260599999999997</v>
      </c>
      <c r="O2435">
        <v>53.849699999999999</v>
      </c>
      <c r="P2435">
        <v>82</v>
      </c>
      <c r="Q2435" t="s">
        <v>5200</v>
      </c>
    </row>
    <row r="2436" spans="1:17" x14ac:dyDescent="0.3">
      <c r="A2436" t="s">
        <v>4664</v>
      </c>
      <c r="B2436" t="str">
        <f>"000697"</f>
        <v>000697</v>
      </c>
      <c r="C2436" t="s">
        <v>5201</v>
      </c>
      <c r="D2436" t="s">
        <v>98</v>
      </c>
      <c r="F2436">
        <v>158.10480000000001</v>
      </c>
      <c r="G2436">
        <v>142.13120000000001</v>
      </c>
      <c r="H2436">
        <v>87.027000000000001</v>
      </c>
      <c r="I2436">
        <v>87.634200000000007</v>
      </c>
      <c r="J2436">
        <v>110.0067</v>
      </c>
      <c r="K2436">
        <v>11352.3784</v>
      </c>
      <c r="L2436">
        <v>129.56389999999999</v>
      </c>
      <c r="M2436">
        <v>124.72799999999999</v>
      </c>
      <c r="N2436">
        <v>189.7714</v>
      </c>
      <c r="O2436">
        <v>249.20230000000001</v>
      </c>
      <c r="P2436">
        <v>110</v>
      </c>
      <c r="Q2436" t="s">
        <v>5202</v>
      </c>
    </row>
    <row r="2437" spans="1:17" x14ac:dyDescent="0.3">
      <c r="A2437" t="s">
        <v>4664</v>
      </c>
      <c r="B2437" t="str">
        <f>"000698"</f>
        <v>000698</v>
      </c>
      <c r="C2437" t="s">
        <v>5203</v>
      </c>
      <c r="D2437" t="s">
        <v>74</v>
      </c>
      <c r="F2437">
        <v>34.092700000000001</v>
      </c>
      <c r="G2437">
        <v>50.440300000000001</v>
      </c>
      <c r="H2437">
        <v>36.343499999999999</v>
      </c>
      <c r="I2437">
        <v>29.057200000000002</v>
      </c>
      <c r="J2437">
        <v>15.5878</v>
      </c>
      <c r="K2437">
        <v>29.659600000000001</v>
      </c>
      <c r="L2437">
        <v>31.196899999999999</v>
      </c>
      <c r="M2437">
        <v>28.086200000000002</v>
      </c>
      <c r="N2437">
        <v>25.751200000000001</v>
      </c>
      <c r="O2437">
        <v>27.735499999999998</v>
      </c>
      <c r="P2437">
        <v>166</v>
      </c>
      <c r="Q2437" t="s">
        <v>5204</v>
      </c>
    </row>
    <row r="2438" spans="1:17" x14ac:dyDescent="0.3">
      <c r="A2438" t="s">
        <v>4664</v>
      </c>
      <c r="B2438" t="str">
        <f>"000700"</f>
        <v>000700</v>
      </c>
      <c r="C2438" t="s">
        <v>5205</v>
      </c>
      <c r="D2438" t="s">
        <v>191</v>
      </c>
      <c r="F2438">
        <v>79.8553</v>
      </c>
      <c r="G2438">
        <v>104.00109999999999</v>
      </c>
      <c r="H2438">
        <v>100.6189</v>
      </c>
      <c r="I2438">
        <v>94.995199999999997</v>
      </c>
      <c r="J2438">
        <v>72.156800000000004</v>
      </c>
      <c r="K2438">
        <v>72.708600000000004</v>
      </c>
      <c r="L2438">
        <v>70.989099999999993</v>
      </c>
      <c r="M2438">
        <v>90.468699999999998</v>
      </c>
      <c r="N2438">
        <v>138.26910000000001</v>
      </c>
      <c r="O2438">
        <v>163.98500000000001</v>
      </c>
      <c r="P2438">
        <v>259</v>
      </c>
      <c r="Q2438" t="s">
        <v>5206</v>
      </c>
    </row>
    <row r="2439" spans="1:17" x14ac:dyDescent="0.3">
      <c r="A2439" t="s">
        <v>4664</v>
      </c>
      <c r="B2439" t="str">
        <f>"000701"</f>
        <v>000701</v>
      </c>
      <c r="C2439" t="s">
        <v>5207</v>
      </c>
      <c r="D2439" t="s">
        <v>651</v>
      </c>
      <c r="F2439">
        <v>18.794599999999999</v>
      </c>
      <c r="G2439">
        <v>39.427300000000002</v>
      </c>
      <c r="H2439">
        <v>31.104500000000002</v>
      </c>
      <c r="I2439">
        <v>36.469900000000003</v>
      </c>
      <c r="J2439">
        <v>38.183</v>
      </c>
      <c r="K2439">
        <v>59.652000000000001</v>
      </c>
      <c r="L2439">
        <v>55.503</v>
      </c>
      <c r="M2439">
        <v>65.645600000000002</v>
      </c>
      <c r="N2439">
        <v>50.783700000000003</v>
      </c>
      <c r="O2439">
        <v>62.404400000000003</v>
      </c>
      <c r="P2439">
        <v>120</v>
      </c>
      <c r="Q2439" t="s">
        <v>5208</v>
      </c>
    </row>
    <row r="2440" spans="1:17" x14ac:dyDescent="0.3">
      <c r="A2440" t="s">
        <v>4664</v>
      </c>
      <c r="B2440" t="str">
        <f>"000702"</f>
        <v>000702</v>
      </c>
      <c r="C2440" t="s">
        <v>5209</v>
      </c>
      <c r="D2440" t="s">
        <v>2859</v>
      </c>
      <c r="F2440">
        <v>94.730900000000005</v>
      </c>
      <c r="G2440">
        <v>118.3284</v>
      </c>
      <c r="H2440">
        <v>65.285700000000006</v>
      </c>
      <c r="I2440">
        <v>68.472999999999999</v>
      </c>
      <c r="J2440">
        <v>61.1479</v>
      </c>
      <c r="K2440">
        <v>55.6462</v>
      </c>
      <c r="L2440">
        <v>60.525700000000001</v>
      </c>
      <c r="M2440">
        <v>47.203600000000002</v>
      </c>
      <c r="N2440">
        <v>37.181800000000003</v>
      </c>
      <c r="O2440">
        <v>48.284399999999998</v>
      </c>
      <c r="P2440">
        <v>127</v>
      </c>
      <c r="Q2440" t="s">
        <v>5210</v>
      </c>
    </row>
    <row r="2441" spans="1:17" x14ac:dyDescent="0.3">
      <c r="A2441" t="s">
        <v>4664</v>
      </c>
      <c r="B2441" t="str">
        <f>"000703"</f>
        <v>000703</v>
      </c>
      <c r="C2441" t="s">
        <v>5211</v>
      </c>
      <c r="D2441" t="s">
        <v>74</v>
      </c>
      <c r="F2441">
        <v>51.723799999999997</v>
      </c>
      <c r="G2441">
        <v>71.755300000000005</v>
      </c>
      <c r="H2441">
        <v>21.437899999999999</v>
      </c>
      <c r="I2441">
        <v>19.8642</v>
      </c>
      <c r="J2441">
        <v>16.427499999999998</v>
      </c>
      <c r="K2441">
        <v>29.527100000000001</v>
      </c>
      <c r="L2441">
        <v>30.323799999999999</v>
      </c>
      <c r="M2441">
        <v>30.994399999999999</v>
      </c>
      <c r="N2441">
        <v>41.621299999999998</v>
      </c>
      <c r="O2441">
        <v>42.419699999999999</v>
      </c>
      <c r="P2441">
        <v>581</v>
      </c>
      <c r="Q2441" t="s">
        <v>5212</v>
      </c>
    </row>
    <row r="2442" spans="1:17" x14ac:dyDescent="0.3">
      <c r="A2442" t="s">
        <v>4664</v>
      </c>
      <c r="B2442" t="str">
        <f>"000705"</f>
        <v>000705</v>
      </c>
      <c r="C2442" t="s">
        <v>5213</v>
      </c>
      <c r="D2442" t="s">
        <v>125</v>
      </c>
      <c r="F2442">
        <v>95.924300000000002</v>
      </c>
      <c r="G2442">
        <v>97.452500000000001</v>
      </c>
      <c r="H2442">
        <v>91.150999999999996</v>
      </c>
      <c r="I2442">
        <v>92.917199999999994</v>
      </c>
      <c r="J2442">
        <v>80.162599999999998</v>
      </c>
      <c r="K2442">
        <v>84.701899999999995</v>
      </c>
      <c r="L2442">
        <v>91.496700000000004</v>
      </c>
      <c r="M2442">
        <v>78.490099999999998</v>
      </c>
      <c r="N2442">
        <v>78.453400000000002</v>
      </c>
      <c r="O2442">
        <v>82.200500000000005</v>
      </c>
      <c r="P2442">
        <v>107</v>
      </c>
      <c r="Q2442" t="s">
        <v>5214</v>
      </c>
    </row>
    <row r="2443" spans="1:17" x14ac:dyDescent="0.3">
      <c r="A2443" t="s">
        <v>4664</v>
      </c>
      <c r="B2443" t="str">
        <f>"000707"</f>
        <v>000707</v>
      </c>
      <c r="C2443" t="s">
        <v>5215</v>
      </c>
      <c r="D2443" t="s">
        <v>2516</v>
      </c>
      <c r="F2443">
        <v>52.826700000000002</v>
      </c>
      <c r="G2443">
        <v>115.5384</v>
      </c>
      <c r="H2443">
        <v>138.49969999999999</v>
      </c>
      <c r="I2443">
        <v>320.68779999999998</v>
      </c>
      <c r="J2443">
        <v>556.08659999999998</v>
      </c>
      <c r="K2443">
        <v>466.42419999999998</v>
      </c>
      <c r="L2443">
        <v>577.44820000000004</v>
      </c>
      <c r="M2443">
        <v>349.72379999999998</v>
      </c>
      <c r="N2443">
        <v>242.5667</v>
      </c>
      <c r="O2443">
        <v>166.71360000000001</v>
      </c>
      <c r="P2443">
        <v>83</v>
      </c>
      <c r="Q2443" t="s">
        <v>5216</v>
      </c>
    </row>
    <row r="2444" spans="1:17" x14ac:dyDescent="0.3">
      <c r="A2444" t="s">
        <v>4664</v>
      </c>
      <c r="B2444" t="str">
        <f>"000708"</f>
        <v>000708</v>
      </c>
      <c r="C2444" t="s">
        <v>5217</v>
      </c>
      <c r="D2444" t="s">
        <v>281</v>
      </c>
      <c r="F2444">
        <v>58.853099999999998</v>
      </c>
      <c r="G2444">
        <v>63.243600000000001</v>
      </c>
      <c r="H2444">
        <v>35.042400000000001</v>
      </c>
      <c r="I2444">
        <v>38.803100000000001</v>
      </c>
      <c r="J2444">
        <v>47.116599999999998</v>
      </c>
      <c r="K2444">
        <v>56.741599999999998</v>
      </c>
      <c r="L2444">
        <v>81.232699999999994</v>
      </c>
      <c r="M2444">
        <v>73.336699999999993</v>
      </c>
      <c r="N2444">
        <v>64.791799999999995</v>
      </c>
      <c r="O2444">
        <v>62.183999999999997</v>
      </c>
      <c r="P2444">
        <v>677</v>
      </c>
      <c r="Q2444" t="s">
        <v>5218</v>
      </c>
    </row>
    <row r="2445" spans="1:17" x14ac:dyDescent="0.3">
      <c r="A2445" t="s">
        <v>4664</v>
      </c>
      <c r="B2445" t="str">
        <f>"000709"</f>
        <v>000709</v>
      </c>
      <c r="C2445" t="s">
        <v>5219</v>
      </c>
      <c r="D2445" t="s">
        <v>38</v>
      </c>
      <c r="F2445">
        <v>67.137500000000003</v>
      </c>
      <c r="G2445">
        <v>110.3918</v>
      </c>
      <c r="H2445">
        <v>94.5321</v>
      </c>
      <c r="I2445">
        <v>111.89100000000001</v>
      </c>
      <c r="J2445">
        <v>131.61760000000001</v>
      </c>
      <c r="K2445">
        <v>184.16139999999999</v>
      </c>
      <c r="L2445">
        <v>180.7722</v>
      </c>
      <c r="M2445">
        <v>145.44810000000001</v>
      </c>
      <c r="N2445">
        <v>122.9631</v>
      </c>
      <c r="O2445">
        <v>106.7619</v>
      </c>
      <c r="P2445">
        <v>524</v>
      </c>
      <c r="Q2445" t="s">
        <v>5220</v>
      </c>
    </row>
    <row r="2446" spans="1:17" x14ac:dyDescent="0.3">
      <c r="A2446" t="s">
        <v>4664</v>
      </c>
      <c r="B2446" t="str">
        <f>"000710"</f>
        <v>000710</v>
      </c>
      <c r="C2446" t="s">
        <v>5221</v>
      </c>
      <c r="D2446" t="s">
        <v>1305</v>
      </c>
      <c r="F2446">
        <v>128.81030000000001</v>
      </c>
      <c r="G2446">
        <v>306.1481</v>
      </c>
      <c r="H2446">
        <v>196.7801</v>
      </c>
      <c r="I2446">
        <v>104.5919</v>
      </c>
      <c r="J2446">
        <v>96.763900000000007</v>
      </c>
      <c r="K2446">
        <v>121.06870000000001</v>
      </c>
      <c r="L2446">
        <v>136.31809999999999</v>
      </c>
      <c r="M2446">
        <v>92.885599999999997</v>
      </c>
      <c r="N2446">
        <v>101.5373</v>
      </c>
      <c r="O2446">
        <v>90.799300000000002</v>
      </c>
      <c r="P2446">
        <v>460</v>
      </c>
      <c r="Q2446" t="s">
        <v>5222</v>
      </c>
    </row>
    <row r="2447" spans="1:17" x14ac:dyDescent="0.3">
      <c r="A2447" t="s">
        <v>4664</v>
      </c>
      <c r="B2447" t="str">
        <f>"000711"</f>
        <v>000711</v>
      </c>
      <c r="C2447" t="s">
        <v>5223</v>
      </c>
      <c r="D2447" t="s">
        <v>499</v>
      </c>
      <c r="F2447">
        <v>697.3723</v>
      </c>
      <c r="G2447">
        <v>2315.5322000000001</v>
      </c>
      <c r="H2447">
        <v>1561.5659000000001</v>
      </c>
      <c r="I2447">
        <v>948.73009999999999</v>
      </c>
      <c r="J2447">
        <v>1087.3846000000001</v>
      </c>
      <c r="K2447">
        <v>6948.3730999999998</v>
      </c>
      <c r="L2447">
        <v>18.575600000000001</v>
      </c>
      <c r="M2447">
        <v>25.9815</v>
      </c>
      <c r="N2447">
        <v>0</v>
      </c>
      <c r="O2447">
        <v>0</v>
      </c>
      <c r="P2447">
        <v>109</v>
      </c>
      <c r="Q2447" t="s">
        <v>5224</v>
      </c>
    </row>
    <row r="2448" spans="1:17" x14ac:dyDescent="0.3">
      <c r="A2448" t="s">
        <v>4664</v>
      </c>
      <c r="B2448" t="str">
        <f>"000712"</f>
        <v>000712</v>
      </c>
      <c r="C2448" t="s">
        <v>5225</v>
      </c>
      <c r="D2448" t="s">
        <v>80</v>
      </c>
      <c r="P2448">
        <v>557</v>
      </c>
      <c r="Q2448" t="s">
        <v>5226</v>
      </c>
    </row>
    <row r="2449" spans="1:17" x14ac:dyDescent="0.3">
      <c r="A2449" t="s">
        <v>4664</v>
      </c>
      <c r="B2449" t="str">
        <f>"000713"</f>
        <v>000713</v>
      </c>
      <c r="C2449" t="s">
        <v>5227</v>
      </c>
      <c r="D2449" t="s">
        <v>706</v>
      </c>
      <c r="F2449">
        <v>161.68049999999999</v>
      </c>
      <c r="G2449">
        <v>187.52010000000001</v>
      </c>
      <c r="H2449">
        <v>188.6157</v>
      </c>
      <c r="I2449">
        <v>298.54020000000003</v>
      </c>
      <c r="J2449">
        <v>306.61059999999998</v>
      </c>
      <c r="K2449">
        <v>342.92649999999998</v>
      </c>
      <c r="L2449">
        <v>416.82440000000003</v>
      </c>
      <c r="M2449">
        <v>381.07810000000001</v>
      </c>
      <c r="N2449">
        <v>321.83580000000001</v>
      </c>
      <c r="O2449">
        <v>308.78230000000002</v>
      </c>
      <c r="P2449">
        <v>237</v>
      </c>
      <c r="Q2449" t="s">
        <v>5228</v>
      </c>
    </row>
    <row r="2450" spans="1:17" x14ac:dyDescent="0.3">
      <c r="A2450" t="s">
        <v>4664</v>
      </c>
      <c r="B2450" t="str">
        <f>"000715"</f>
        <v>000715</v>
      </c>
      <c r="C2450" t="s">
        <v>5229</v>
      </c>
      <c r="D2450" t="s">
        <v>633</v>
      </c>
      <c r="F2450">
        <v>75.441999999999993</v>
      </c>
      <c r="G2450">
        <v>75.632900000000006</v>
      </c>
      <c r="H2450">
        <v>12.0641</v>
      </c>
      <c r="I2450">
        <v>11.084099999999999</v>
      </c>
      <c r="J2450">
        <v>11.465400000000001</v>
      </c>
      <c r="K2450">
        <v>12.576599999999999</v>
      </c>
      <c r="L2450">
        <v>13.8367</v>
      </c>
      <c r="M2450">
        <v>13.1778</v>
      </c>
      <c r="N2450">
        <v>12.9916</v>
      </c>
      <c r="O2450">
        <v>14.237500000000001</v>
      </c>
      <c r="P2450">
        <v>103</v>
      </c>
      <c r="Q2450" t="s">
        <v>5230</v>
      </c>
    </row>
    <row r="2451" spans="1:17" x14ac:dyDescent="0.3">
      <c r="A2451" t="s">
        <v>4664</v>
      </c>
      <c r="B2451" t="str">
        <f>"000716"</f>
        <v>000716</v>
      </c>
      <c r="C2451" t="s">
        <v>5231</v>
      </c>
      <c r="D2451" t="s">
        <v>2479</v>
      </c>
      <c r="F2451">
        <v>112.97750000000001</v>
      </c>
      <c r="G2451">
        <v>103.42870000000001</v>
      </c>
      <c r="H2451">
        <v>70.170199999999994</v>
      </c>
      <c r="I2451">
        <v>92.041499999999999</v>
      </c>
      <c r="J2451">
        <v>106.0701</v>
      </c>
      <c r="K2451">
        <v>168.77690000000001</v>
      </c>
      <c r="L2451">
        <v>99.873800000000003</v>
      </c>
      <c r="M2451">
        <v>62.5914</v>
      </c>
      <c r="N2451">
        <v>60.784599999999998</v>
      </c>
      <c r="O2451">
        <v>89.9863</v>
      </c>
      <c r="P2451">
        <v>163</v>
      </c>
      <c r="Q2451" t="s">
        <v>5232</v>
      </c>
    </row>
    <row r="2452" spans="1:17" x14ac:dyDescent="0.3">
      <c r="A2452" t="s">
        <v>4664</v>
      </c>
      <c r="B2452" t="str">
        <f>"000717"</f>
        <v>000717</v>
      </c>
      <c r="C2452" t="s">
        <v>5233</v>
      </c>
      <c r="D2452" t="s">
        <v>531</v>
      </c>
      <c r="F2452">
        <v>27.485700000000001</v>
      </c>
      <c r="G2452">
        <v>41.872599999999998</v>
      </c>
      <c r="H2452">
        <v>39.351700000000001</v>
      </c>
      <c r="I2452">
        <v>50.64</v>
      </c>
      <c r="J2452">
        <v>43.731200000000001</v>
      </c>
      <c r="K2452">
        <v>58.140700000000002</v>
      </c>
      <c r="L2452">
        <v>60.991799999999998</v>
      </c>
      <c r="M2452">
        <v>80.345699999999994</v>
      </c>
      <c r="N2452">
        <v>77.954300000000003</v>
      </c>
      <c r="O2452">
        <v>68.351500000000001</v>
      </c>
      <c r="P2452">
        <v>681</v>
      </c>
      <c r="Q2452" t="s">
        <v>5234</v>
      </c>
    </row>
    <row r="2453" spans="1:17" x14ac:dyDescent="0.3">
      <c r="A2453" t="s">
        <v>4664</v>
      </c>
      <c r="B2453" t="str">
        <f>"000718"</f>
        <v>000718</v>
      </c>
      <c r="C2453" t="s">
        <v>5235</v>
      </c>
      <c r="D2453" t="s">
        <v>104</v>
      </c>
      <c r="F2453">
        <v>3532.9448000000002</v>
      </c>
      <c r="G2453">
        <v>4335.8720000000003</v>
      </c>
      <c r="H2453">
        <v>4424.9809999999998</v>
      </c>
      <c r="I2453">
        <v>4567.1311999999998</v>
      </c>
      <c r="J2453">
        <v>2557.4506000000001</v>
      </c>
      <c r="K2453">
        <v>2449.9931000000001</v>
      </c>
      <c r="L2453">
        <v>1885.8000999999999</v>
      </c>
      <c r="M2453">
        <v>7715.7001</v>
      </c>
      <c r="N2453">
        <v>3052.4742999999999</v>
      </c>
      <c r="O2453">
        <v>3846.7354999999998</v>
      </c>
      <c r="P2453">
        <v>659</v>
      </c>
      <c r="Q2453" t="s">
        <v>5236</v>
      </c>
    </row>
    <row r="2454" spans="1:17" x14ac:dyDescent="0.3">
      <c r="A2454" t="s">
        <v>4664</v>
      </c>
      <c r="B2454" t="str">
        <f>"000719"</f>
        <v>000719</v>
      </c>
      <c r="C2454" t="s">
        <v>5237</v>
      </c>
      <c r="D2454" t="s">
        <v>525</v>
      </c>
      <c r="F2454">
        <v>112.4975</v>
      </c>
      <c r="G2454">
        <v>121.62</v>
      </c>
      <c r="H2454">
        <v>107.8502</v>
      </c>
      <c r="I2454">
        <v>102.1895</v>
      </c>
      <c r="J2454">
        <v>97.667000000000002</v>
      </c>
      <c r="K2454">
        <v>95.719300000000004</v>
      </c>
      <c r="L2454">
        <v>107.2587</v>
      </c>
      <c r="M2454">
        <v>89.3078</v>
      </c>
      <c r="N2454">
        <v>104.408</v>
      </c>
      <c r="O2454">
        <v>153.16900000000001</v>
      </c>
      <c r="P2454">
        <v>695</v>
      </c>
      <c r="Q2454" t="s">
        <v>5238</v>
      </c>
    </row>
    <row r="2455" spans="1:17" x14ac:dyDescent="0.3">
      <c r="A2455" t="s">
        <v>4664</v>
      </c>
      <c r="B2455" t="str">
        <f>"000720"</f>
        <v>000720</v>
      </c>
      <c r="C2455" t="s">
        <v>5239</v>
      </c>
      <c r="D2455" t="s">
        <v>194</v>
      </c>
      <c r="F2455">
        <v>292.6284</v>
      </c>
      <c r="G2455">
        <v>857.71500000000003</v>
      </c>
      <c r="H2455">
        <v>684.9778</v>
      </c>
      <c r="I2455">
        <v>1258.9354000000001</v>
      </c>
      <c r="J2455">
        <v>323.21980000000002</v>
      </c>
      <c r="K2455">
        <v>48.650599999999997</v>
      </c>
      <c r="L2455">
        <v>47.913400000000003</v>
      </c>
      <c r="M2455">
        <v>48.441800000000001</v>
      </c>
      <c r="N2455">
        <v>50.757100000000001</v>
      </c>
      <c r="O2455">
        <v>53.290900000000001</v>
      </c>
      <c r="P2455">
        <v>122</v>
      </c>
      <c r="Q2455" t="s">
        <v>5240</v>
      </c>
    </row>
    <row r="2456" spans="1:17" x14ac:dyDescent="0.3">
      <c r="A2456" t="s">
        <v>4664</v>
      </c>
      <c r="B2456" t="str">
        <f>"000721"</f>
        <v>000721</v>
      </c>
      <c r="C2456" t="s">
        <v>5241</v>
      </c>
      <c r="D2456" t="s">
        <v>3571</v>
      </c>
      <c r="F2456">
        <v>43.225000000000001</v>
      </c>
      <c r="G2456">
        <v>61.549300000000002</v>
      </c>
      <c r="H2456">
        <v>43.460999999999999</v>
      </c>
      <c r="I2456">
        <v>44.0274</v>
      </c>
      <c r="J2456">
        <v>50.263300000000001</v>
      </c>
      <c r="K2456">
        <v>47.602600000000002</v>
      </c>
      <c r="L2456">
        <v>57.893999999999998</v>
      </c>
      <c r="M2456">
        <v>89.968100000000007</v>
      </c>
      <c r="N2456">
        <v>80.951400000000007</v>
      </c>
      <c r="O2456">
        <v>66.0715</v>
      </c>
      <c r="P2456">
        <v>130</v>
      </c>
      <c r="Q2456" t="s">
        <v>5242</v>
      </c>
    </row>
    <row r="2457" spans="1:17" x14ac:dyDescent="0.3">
      <c r="A2457" t="s">
        <v>4664</v>
      </c>
      <c r="B2457" t="str">
        <f>"000722"</f>
        <v>000722</v>
      </c>
      <c r="C2457" t="s">
        <v>5243</v>
      </c>
      <c r="D2457" t="s">
        <v>66</v>
      </c>
      <c r="F2457">
        <v>55.422499999999999</v>
      </c>
      <c r="G2457">
        <v>303.42079999999999</v>
      </c>
      <c r="H2457">
        <v>222.0128</v>
      </c>
      <c r="I2457">
        <v>262.18200000000002</v>
      </c>
      <c r="J2457">
        <v>241.73859999999999</v>
      </c>
      <c r="K2457">
        <v>106.4054</v>
      </c>
      <c r="L2457">
        <v>52.191200000000002</v>
      </c>
      <c r="M2457">
        <v>9.9392999999999994</v>
      </c>
      <c r="N2457">
        <v>9.4189000000000007</v>
      </c>
      <c r="O2457">
        <v>5.8079000000000001</v>
      </c>
      <c r="P2457">
        <v>104</v>
      </c>
      <c r="Q2457" t="s">
        <v>5244</v>
      </c>
    </row>
    <row r="2458" spans="1:17" x14ac:dyDescent="0.3">
      <c r="A2458" t="s">
        <v>4664</v>
      </c>
      <c r="B2458" t="str">
        <f>"000723"</f>
        <v>000723</v>
      </c>
      <c r="C2458" t="s">
        <v>5245</v>
      </c>
      <c r="D2458" t="s">
        <v>885</v>
      </c>
      <c r="F2458">
        <v>32.280900000000003</v>
      </c>
      <c r="G2458">
        <v>46.6629</v>
      </c>
      <c r="H2458">
        <v>66.778099999999995</v>
      </c>
      <c r="I2458">
        <v>74.100700000000003</v>
      </c>
      <c r="J2458">
        <v>72.930700000000002</v>
      </c>
      <c r="K2458">
        <v>116.6464</v>
      </c>
      <c r="L2458">
        <v>100.7313</v>
      </c>
      <c r="M2458">
        <v>120.4392</v>
      </c>
      <c r="N2458">
        <v>45.798400000000001</v>
      </c>
      <c r="O2458">
        <v>71.192499999999995</v>
      </c>
      <c r="P2458">
        <v>673</v>
      </c>
      <c r="Q2458" t="s">
        <v>5246</v>
      </c>
    </row>
    <row r="2459" spans="1:17" x14ac:dyDescent="0.3">
      <c r="A2459" t="s">
        <v>4664</v>
      </c>
      <c r="B2459" t="str">
        <f>"000725"</f>
        <v>000725</v>
      </c>
      <c r="C2459" t="s">
        <v>5247</v>
      </c>
      <c r="D2459" t="s">
        <v>1117</v>
      </c>
      <c r="F2459">
        <v>75.291300000000007</v>
      </c>
      <c r="G2459">
        <v>61.058799999999998</v>
      </c>
      <c r="H2459">
        <v>59.93</v>
      </c>
      <c r="I2459">
        <v>67.469499999999996</v>
      </c>
      <c r="J2459">
        <v>60.368699999999997</v>
      </c>
      <c r="K2459">
        <v>65.289599999999993</v>
      </c>
      <c r="L2459">
        <v>64.255499999999998</v>
      </c>
      <c r="M2459">
        <v>64.718000000000004</v>
      </c>
      <c r="N2459">
        <v>52.484200000000001</v>
      </c>
      <c r="O2459">
        <v>54.762700000000002</v>
      </c>
      <c r="P2459">
        <v>4544</v>
      </c>
      <c r="Q2459" t="s">
        <v>5248</v>
      </c>
    </row>
    <row r="2460" spans="1:17" x14ac:dyDescent="0.3">
      <c r="A2460" t="s">
        <v>4664</v>
      </c>
      <c r="B2460" t="str">
        <f>"000726"</f>
        <v>000726</v>
      </c>
      <c r="C2460" t="s">
        <v>5249</v>
      </c>
      <c r="D2460" t="s">
        <v>1009</v>
      </c>
      <c r="F2460">
        <v>258.1191</v>
      </c>
      <c r="G2460">
        <v>329.12259999999998</v>
      </c>
      <c r="H2460">
        <v>244.42590000000001</v>
      </c>
      <c r="I2460">
        <v>207.0752</v>
      </c>
      <c r="J2460">
        <v>207.3509</v>
      </c>
      <c r="K2460">
        <v>209.3433</v>
      </c>
      <c r="L2460">
        <v>184.37440000000001</v>
      </c>
      <c r="M2460">
        <v>187.1361</v>
      </c>
      <c r="N2460">
        <v>187.7852</v>
      </c>
      <c r="O2460">
        <v>198.404</v>
      </c>
      <c r="P2460">
        <v>980</v>
      </c>
      <c r="Q2460" t="s">
        <v>5250</v>
      </c>
    </row>
    <row r="2461" spans="1:17" x14ac:dyDescent="0.3">
      <c r="A2461" t="s">
        <v>4664</v>
      </c>
      <c r="B2461" t="str">
        <f>"000727"</f>
        <v>000727</v>
      </c>
      <c r="C2461" t="s">
        <v>5251</v>
      </c>
      <c r="D2461" t="s">
        <v>1117</v>
      </c>
      <c r="F2461">
        <v>99.322900000000004</v>
      </c>
      <c r="G2461">
        <v>83.087000000000003</v>
      </c>
      <c r="H2461">
        <v>147.37880000000001</v>
      </c>
      <c r="I2461">
        <v>166.17760000000001</v>
      </c>
      <c r="J2461">
        <v>127.5425</v>
      </c>
      <c r="K2461">
        <v>330.00979999999998</v>
      </c>
      <c r="L2461">
        <v>172.7612</v>
      </c>
      <c r="M2461">
        <v>95.081299999999999</v>
      </c>
      <c r="N2461">
        <v>103.3396</v>
      </c>
      <c r="O2461">
        <v>108.07640000000001</v>
      </c>
      <c r="P2461">
        <v>197</v>
      </c>
      <c r="Q2461" t="s">
        <v>5252</v>
      </c>
    </row>
    <row r="2462" spans="1:17" x14ac:dyDescent="0.3">
      <c r="A2462" t="s">
        <v>4664</v>
      </c>
      <c r="B2462" t="str">
        <f>"000728"</f>
        <v>000728</v>
      </c>
      <c r="C2462" t="s">
        <v>5253</v>
      </c>
      <c r="D2462" t="s">
        <v>80</v>
      </c>
      <c r="P2462">
        <v>1900</v>
      </c>
      <c r="Q2462" t="s">
        <v>5254</v>
      </c>
    </row>
    <row r="2463" spans="1:17" x14ac:dyDescent="0.3">
      <c r="A2463" t="s">
        <v>4664</v>
      </c>
      <c r="B2463" t="str">
        <f>"000729"</f>
        <v>000729</v>
      </c>
      <c r="C2463" t="s">
        <v>5255</v>
      </c>
      <c r="D2463" t="s">
        <v>319</v>
      </c>
      <c r="F2463">
        <v>225.65530000000001</v>
      </c>
      <c r="G2463">
        <v>243.8116</v>
      </c>
      <c r="H2463">
        <v>230.15530000000001</v>
      </c>
      <c r="I2463">
        <v>224.18289999999999</v>
      </c>
      <c r="J2463">
        <v>221.4838</v>
      </c>
      <c r="K2463">
        <v>222.11359999999999</v>
      </c>
      <c r="L2463">
        <v>225.39670000000001</v>
      </c>
      <c r="M2463">
        <v>195.1266</v>
      </c>
      <c r="N2463">
        <v>206.61609999999999</v>
      </c>
      <c r="O2463">
        <v>224.01490000000001</v>
      </c>
      <c r="P2463">
        <v>607</v>
      </c>
      <c r="Q2463" t="s">
        <v>5256</v>
      </c>
    </row>
    <row r="2464" spans="1:17" x14ac:dyDescent="0.3">
      <c r="A2464" t="s">
        <v>4664</v>
      </c>
      <c r="B2464" t="str">
        <f>"000730"</f>
        <v>000730</v>
      </c>
      <c r="C2464" t="s">
        <v>5257</v>
      </c>
      <c r="K2464">
        <v>292.82749999999999</v>
      </c>
      <c r="L2464">
        <v>149.93440000000001</v>
      </c>
      <c r="P2464">
        <v>4</v>
      </c>
      <c r="Q2464" t="s">
        <v>5258</v>
      </c>
    </row>
    <row r="2465" spans="1:17" x14ac:dyDescent="0.3">
      <c r="A2465" t="s">
        <v>4664</v>
      </c>
      <c r="B2465" t="str">
        <f>"000731"</f>
        <v>000731</v>
      </c>
      <c r="C2465" t="s">
        <v>5259</v>
      </c>
      <c r="D2465" t="s">
        <v>909</v>
      </c>
      <c r="F2465">
        <v>42.589599999999997</v>
      </c>
      <c r="G2465">
        <v>46.4621</v>
      </c>
      <c r="H2465">
        <v>48.920200000000001</v>
      </c>
      <c r="I2465">
        <v>49.929400000000001</v>
      </c>
      <c r="J2465">
        <v>69.050799999999995</v>
      </c>
      <c r="K2465">
        <v>78.539599999999993</v>
      </c>
      <c r="L2465">
        <v>29.449400000000001</v>
      </c>
      <c r="M2465">
        <v>29.929500000000001</v>
      </c>
      <c r="N2465">
        <v>26.941600000000001</v>
      </c>
      <c r="O2465">
        <v>22.353999999999999</v>
      </c>
      <c r="P2465">
        <v>127</v>
      </c>
      <c r="Q2465" t="s">
        <v>5260</v>
      </c>
    </row>
    <row r="2466" spans="1:17" x14ac:dyDescent="0.3">
      <c r="A2466" t="s">
        <v>4664</v>
      </c>
      <c r="B2466" t="str">
        <f>"000732"</f>
        <v>000732</v>
      </c>
      <c r="C2466" t="s">
        <v>5261</v>
      </c>
      <c r="D2466" t="s">
        <v>104</v>
      </c>
      <c r="F2466">
        <v>52883.957999999999</v>
      </c>
      <c r="G2466">
        <v>23184.061000000002</v>
      </c>
      <c r="H2466">
        <v>3920.6412999999998</v>
      </c>
      <c r="I2466">
        <v>4109.8500999999997</v>
      </c>
      <c r="J2466">
        <v>3152.4729000000002</v>
      </c>
      <c r="K2466">
        <v>3125.9757</v>
      </c>
      <c r="L2466">
        <v>4834.8878000000004</v>
      </c>
      <c r="M2466">
        <v>6629.4219000000003</v>
      </c>
      <c r="N2466">
        <v>3591.6772000000001</v>
      </c>
      <c r="O2466">
        <v>5651.3433000000005</v>
      </c>
      <c r="P2466">
        <v>438</v>
      </c>
      <c r="Q2466" t="s">
        <v>5262</v>
      </c>
    </row>
    <row r="2467" spans="1:17" x14ac:dyDescent="0.3">
      <c r="A2467" t="s">
        <v>4664</v>
      </c>
      <c r="B2467" t="str">
        <f>"000733"</f>
        <v>000733</v>
      </c>
      <c r="C2467" t="s">
        <v>5263</v>
      </c>
      <c r="D2467" t="s">
        <v>1136</v>
      </c>
      <c r="F2467">
        <v>274.27809999999999</v>
      </c>
      <c r="G2467">
        <v>228.24950000000001</v>
      </c>
      <c r="H2467">
        <v>244.46799999999999</v>
      </c>
      <c r="I2467">
        <v>150.19290000000001</v>
      </c>
      <c r="J2467">
        <v>120.1955</v>
      </c>
      <c r="K2467">
        <v>128.05260000000001</v>
      </c>
      <c r="L2467">
        <v>127.3762</v>
      </c>
      <c r="M2467">
        <v>126.7516</v>
      </c>
      <c r="N2467">
        <v>166.79220000000001</v>
      </c>
      <c r="O2467">
        <v>156.0669</v>
      </c>
      <c r="P2467">
        <v>490</v>
      </c>
      <c r="Q2467" t="s">
        <v>5264</v>
      </c>
    </row>
    <row r="2468" spans="1:17" x14ac:dyDescent="0.3">
      <c r="A2468" t="s">
        <v>4664</v>
      </c>
      <c r="B2468" t="str">
        <f>"000735"</f>
        <v>000735</v>
      </c>
      <c r="C2468" t="s">
        <v>5265</v>
      </c>
      <c r="D2468" t="s">
        <v>1894</v>
      </c>
      <c r="F2468">
        <v>562.48850000000004</v>
      </c>
      <c r="G2468">
        <v>259.98489999999998</v>
      </c>
      <c r="H2468">
        <v>486.8023</v>
      </c>
      <c r="I2468">
        <v>414.03050000000002</v>
      </c>
      <c r="J2468">
        <v>451.63920000000002</v>
      </c>
      <c r="K2468">
        <v>829.78539999999998</v>
      </c>
      <c r="L2468">
        <v>547.81150000000002</v>
      </c>
      <c r="M2468">
        <v>327.19110000000001</v>
      </c>
      <c r="N2468">
        <v>422.06360000000001</v>
      </c>
      <c r="O2468">
        <v>433.47109999999998</v>
      </c>
      <c r="P2468">
        <v>290</v>
      </c>
      <c r="Q2468" t="s">
        <v>5266</v>
      </c>
    </row>
    <row r="2469" spans="1:17" x14ac:dyDescent="0.3">
      <c r="A2469" t="s">
        <v>4664</v>
      </c>
      <c r="B2469" t="str">
        <f>"000736"</f>
        <v>000736</v>
      </c>
      <c r="C2469" t="s">
        <v>5267</v>
      </c>
      <c r="D2469" t="s">
        <v>104</v>
      </c>
      <c r="F2469">
        <v>6826.7682000000004</v>
      </c>
      <c r="G2469">
        <v>2801.4391999999998</v>
      </c>
      <c r="H2469">
        <v>2932.5374999999999</v>
      </c>
      <c r="I2469">
        <v>3912.8323</v>
      </c>
      <c r="J2469">
        <v>21537.27</v>
      </c>
      <c r="K2469">
        <v>2202.2073999999998</v>
      </c>
      <c r="L2469">
        <v>8420.9259000000002</v>
      </c>
      <c r="M2469">
        <v>4041.1995999999999</v>
      </c>
      <c r="N2469">
        <v>1425.5978</v>
      </c>
      <c r="O2469">
        <v>4331.3293999999996</v>
      </c>
      <c r="P2469">
        <v>189</v>
      </c>
      <c r="Q2469" t="s">
        <v>5268</v>
      </c>
    </row>
    <row r="2470" spans="1:17" x14ac:dyDescent="0.3">
      <c r="A2470" t="s">
        <v>4664</v>
      </c>
      <c r="B2470" t="str">
        <f>"000737"</f>
        <v>000737</v>
      </c>
      <c r="C2470" t="s">
        <v>5269</v>
      </c>
      <c r="D2470" t="s">
        <v>736</v>
      </c>
      <c r="F2470">
        <v>65.136300000000006</v>
      </c>
      <c r="G2470">
        <v>87.293700000000001</v>
      </c>
      <c r="H2470">
        <v>108.7856</v>
      </c>
      <c r="I2470">
        <v>121.13290000000001</v>
      </c>
      <c r="J2470">
        <v>147.32390000000001</v>
      </c>
      <c r="K2470">
        <v>146.06909999999999</v>
      </c>
      <c r="L2470">
        <v>132.80459999999999</v>
      </c>
      <c r="M2470">
        <v>126.271</v>
      </c>
      <c r="N2470">
        <v>99.628100000000003</v>
      </c>
      <c r="O2470">
        <v>107.89319999999999</v>
      </c>
      <c r="P2470">
        <v>83</v>
      </c>
      <c r="Q2470" t="s">
        <v>5270</v>
      </c>
    </row>
    <row r="2471" spans="1:17" x14ac:dyDescent="0.3">
      <c r="A2471" t="s">
        <v>4664</v>
      </c>
      <c r="B2471" t="str">
        <f>"000738"</f>
        <v>000738</v>
      </c>
      <c r="C2471" t="s">
        <v>5271</v>
      </c>
      <c r="D2471" t="s">
        <v>98</v>
      </c>
      <c r="F2471">
        <v>177.10749999999999</v>
      </c>
      <c r="G2471">
        <v>216.99539999999999</v>
      </c>
      <c r="H2471">
        <v>237.4057</v>
      </c>
      <c r="I2471">
        <v>243.857</v>
      </c>
      <c r="J2471">
        <v>216.9939</v>
      </c>
      <c r="K2471">
        <v>224.94550000000001</v>
      </c>
      <c r="L2471">
        <v>230.9873</v>
      </c>
      <c r="M2471">
        <v>185.14250000000001</v>
      </c>
      <c r="N2471">
        <v>168.15379999999999</v>
      </c>
      <c r="O2471">
        <v>267.42489999999998</v>
      </c>
      <c r="P2471">
        <v>324</v>
      </c>
      <c r="Q2471" t="s">
        <v>5272</v>
      </c>
    </row>
    <row r="2472" spans="1:17" x14ac:dyDescent="0.3">
      <c r="A2472" t="s">
        <v>4664</v>
      </c>
      <c r="B2472" t="str">
        <f>"000739"</f>
        <v>000739</v>
      </c>
      <c r="C2472" t="s">
        <v>5273</v>
      </c>
      <c r="D2472" t="s">
        <v>496</v>
      </c>
      <c r="F2472">
        <v>88.028800000000004</v>
      </c>
      <c r="G2472">
        <v>87.208299999999994</v>
      </c>
      <c r="H2472">
        <v>86.526300000000006</v>
      </c>
      <c r="I2472">
        <v>86.294200000000004</v>
      </c>
      <c r="J2472">
        <v>92.249899999999997</v>
      </c>
      <c r="K2472">
        <v>101.4907</v>
      </c>
      <c r="L2472">
        <v>102.32470000000001</v>
      </c>
      <c r="M2472">
        <v>83.3596</v>
      </c>
      <c r="N2472">
        <v>79.453100000000006</v>
      </c>
      <c r="O2472">
        <v>98.713200000000001</v>
      </c>
      <c r="P2472">
        <v>758</v>
      </c>
      <c r="Q2472" t="s">
        <v>5274</v>
      </c>
    </row>
    <row r="2473" spans="1:17" x14ac:dyDescent="0.3">
      <c r="A2473" t="s">
        <v>4664</v>
      </c>
      <c r="B2473" t="str">
        <f>"000748"</f>
        <v>000748</v>
      </c>
      <c r="C2473" t="s">
        <v>5275</v>
      </c>
      <c r="K2473">
        <v>171.83080000000001</v>
      </c>
      <c r="L2473">
        <v>147.17779999999999</v>
      </c>
      <c r="M2473">
        <v>153.83680000000001</v>
      </c>
      <c r="N2473">
        <v>138.07390000000001</v>
      </c>
      <c r="O2473">
        <v>89.993300000000005</v>
      </c>
      <c r="P2473">
        <v>8</v>
      </c>
      <c r="Q2473" t="s">
        <v>5276</v>
      </c>
    </row>
    <row r="2474" spans="1:17" x14ac:dyDescent="0.3">
      <c r="A2474" t="s">
        <v>4664</v>
      </c>
      <c r="B2474" t="str">
        <f>"000750"</f>
        <v>000750</v>
      </c>
      <c r="C2474" t="s">
        <v>5277</v>
      </c>
      <c r="D2474" t="s">
        <v>80</v>
      </c>
      <c r="P2474">
        <v>1038</v>
      </c>
      <c r="Q2474" t="s">
        <v>5278</v>
      </c>
    </row>
    <row r="2475" spans="1:17" x14ac:dyDescent="0.3">
      <c r="A2475" t="s">
        <v>4664</v>
      </c>
      <c r="B2475" t="str">
        <f>"000751"</f>
        <v>000751</v>
      </c>
      <c r="C2475" t="s">
        <v>5279</v>
      </c>
      <c r="D2475" t="s">
        <v>744</v>
      </c>
      <c r="F2475">
        <v>98.780199999999994</v>
      </c>
      <c r="G2475">
        <v>145.31120000000001</v>
      </c>
      <c r="H2475">
        <v>106.7304</v>
      </c>
      <c r="I2475">
        <v>92.085499999999996</v>
      </c>
      <c r="J2475">
        <v>130.2423</v>
      </c>
      <c r="K2475">
        <v>140.02080000000001</v>
      </c>
      <c r="L2475">
        <v>146.65360000000001</v>
      </c>
      <c r="M2475">
        <v>104.2591</v>
      </c>
      <c r="N2475">
        <v>105.87309999999999</v>
      </c>
      <c r="O2475">
        <v>171.79759999999999</v>
      </c>
      <c r="P2475">
        <v>128</v>
      </c>
      <c r="Q2475" t="s">
        <v>5280</v>
      </c>
    </row>
    <row r="2476" spans="1:17" x14ac:dyDescent="0.3">
      <c r="A2476" t="s">
        <v>4664</v>
      </c>
      <c r="B2476" t="str">
        <f>"000752"</f>
        <v>000752</v>
      </c>
      <c r="C2476" t="s">
        <v>5281</v>
      </c>
      <c r="D2476" t="s">
        <v>319</v>
      </c>
      <c r="F2476">
        <v>22.3066</v>
      </c>
      <c r="G2476">
        <v>29.910900000000002</v>
      </c>
      <c r="H2476">
        <v>45.768500000000003</v>
      </c>
      <c r="I2476">
        <v>46.508099999999999</v>
      </c>
      <c r="J2476">
        <v>40.494999999999997</v>
      </c>
      <c r="K2476">
        <v>40.327800000000003</v>
      </c>
      <c r="L2476">
        <v>32.246899999999997</v>
      </c>
      <c r="M2476">
        <v>39.563899999999997</v>
      </c>
      <c r="N2476">
        <v>36.757199999999997</v>
      </c>
      <c r="O2476">
        <v>29.087499999999999</v>
      </c>
      <c r="P2476">
        <v>103</v>
      </c>
      <c r="Q2476" t="s">
        <v>5282</v>
      </c>
    </row>
    <row r="2477" spans="1:17" x14ac:dyDescent="0.3">
      <c r="A2477" t="s">
        <v>4664</v>
      </c>
      <c r="B2477" t="str">
        <f>"000753"</f>
        <v>000753</v>
      </c>
      <c r="C2477" t="s">
        <v>5283</v>
      </c>
      <c r="D2477" t="s">
        <v>110</v>
      </c>
      <c r="F2477">
        <v>334.6379</v>
      </c>
      <c r="G2477">
        <v>338.7602</v>
      </c>
      <c r="H2477">
        <v>358.80070000000001</v>
      </c>
      <c r="I2477">
        <v>408.57150000000001</v>
      </c>
      <c r="J2477">
        <v>503.9794</v>
      </c>
      <c r="K2477">
        <v>379.99059999999997</v>
      </c>
      <c r="L2477">
        <v>293.84539999999998</v>
      </c>
      <c r="M2477">
        <v>271.62009999999998</v>
      </c>
      <c r="N2477">
        <v>263.33760000000001</v>
      </c>
      <c r="O2477">
        <v>186.01650000000001</v>
      </c>
      <c r="P2477">
        <v>85</v>
      </c>
      <c r="Q2477" t="s">
        <v>5284</v>
      </c>
    </row>
    <row r="2478" spans="1:17" x14ac:dyDescent="0.3">
      <c r="A2478" t="s">
        <v>4664</v>
      </c>
      <c r="B2478" t="str">
        <f>"000755"</f>
        <v>000755</v>
      </c>
      <c r="C2478" t="s">
        <v>5285</v>
      </c>
      <c r="D2478" t="s">
        <v>44</v>
      </c>
      <c r="F2478">
        <v>0.83589999999999998</v>
      </c>
      <c r="G2478">
        <v>1.395</v>
      </c>
      <c r="H2478">
        <v>0.9325</v>
      </c>
      <c r="I2478">
        <v>24.250299999999999</v>
      </c>
      <c r="J2478">
        <v>77.354399999999998</v>
      </c>
      <c r="K2478">
        <v>45.203200000000002</v>
      </c>
      <c r="L2478">
        <v>40.770600000000002</v>
      </c>
      <c r="M2478">
        <v>56.956600000000002</v>
      </c>
      <c r="N2478">
        <v>58.267400000000002</v>
      </c>
      <c r="O2478">
        <v>61.3309</v>
      </c>
      <c r="P2478">
        <v>96</v>
      </c>
      <c r="Q2478" t="s">
        <v>5286</v>
      </c>
    </row>
    <row r="2479" spans="1:17" x14ac:dyDescent="0.3">
      <c r="A2479" t="s">
        <v>4664</v>
      </c>
      <c r="B2479" t="str">
        <f>"000756"</f>
        <v>000756</v>
      </c>
      <c r="C2479" t="s">
        <v>5287</v>
      </c>
      <c r="D2479" t="s">
        <v>496</v>
      </c>
      <c r="F2479">
        <v>102.59350000000001</v>
      </c>
      <c r="G2479">
        <v>106.54259999999999</v>
      </c>
      <c r="H2479">
        <v>101.8201</v>
      </c>
      <c r="I2479">
        <v>86.441900000000004</v>
      </c>
      <c r="J2479">
        <v>73.517600000000002</v>
      </c>
      <c r="K2479">
        <v>74.914599999999993</v>
      </c>
      <c r="L2479">
        <v>90.188699999999997</v>
      </c>
      <c r="M2479">
        <v>86.494200000000006</v>
      </c>
      <c r="N2479">
        <v>89.863100000000003</v>
      </c>
      <c r="O2479">
        <v>82.777199999999993</v>
      </c>
      <c r="P2479">
        <v>218</v>
      </c>
      <c r="Q2479" t="s">
        <v>5288</v>
      </c>
    </row>
    <row r="2480" spans="1:17" x14ac:dyDescent="0.3">
      <c r="A2480" t="s">
        <v>4664</v>
      </c>
      <c r="B2480" t="str">
        <f>"000757"</f>
        <v>000757</v>
      </c>
      <c r="C2480" t="s">
        <v>5289</v>
      </c>
      <c r="D2480" t="s">
        <v>2359</v>
      </c>
      <c r="F2480">
        <v>75.808700000000002</v>
      </c>
      <c r="G2480">
        <v>108.3715</v>
      </c>
      <c r="H2480">
        <v>56.688800000000001</v>
      </c>
      <c r="I2480">
        <v>135.89590000000001</v>
      </c>
      <c r="J2480">
        <v>142.7372</v>
      </c>
      <c r="K2480">
        <v>139.81780000000001</v>
      </c>
      <c r="L2480">
        <v>120.2287</v>
      </c>
      <c r="M2480">
        <v>131.9776</v>
      </c>
      <c r="N2480">
        <v>112.9033</v>
      </c>
      <c r="O2480">
        <v>125.0652</v>
      </c>
      <c r="P2480">
        <v>88</v>
      </c>
      <c r="Q2480" t="s">
        <v>5290</v>
      </c>
    </row>
    <row r="2481" spans="1:17" x14ac:dyDescent="0.3">
      <c r="A2481" t="s">
        <v>4664</v>
      </c>
      <c r="B2481" t="str">
        <f>"000758"</f>
        <v>000758</v>
      </c>
      <c r="C2481" t="s">
        <v>5291</v>
      </c>
      <c r="D2481" t="s">
        <v>744</v>
      </c>
      <c r="F2481">
        <v>126.6174</v>
      </c>
      <c r="G2481">
        <v>218.09119999999999</v>
      </c>
      <c r="H2481">
        <v>206.7141</v>
      </c>
      <c r="I2481">
        <v>152.8475</v>
      </c>
      <c r="J2481">
        <v>172.24860000000001</v>
      </c>
      <c r="K2481">
        <v>144.05080000000001</v>
      </c>
      <c r="L2481">
        <v>99.243600000000001</v>
      </c>
      <c r="M2481">
        <v>120.7869</v>
      </c>
      <c r="N2481">
        <v>94.377300000000005</v>
      </c>
      <c r="O2481">
        <v>139.11420000000001</v>
      </c>
      <c r="P2481">
        <v>177</v>
      </c>
      <c r="Q2481" t="s">
        <v>5292</v>
      </c>
    </row>
    <row r="2482" spans="1:17" x14ac:dyDescent="0.3">
      <c r="A2482" t="s">
        <v>4664</v>
      </c>
      <c r="B2482" t="str">
        <f>"000759"</f>
        <v>000759</v>
      </c>
      <c r="C2482" t="s">
        <v>5293</v>
      </c>
      <c r="D2482" t="s">
        <v>798</v>
      </c>
      <c r="F2482">
        <v>84.467100000000002</v>
      </c>
      <c r="G2482">
        <v>78.806200000000004</v>
      </c>
      <c r="H2482">
        <v>50.511499999999998</v>
      </c>
      <c r="I2482">
        <v>46.661200000000001</v>
      </c>
      <c r="J2482">
        <v>61.992600000000003</v>
      </c>
      <c r="K2482">
        <v>60.181399999999996</v>
      </c>
      <c r="L2482">
        <v>69.773499999999999</v>
      </c>
      <c r="M2482">
        <v>71.732900000000001</v>
      </c>
      <c r="N2482">
        <v>66.2928</v>
      </c>
      <c r="O2482">
        <v>68.435299999999998</v>
      </c>
      <c r="P2482">
        <v>153</v>
      </c>
      <c r="Q2482" t="s">
        <v>5294</v>
      </c>
    </row>
    <row r="2483" spans="1:17" x14ac:dyDescent="0.3">
      <c r="A2483" t="s">
        <v>4664</v>
      </c>
      <c r="B2483" t="str">
        <f>"000760"</f>
        <v>000760</v>
      </c>
      <c r="C2483" t="s">
        <v>5295</v>
      </c>
      <c r="G2483">
        <v>4526.8444</v>
      </c>
      <c r="H2483">
        <v>1512.2936999999999</v>
      </c>
      <c r="I2483">
        <v>434.74579999999997</v>
      </c>
      <c r="J2483">
        <v>508.11309999999997</v>
      </c>
      <c r="K2483">
        <v>529.17830000000004</v>
      </c>
      <c r="L2483">
        <v>321.20960000000002</v>
      </c>
      <c r="M2483">
        <v>207.29689999999999</v>
      </c>
      <c r="N2483">
        <v>141.94130000000001</v>
      </c>
      <c r="O2483">
        <v>153.5086</v>
      </c>
      <c r="P2483">
        <v>59</v>
      </c>
      <c r="Q2483" t="s">
        <v>5296</v>
      </c>
    </row>
    <row r="2484" spans="1:17" x14ac:dyDescent="0.3">
      <c r="A2484" t="s">
        <v>4664</v>
      </c>
      <c r="B2484" t="str">
        <f>"000761"</f>
        <v>000761</v>
      </c>
      <c r="C2484" t="s">
        <v>5297</v>
      </c>
      <c r="D2484" t="s">
        <v>38</v>
      </c>
      <c r="F2484">
        <v>65.765799999999999</v>
      </c>
      <c r="G2484">
        <v>94.840199999999996</v>
      </c>
      <c r="H2484">
        <v>102.1801</v>
      </c>
      <c r="I2484">
        <v>130.37029999999999</v>
      </c>
      <c r="J2484">
        <v>138.34389999999999</v>
      </c>
      <c r="K2484">
        <v>187.7698</v>
      </c>
      <c r="L2484">
        <v>224.7621</v>
      </c>
      <c r="M2484">
        <v>152.13939999999999</v>
      </c>
      <c r="N2484">
        <v>115.56229999999999</v>
      </c>
      <c r="O2484">
        <v>143.54920000000001</v>
      </c>
      <c r="P2484">
        <v>237</v>
      </c>
      <c r="Q2484" t="s">
        <v>5298</v>
      </c>
    </row>
    <row r="2485" spans="1:17" x14ac:dyDescent="0.3">
      <c r="A2485" t="s">
        <v>4664</v>
      </c>
      <c r="B2485" t="str">
        <f>"000762"</f>
        <v>000762</v>
      </c>
      <c r="C2485" t="s">
        <v>5299</v>
      </c>
      <c r="D2485" t="s">
        <v>5300</v>
      </c>
      <c r="F2485">
        <v>307.68389999999999</v>
      </c>
      <c r="G2485">
        <v>329.96350000000001</v>
      </c>
      <c r="H2485">
        <v>176.02019999999999</v>
      </c>
      <c r="I2485">
        <v>247.45609999999999</v>
      </c>
      <c r="J2485">
        <v>123.0194</v>
      </c>
      <c r="K2485">
        <v>125.8837</v>
      </c>
      <c r="L2485">
        <v>106.9684</v>
      </c>
      <c r="M2485">
        <v>252.70259999999999</v>
      </c>
      <c r="N2485">
        <v>214.7244</v>
      </c>
      <c r="O2485">
        <v>275.26440000000002</v>
      </c>
      <c r="P2485">
        <v>257</v>
      </c>
      <c r="Q2485" t="s">
        <v>5301</v>
      </c>
    </row>
    <row r="2486" spans="1:17" x14ac:dyDescent="0.3">
      <c r="A2486" t="s">
        <v>4664</v>
      </c>
      <c r="B2486" t="str">
        <f>"000765"</f>
        <v>000765</v>
      </c>
      <c r="C2486" t="s">
        <v>5302</v>
      </c>
      <c r="K2486">
        <v>373.33949999999999</v>
      </c>
      <c r="L2486">
        <v>12476.440199999999</v>
      </c>
      <c r="M2486">
        <v>1007.0123</v>
      </c>
      <c r="N2486">
        <v>994.03589999999997</v>
      </c>
      <c r="O2486">
        <v>995.68719999999996</v>
      </c>
      <c r="P2486">
        <v>4</v>
      </c>
      <c r="Q2486" t="s">
        <v>5303</v>
      </c>
    </row>
    <row r="2487" spans="1:17" x14ac:dyDescent="0.3">
      <c r="A2487" t="s">
        <v>4664</v>
      </c>
      <c r="B2487" t="str">
        <f>"000766"</f>
        <v>000766</v>
      </c>
      <c r="C2487" t="s">
        <v>5304</v>
      </c>
      <c r="D2487" t="s">
        <v>143</v>
      </c>
      <c r="F2487">
        <v>595.21609999999998</v>
      </c>
      <c r="G2487">
        <v>1113.7582</v>
      </c>
      <c r="H2487">
        <v>777.37929999999994</v>
      </c>
      <c r="I2487">
        <v>768.28930000000003</v>
      </c>
      <c r="J2487">
        <v>796.84169999999995</v>
      </c>
      <c r="K2487">
        <v>870.30470000000003</v>
      </c>
      <c r="L2487">
        <v>1577.4278999999999</v>
      </c>
      <c r="M2487">
        <v>1847.7665</v>
      </c>
      <c r="N2487">
        <v>2030.8299</v>
      </c>
      <c r="O2487">
        <v>2277.8685999999998</v>
      </c>
      <c r="P2487">
        <v>146</v>
      </c>
      <c r="Q2487" t="s">
        <v>5305</v>
      </c>
    </row>
    <row r="2488" spans="1:17" x14ac:dyDescent="0.3">
      <c r="A2488" t="s">
        <v>4664</v>
      </c>
      <c r="B2488" t="str">
        <f>"000767"</f>
        <v>000767</v>
      </c>
      <c r="C2488" t="s">
        <v>5306</v>
      </c>
      <c r="D2488" t="s">
        <v>41</v>
      </c>
      <c r="F2488">
        <v>66.875699999999995</v>
      </c>
      <c r="G2488">
        <v>44.566400000000002</v>
      </c>
      <c r="H2488">
        <v>43.688000000000002</v>
      </c>
      <c r="I2488">
        <v>41.854100000000003</v>
      </c>
      <c r="J2488">
        <v>43.0944</v>
      </c>
      <c r="K2488">
        <v>42.2714</v>
      </c>
      <c r="L2488">
        <v>48.365699999999997</v>
      </c>
      <c r="M2488">
        <v>36.198700000000002</v>
      </c>
      <c r="N2488">
        <v>31.428100000000001</v>
      </c>
      <c r="O2488">
        <v>36.032899999999998</v>
      </c>
      <c r="P2488">
        <v>173</v>
      </c>
      <c r="Q2488" t="s">
        <v>5307</v>
      </c>
    </row>
    <row r="2489" spans="1:17" x14ac:dyDescent="0.3">
      <c r="A2489" t="s">
        <v>4664</v>
      </c>
      <c r="B2489" t="str">
        <f>"000768"</f>
        <v>000768</v>
      </c>
      <c r="C2489" t="s">
        <v>5308</v>
      </c>
      <c r="D2489" t="s">
        <v>98</v>
      </c>
      <c r="F2489">
        <v>368.04390000000001</v>
      </c>
      <c r="G2489">
        <v>287.80119999999999</v>
      </c>
      <c r="H2489">
        <v>312.48020000000002</v>
      </c>
      <c r="I2489">
        <v>288.58260000000001</v>
      </c>
      <c r="J2489">
        <v>288.31580000000002</v>
      </c>
      <c r="K2489">
        <v>357.58499999999998</v>
      </c>
      <c r="L2489">
        <v>345.87</v>
      </c>
      <c r="M2489">
        <v>446.96749999999997</v>
      </c>
      <c r="N2489">
        <v>450.76369999999997</v>
      </c>
      <c r="O2489">
        <v>556.85339999999997</v>
      </c>
      <c r="P2489">
        <v>662</v>
      </c>
      <c r="Q2489" t="s">
        <v>5309</v>
      </c>
    </row>
    <row r="2490" spans="1:17" x14ac:dyDescent="0.3">
      <c r="A2490" t="s">
        <v>4664</v>
      </c>
      <c r="B2490" t="str">
        <f>"000776"</f>
        <v>000776</v>
      </c>
      <c r="C2490" t="s">
        <v>5310</v>
      </c>
      <c r="D2490" t="s">
        <v>80</v>
      </c>
      <c r="P2490">
        <v>3522</v>
      </c>
      <c r="Q2490" t="s">
        <v>5311</v>
      </c>
    </row>
    <row r="2491" spans="1:17" x14ac:dyDescent="0.3">
      <c r="A2491" t="s">
        <v>4664</v>
      </c>
      <c r="B2491" t="str">
        <f>"000777"</f>
        <v>000777</v>
      </c>
      <c r="C2491" t="s">
        <v>5312</v>
      </c>
      <c r="D2491" t="s">
        <v>274</v>
      </c>
      <c r="F2491">
        <v>202.87629999999999</v>
      </c>
      <c r="G2491">
        <v>246.98740000000001</v>
      </c>
      <c r="H2491">
        <v>212.39340000000001</v>
      </c>
      <c r="I2491">
        <v>235.892</v>
      </c>
      <c r="J2491">
        <v>239.22130000000001</v>
      </c>
      <c r="K2491">
        <v>223.53129999999999</v>
      </c>
      <c r="L2491">
        <v>269.45460000000003</v>
      </c>
      <c r="M2491">
        <v>282.19600000000003</v>
      </c>
      <c r="N2491">
        <v>279.4298</v>
      </c>
      <c r="O2491">
        <v>271.53949999999998</v>
      </c>
      <c r="P2491">
        <v>131</v>
      </c>
      <c r="Q2491" t="s">
        <v>5313</v>
      </c>
    </row>
    <row r="2492" spans="1:17" x14ac:dyDescent="0.3">
      <c r="A2492" t="s">
        <v>4664</v>
      </c>
      <c r="B2492" t="str">
        <f>"000778"</f>
        <v>000778</v>
      </c>
      <c r="C2492" t="s">
        <v>5314</v>
      </c>
      <c r="D2492" t="s">
        <v>2229</v>
      </c>
      <c r="F2492">
        <v>54.939500000000002</v>
      </c>
      <c r="G2492">
        <v>70.697400000000002</v>
      </c>
      <c r="H2492">
        <v>71.099400000000003</v>
      </c>
      <c r="I2492">
        <v>43.692399999999999</v>
      </c>
      <c r="J2492">
        <v>41.989699999999999</v>
      </c>
      <c r="K2492">
        <v>49.328200000000002</v>
      </c>
      <c r="L2492">
        <v>59.905700000000003</v>
      </c>
      <c r="M2492">
        <v>57.3752</v>
      </c>
      <c r="N2492">
        <v>49.369799999999998</v>
      </c>
      <c r="O2492">
        <v>45.860500000000002</v>
      </c>
      <c r="P2492">
        <v>674</v>
      </c>
      <c r="Q2492" t="s">
        <v>5315</v>
      </c>
    </row>
    <row r="2493" spans="1:17" x14ac:dyDescent="0.3">
      <c r="A2493" t="s">
        <v>4664</v>
      </c>
      <c r="B2493" t="str">
        <f>"000779"</f>
        <v>000779</v>
      </c>
      <c r="C2493" t="s">
        <v>5316</v>
      </c>
      <c r="D2493" t="s">
        <v>1272</v>
      </c>
      <c r="F2493">
        <v>70.046000000000006</v>
      </c>
      <c r="G2493">
        <v>25.034099999999999</v>
      </c>
      <c r="H2493">
        <v>28.533200000000001</v>
      </c>
      <c r="I2493">
        <v>234.28</v>
      </c>
      <c r="J2493">
        <v>200.90780000000001</v>
      </c>
      <c r="K2493">
        <v>220.24270000000001</v>
      </c>
      <c r="L2493">
        <v>257.08909999999997</v>
      </c>
      <c r="M2493">
        <v>236.57650000000001</v>
      </c>
      <c r="N2493">
        <v>334.57859999999999</v>
      </c>
      <c r="O2493">
        <v>231.66990000000001</v>
      </c>
      <c r="P2493">
        <v>165</v>
      </c>
      <c r="Q2493" t="s">
        <v>5317</v>
      </c>
    </row>
    <row r="2494" spans="1:17" x14ac:dyDescent="0.3">
      <c r="A2494" t="s">
        <v>4664</v>
      </c>
      <c r="B2494" t="str">
        <f>"000780"</f>
        <v>000780</v>
      </c>
      <c r="C2494" t="s">
        <v>5318</v>
      </c>
      <c r="D2494" t="s">
        <v>292</v>
      </c>
      <c r="F2494">
        <v>14.7491</v>
      </c>
      <c r="G2494">
        <v>27.628599999999999</v>
      </c>
      <c r="H2494">
        <v>15.235799999999999</v>
      </c>
      <c r="I2494">
        <v>41.615099999999998</v>
      </c>
      <c r="J2494">
        <v>15.884</v>
      </c>
      <c r="K2494">
        <v>18.381399999999999</v>
      </c>
      <c r="L2494">
        <v>38.091799999999999</v>
      </c>
      <c r="M2494">
        <v>24.113800000000001</v>
      </c>
      <c r="N2494">
        <v>39.063800000000001</v>
      </c>
      <c r="O2494">
        <v>27.888999999999999</v>
      </c>
      <c r="P2494">
        <v>99</v>
      </c>
      <c r="Q2494" t="s">
        <v>5319</v>
      </c>
    </row>
    <row r="2495" spans="1:17" x14ac:dyDescent="0.3">
      <c r="A2495" t="s">
        <v>4664</v>
      </c>
      <c r="B2495" t="str">
        <f>"000782"</f>
        <v>000782</v>
      </c>
      <c r="C2495" t="s">
        <v>5320</v>
      </c>
      <c r="D2495" t="s">
        <v>1636</v>
      </c>
      <c r="F2495">
        <v>73.195700000000002</v>
      </c>
      <c r="G2495">
        <v>91.559299999999993</v>
      </c>
      <c r="H2495">
        <v>64.273499999999999</v>
      </c>
      <c r="I2495">
        <v>47.555100000000003</v>
      </c>
      <c r="J2495">
        <v>50.012300000000003</v>
      </c>
      <c r="K2495">
        <v>73.691999999999993</v>
      </c>
      <c r="L2495">
        <v>63.150399999999998</v>
      </c>
      <c r="M2495">
        <v>59.373600000000003</v>
      </c>
      <c r="N2495">
        <v>50.898000000000003</v>
      </c>
      <c r="O2495">
        <v>47.988599999999998</v>
      </c>
      <c r="P2495">
        <v>64</v>
      </c>
      <c r="Q2495" t="s">
        <v>5321</v>
      </c>
    </row>
    <row r="2496" spans="1:17" x14ac:dyDescent="0.3">
      <c r="A2496" t="s">
        <v>4664</v>
      </c>
      <c r="B2496" t="str">
        <f>"000783"</f>
        <v>000783</v>
      </c>
      <c r="C2496" t="s">
        <v>5322</v>
      </c>
      <c r="D2496" t="s">
        <v>80</v>
      </c>
      <c r="P2496">
        <v>1208</v>
      </c>
      <c r="Q2496" t="s">
        <v>5323</v>
      </c>
    </row>
    <row r="2497" spans="1:17" x14ac:dyDescent="0.3">
      <c r="A2497" t="s">
        <v>4664</v>
      </c>
      <c r="B2497" t="str">
        <f>"000785"</f>
        <v>000785</v>
      </c>
      <c r="C2497" t="s">
        <v>5324</v>
      </c>
      <c r="D2497" t="s">
        <v>271</v>
      </c>
      <c r="F2497">
        <v>16.221900000000002</v>
      </c>
      <c r="G2497">
        <v>19.319700000000001</v>
      </c>
      <c r="H2497">
        <v>41.179299999999998</v>
      </c>
      <c r="I2497">
        <v>36.751800000000003</v>
      </c>
      <c r="J2497">
        <v>40.019100000000002</v>
      </c>
      <c r="K2497">
        <v>38.986199999999997</v>
      </c>
      <c r="L2497">
        <v>40.882599999999996</v>
      </c>
      <c r="M2497">
        <v>43.487900000000003</v>
      </c>
      <c r="N2497">
        <v>49.025300000000001</v>
      </c>
      <c r="O2497">
        <v>52.807600000000001</v>
      </c>
      <c r="P2497">
        <v>333</v>
      </c>
      <c r="Q2497" t="s">
        <v>5325</v>
      </c>
    </row>
    <row r="2498" spans="1:17" x14ac:dyDescent="0.3">
      <c r="A2498" t="s">
        <v>4664</v>
      </c>
      <c r="B2498" t="str">
        <f>"000786"</f>
        <v>000786</v>
      </c>
      <c r="C2498" t="s">
        <v>5326</v>
      </c>
      <c r="D2498" t="s">
        <v>722</v>
      </c>
      <c r="F2498">
        <v>68.885000000000005</v>
      </c>
      <c r="G2498">
        <v>78.047399999999996</v>
      </c>
      <c r="H2498">
        <v>80.232799999999997</v>
      </c>
      <c r="I2498">
        <v>81.827200000000005</v>
      </c>
      <c r="J2498">
        <v>88.703800000000001</v>
      </c>
      <c r="K2498">
        <v>127.584</v>
      </c>
      <c r="L2498">
        <v>144.27979999999999</v>
      </c>
      <c r="M2498">
        <v>126.3874</v>
      </c>
      <c r="N2498">
        <v>121.1935</v>
      </c>
      <c r="O2498">
        <v>103.24</v>
      </c>
      <c r="P2498">
        <v>2486</v>
      </c>
      <c r="Q2498" t="s">
        <v>5327</v>
      </c>
    </row>
    <row r="2499" spans="1:17" x14ac:dyDescent="0.3">
      <c r="A2499" t="s">
        <v>4664</v>
      </c>
      <c r="B2499" t="str">
        <f>"000787"</f>
        <v>000787</v>
      </c>
      <c r="C2499" t="s">
        <v>5328</v>
      </c>
      <c r="K2499">
        <v>129.12450000000001</v>
      </c>
      <c r="L2499">
        <v>104.8168</v>
      </c>
      <c r="P2499">
        <v>3</v>
      </c>
      <c r="Q2499" t="s">
        <v>5329</v>
      </c>
    </row>
    <row r="2500" spans="1:17" x14ac:dyDescent="0.3">
      <c r="A2500" t="s">
        <v>4664</v>
      </c>
      <c r="B2500" t="str">
        <f>"000788"</f>
        <v>000788</v>
      </c>
      <c r="C2500" t="s">
        <v>5330</v>
      </c>
      <c r="D2500" t="s">
        <v>143</v>
      </c>
      <c r="F2500">
        <v>43.802599999999998</v>
      </c>
      <c r="G2500">
        <v>75.921000000000006</v>
      </c>
      <c r="H2500">
        <v>82.572699999999998</v>
      </c>
      <c r="I2500">
        <v>88.862700000000004</v>
      </c>
      <c r="J2500">
        <v>85.542299999999997</v>
      </c>
      <c r="K2500">
        <v>78.823800000000006</v>
      </c>
      <c r="L2500">
        <v>147.20769999999999</v>
      </c>
      <c r="M2500">
        <v>130.56870000000001</v>
      </c>
      <c r="N2500">
        <v>104.7962</v>
      </c>
      <c r="O2500">
        <v>112.92440000000001</v>
      </c>
      <c r="P2500">
        <v>137</v>
      </c>
      <c r="Q2500" t="s">
        <v>5331</v>
      </c>
    </row>
    <row r="2501" spans="1:17" x14ac:dyDescent="0.3">
      <c r="A2501" t="s">
        <v>4664</v>
      </c>
      <c r="B2501" t="str">
        <f>"000789"</f>
        <v>000789</v>
      </c>
      <c r="C2501" t="s">
        <v>5332</v>
      </c>
      <c r="D2501" t="s">
        <v>731</v>
      </c>
      <c r="F2501">
        <v>38.6312</v>
      </c>
      <c r="G2501">
        <v>36.996200000000002</v>
      </c>
      <c r="H2501">
        <v>38.918900000000001</v>
      </c>
      <c r="I2501">
        <v>38.3812</v>
      </c>
      <c r="J2501">
        <v>42.280700000000003</v>
      </c>
      <c r="K2501">
        <v>51.240299999999998</v>
      </c>
      <c r="L2501">
        <v>47.029899999999998</v>
      </c>
      <c r="M2501">
        <v>45.064599999999999</v>
      </c>
      <c r="N2501">
        <v>52.7239</v>
      </c>
      <c r="O2501">
        <v>77.088399999999993</v>
      </c>
      <c r="P2501">
        <v>1139</v>
      </c>
      <c r="Q2501" t="s">
        <v>5333</v>
      </c>
    </row>
    <row r="2502" spans="1:17" x14ac:dyDescent="0.3">
      <c r="A2502" t="s">
        <v>4664</v>
      </c>
      <c r="B2502" t="str">
        <f>"000790"</f>
        <v>000790</v>
      </c>
      <c r="C2502" t="s">
        <v>5334</v>
      </c>
      <c r="D2502" t="s">
        <v>188</v>
      </c>
      <c r="F2502">
        <v>108.79640000000001</v>
      </c>
      <c r="G2502">
        <v>123.1229</v>
      </c>
      <c r="H2502">
        <v>194.01259999999999</v>
      </c>
      <c r="I2502">
        <v>193.69759999999999</v>
      </c>
      <c r="J2502">
        <v>153.77680000000001</v>
      </c>
      <c r="K2502">
        <v>113.739</v>
      </c>
      <c r="L2502">
        <v>161.91560000000001</v>
      </c>
      <c r="M2502">
        <v>141.95670000000001</v>
      </c>
      <c r="N2502">
        <v>71.106800000000007</v>
      </c>
      <c r="O2502">
        <v>104.29519999999999</v>
      </c>
      <c r="P2502">
        <v>175</v>
      </c>
      <c r="Q2502" t="s">
        <v>5335</v>
      </c>
    </row>
    <row r="2503" spans="1:17" x14ac:dyDescent="0.3">
      <c r="A2503" t="s">
        <v>4664</v>
      </c>
      <c r="B2503" t="str">
        <f>"000791"</f>
        <v>000791</v>
      </c>
      <c r="C2503" t="s">
        <v>5336</v>
      </c>
      <c r="D2503" t="s">
        <v>66</v>
      </c>
      <c r="F2503">
        <v>2.6698</v>
      </c>
      <c r="G2503">
        <v>3.3138999999999998</v>
      </c>
      <c r="H2503">
        <v>2.3685999999999998</v>
      </c>
      <c r="I2503">
        <v>1.7275</v>
      </c>
      <c r="J2503">
        <v>1.7750999999999999</v>
      </c>
      <c r="K2503">
        <v>1.1616</v>
      </c>
      <c r="L2503">
        <v>1.6422000000000001</v>
      </c>
      <c r="M2503">
        <v>1.5657000000000001</v>
      </c>
      <c r="N2503">
        <v>1.6160000000000001</v>
      </c>
      <c r="O2503">
        <v>163.00399999999999</v>
      </c>
      <c r="P2503">
        <v>219</v>
      </c>
      <c r="Q2503" t="s">
        <v>5337</v>
      </c>
    </row>
    <row r="2504" spans="1:17" x14ac:dyDescent="0.3">
      <c r="A2504" t="s">
        <v>4664</v>
      </c>
      <c r="B2504" t="str">
        <f>"000792"</f>
        <v>000792</v>
      </c>
      <c r="C2504" t="s">
        <v>5338</v>
      </c>
      <c r="D2504" t="s">
        <v>3431</v>
      </c>
      <c r="F2504">
        <v>120.1401</v>
      </c>
      <c r="G2504">
        <v>61.877400000000002</v>
      </c>
      <c r="H2504">
        <v>99.1447</v>
      </c>
      <c r="I2504">
        <v>126.6161</v>
      </c>
      <c r="J2504">
        <v>232.08519999999999</v>
      </c>
      <c r="K2504">
        <v>264.96109999999999</v>
      </c>
      <c r="L2504">
        <v>259.45030000000003</v>
      </c>
      <c r="M2504">
        <v>283.18669999999997</v>
      </c>
      <c r="N2504">
        <v>310.52690000000001</v>
      </c>
      <c r="O2504">
        <v>301.90600000000001</v>
      </c>
      <c r="P2504">
        <v>422</v>
      </c>
      <c r="Q2504" t="s">
        <v>5339</v>
      </c>
    </row>
    <row r="2505" spans="1:17" x14ac:dyDescent="0.3">
      <c r="A2505" t="s">
        <v>4664</v>
      </c>
      <c r="B2505" t="str">
        <f>"000793"</f>
        <v>000793</v>
      </c>
      <c r="C2505" t="s">
        <v>5340</v>
      </c>
      <c r="D2505" t="s">
        <v>525</v>
      </c>
      <c r="F2505">
        <v>119.6842</v>
      </c>
      <c r="G2505">
        <v>37.485300000000002</v>
      </c>
      <c r="H2505">
        <v>71.952799999999996</v>
      </c>
      <c r="I2505">
        <v>127.5217</v>
      </c>
      <c r="J2505">
        <v>70.079099999999997</v>
      </c>
      <c r="K2505">
        <v>82.924499999999995</v>
      </c>
      <c r="L2505">
        <v>91.247699999999995</v>
      </c>
      <c r="M2505">
        <v>78.574600000000004</v>
      </c>
      <c r="N2505">
        <v>69.785399999999996</v>
      </c>
      <c r="O2505">
        <v>76.291499999999999</v>
      </c>
      <c r="P2505">
        <v>141</v>
      </c>
      <c r="Q2505" t="s">
        <v>5341</v>
      </c>
    </row>
    <row r="2506" spans="1:17" x14ac:dyDescent="0.3">
      <c r="A2506" t="s">
        <v>4664</v>
      </c>
      <c r="B2506" t="str">
        <f>"000795"</f>
        <v>000795</v>
      </c>
      <c r="C2506" t="s">
        <v>5342</v>
      </c>
      <c r="D2506" t="s">
        <v>808</v>
      </c>
      <c r="F2506">
        <v>148.1772</v>
      </c>
      <c r="G2506">
        <v>160.23169999999999</v>
      </c>
      <c r="H2506">
        <v>138.2782</v>
      </c>
      <c r="I2506">
        <v>132.70859999999999</v>
      </c>
      <c r="J2506">
        <v>122.7294</v>
      </c>
      <c r="K2506">
        <v>129.84350000000001</v>
      </c>
      <c r="L2506">
        <v>165.2723</v>
      </c>
      <c r="M2506">
        <v>265.28590000000003</v>
      </c>
      <c r="N2506">
        <v>246.33250000000001</v>
      </c>
      <c r="O2506">
        <v>218.37350000000001</v>
      </c>
      <c r="P2506">
        <v>145</v>
      </c>
      <c r="Q2506" t="s">
        <v>5343</v>
      </c>
    </row>
    <row r="2507" spans="1:17" x14ac:dyDescent="0.3">
      <c r="A2507" t="s">
        <v>4664</v>
      </c>
      <c r="B2507" t="str">
        <f>"000796"</f>
        <v>000796</v>
      </c>
      <c r="C2507" t="s">
        <v>5344</v>
      </c>
      <c r="D2507" t="s">
        <v>1120</v>
      </c>
      <c r="F2507">
        <v>19.285599999999999</v>
      </c>
      <c r="G2507">
        <v>10.1248</v>
      </c>
      <c r="H2507">
        <v>2.3159999999999998</v>
      </c>
      <c r="I2507">
        <v>0.92459999999999998</v>
      </c>
      <c r="J2507">
        <v>1.0824</v>
      </c>
      <c r="K2507">
        <v>1.4896</v>
      </c>
      <c r="L2507">
        <v>1.4430000000000001</v>
      </c>
      <c r="M2507">
        <v>14.977600000000001</v>
      </c>
      <c r="N2507">
        <v>31.422799999999999</v>
      </c>
      <c r="O2507">
        <v>37.336100000000002</v>
      </c>
      <c r="P2507">
        <v>224</v>
      </c>
      <c r="Q2507" t="s">
        <v>5345</v>
      </c>
    </row>
    <row r="2508" spans="1:17" x14ac:dyDescent="0.3">
      <c r="A2508" t="s">
        <v>4664</v>
      </c>
      <c r="B2508" t="str">
        <f>"000797"</f>
        <v>000797</v>
      </c>
      <c r="C2508" t="s">
        <v>5346</v>
      </c>
      <c r="D2508" t="s">
        <v>104</v>
      </c>
      <c r="F2508">
        <v>1652.1945000000001</v>
      </c>
      <c r="G2508">
        <v>3127.2098000000001</v>
      </c>
      <c r="H2508">
        <v>1657.3171</v>
      </c>
      <c r="I2508">
        <v>1890.0378000000001</v>
      </c>
      <c r="J2508">
        <v>1548.1414</v>
      </c>
      <c r="K2508">
        <v>1984.3376000000001</v>
      </c>
      <c r="L2508">
        <v>1925.5124000000001</v>
      </c>
      <c r="M2508">
        <v>1510.1180999999999</v>
      </c>
      <c r="N2508">
        <v>1516.4894999999999</v>
      </c>
      <c r="O2508">
        <v>1837.3478</v>
      </c>
      <c r="P2508">
        <v>121</v>
      </c>
      <c r="Q2508" t="s">
        <v>5347</v>
      </c>
    </row>
    <row r="2509" spans="1:17" x14ac:dyDescent="0.3">
      <c r="A2509" t="s">
        <v>4664</v>
      </c>
      <c r="B2509" t="str">
        <f>"000798"</f>
        <v>000798</v>
      </c>
      <c r="C2509" t="s">
        <v>5348</v>
      </c>
      <c r="D2509" t="s">
        <v>228</v>
      </c>
      <c r="F2509">
        <v>186.1</v>
      </c>
      <c r="G2509">
        <v>303.87099999999998</v>
      </c>
      <c r="H2509">
        <v>147.5016</v>
      </c>
      <c r="I2509">
        <v>169.62350000000001</v>
      </c>
      <c r="J2509">
        <v>111.9311</v>
      </c>
      <c r="K2509">
        <v>165.68209999999999</v>
      </c>
      <c r="L2509">
        <v>155.1028</v>
      </c>
      <c r="M2509">
        <v>190.77080000000001</v>
      </c>
      <c r="N2509">
        <v>511.65600000000001</v>
      </c>
      <c r="O2509">
        <v>481.9332</v>
      </c>
      <c r="P2509">
        <v>83</v>
      </c>
      <c r="Q2509" t="s">
        <v>5349</v>
      </c>
    </row>
    <row r="2510" spans="1:17" x14ac:dyDescent="0.3">
      <c r="A2510" t="s">
        <v>4664</v>
      </c>
      <c r="B2510" t="str">
        <f>"000799"</f>
        <v>000799</v>
      </c>
      <c r="C2510" t="s">
        <v>5350</v>
      </c>
      <c r="D2510" t="s">
        <v>458</v>
      </c>
      <c r="F2510">
        <v>722.73400000000004</v>
      </c>
      <c r="G2510">
        <v>1458.2137</v>
      </c>
      <c r="H2510">
        <v>1432.068</v>
      </c>
      <c r="I2510">
        <v>1692.4218000000001</v>
      </c>
      <c r="J2510">
        <v>2215.7770999999998</v>
      </c>
      <c r="K2510">
        <v>2450.6279</v>
      </c>
      <c r="L2510">
        <v>2054.6583999999998</v>
      </c>
      <c r="M2510">
        <v>2336.2658999999999</v>
      </c>
      <c r="N2510">
        <v>1740.0246999999999</v>
      </c>
      <c r="O2510">
        <v>594.41160000000002</v>
      </c>
      <c r="P2510">
        <v>1661</v>
      </c>
      <c r="Q2510" t="s">
        <v>5351</v>
      </c>
    </row>
    <row r="2511" spans="1:17" x14ac:dyDescent="0.3">
      <c r="A2511" t="s">
        <v>4664</v>
      </c>
      <c r="B2511" t="str">
        <f>"000800"</f>
        <v>000800</v>
      </c>
      <c r="C2511" t="s">
        <v>5352</v>
      </c>
      <c r="D2511" t="s">
        <v>27</v>
      </c>
      <c r="F2511">
        <v>58.424100000000003</v>
      </c>
      <c r="G2511">
        <v>22.1525</v>
      </c>
      <c r="H2511">
        <v>60.457599999999999</v>
      </c>
      <c r="I2511">
        <v>55.826599999999999</v>
      </c>
      <c r="J2511">
        <v>63.170999999999999</v>
      </c>
      <c r="K2511">
        <v>97.489400000000003</v>
      </c>
      <c r="L2511">
        <v>101.8372</v>
      </c>
      <c r="M2511">
        <v>67.497200000000007</v>
      </c>
      <c r="N2511">
        <v>59.805199999999999</v>
      </c>
      <c r="O2511">
        <v>49.235999999999997</v>
      </c>
      <c r="P2511">
        <v>446</v>
      </c>
      <c r="Q2511" t="s">
        <v>5353</v>
      </c>
    </row>
    <row r="2512" spans="1:17" x14ac:dyDescent="0.3">
      <c r="A2512" t="s">
        <v>4664</v>
      </c>
      <c r="B2512" t="str">
        <f>"000801"</f>
        <v>000801</v>
      </c>
      <c r="C2512" t="s">
        <v>5354</v>
      </c>
      <c r="D2512" t="s">
        <v>4404</v>
      </c>
      <c r="F2512">
        <v>145.8852</v>
      </c>
      <c r="G2512">
        <v>123.24509999999999</v>
      </c>
      <c r="H2512">
        <v>179.22739999999999</v>
      </c>
      <c r="I2512">
        <v>133.9606</v>
      </c>
      <c r="J2512">
        <v>145.78659999999999</v>
      </c>
      <c r="K2512">
        <v>141.57400000000001</v>
      </c>
      <c r="L2512">
        <v>111.5052</v>
      </c>
      <c r="M2512">
        <v>91.06</v>
      </c>
      <c r="N2512">
        <v>114.4058</v>
      </c>
      <c r="O2512">
        <v>112.7367</v>
      </c>
      <c r="P2512">
        <v>218</v>
      </c>
      <c r="Q2512" t="s">
        <v>5355</v>
      </c>
    </row>
    <row r="2513" spans="1:17" x14ac:dyDescent="0.3">
      <c r="A2513" t="s">
        <v>4664</v>
      </c>
      <c r="B2513" t="str">
        <f>"000802"</f>
        <v>000802</v>
      </c>
      <c r="C2513" t="s">
        <v>5356</v>
      </c>
      <c r="D2513" t="s">
        <v>113</v>
      </c>
      <c r="F2513">
        <v>4194.7331000000004</v>
      </c>
      <c r="G2513">
        <v>174077.66279999999</v>
      </c>
      <c r="H2513">
        <v>1000.1906</v>
      </c>
      <c r="I2513">
        <v>1401.7189000000001</v>
      </c>
      <c r="J2513">
        <v>1129.7954</v>
      </c>
      <c r="K2513">
        <v>512.73260000000005</v>
      </c>
      <c r="L2513">
        <v>733.11739999999998</v>
      </c>
      <c r="M2513">
        <v>385.68470000000002</v>
      </c>
      <c r="N2513">
        <v>48.042700000000004</v>
      </c>
      <c r="O2513">
        <v>54.094999999999999</v>
      </c>
      <c r="P2513">
        <v>205</v>
      </c>
      <c r="Q2513" t="s">
        <v>5357</v>
      </c>
    </row>
    <row r="2514" spans="1:17" x14ac:dyDescent="0.3">
      <c r="A2514" t="s">
        <v>4664</v>
      </c>
      <c r="B2514" t="str">
        <f>"000803"</f>
        <v>000803</v>
      </c>
      <c r="C2514" t="s">
        <v>5358</v>
      </c>
      <c r="D2514" t="s">
        <v>239</v>
      </c>
      <c r="F2514">
        <v>53.376399999999997</v>
      </c>
      <c r="G2514">
        <v>70.476900000000001</v>
      </c>
      <c r="H2514">
        <v>3682.6376</v>
      </c>
      <c r="I2514">
        <v>325.88209999999998</v>
      </c>
      <c r="J2514">
        <v>1828.2988</v>
      </c>
      <c r="K2514">
        <v>1794.3069</v>
      </c>
      <c r="L2514">
        <v>1793.0241000000001</v>
      </c>
      <c r="M2514">
        <v>1421.0996</v>
      </c>
      <c r="N2514">
        <v>488.21159999999998</v>
      </c>
      <c r="O2514">
        <v>351.89440000000002</v>
      </c>
      <c r="P2514">
        <v>79</v>
      </c>
      <c r="Q2514" t="s">
        <v>5359</v>
      </c>
    </row>
    <row r="2515" spans="1:17" x14ac:dyDescent="0.3">
      <c r="A2515" t="s">
        <v>4664</v>
      </c>
      <c r="B2515" t="str">
        <f>"000805"</f>
        <v>000805</v>
      </c>
      <c r="C2515" t="s">
        <v>5360</v>
      </c>
      <c r="K2515">
        <v>0.59740000000000004</v>
      </c>
      <c r="L2515">
        <v>215.19579999999999</v>
      </c>
      <c r="M2515">
        <v>48.2761</v>
      </c>
      <c r="N2515">
        <v>53.398600000000002</v>
      </c>
      <c r="O2515">
        <v>80.294600000000003</v>
      </c>
      <c r="P2515">
        <v>3</v>
      </c>
      <c r="Q2515" t="s">
        <v>5361</v>
      </c>
    </row>
    <row r="2516" spans="1:17" x14ac:dyDescent="0.3">
      <c r="A2516" t="s">
        <v>4664</v>
      </c>
      <c r="B2516" t="str">
        <f>"000806"</f>
        <v>000806</v>
      </c>
      <c r="C2516" t="s">
        <v>5362</v>
      </c>
      <c r="D2516" t="s">
        <v>210</v>
      </c>
      <c r="F2516">
        <v>208.8622</v>
      </c>
      <c r="G2516">
        <v>185.04839999999999</v>
      </c>
      <c r="H2516">
        <v>283.0249</v>
      </c>
      <c r="I2516">
        <v>379.5625</v>
      </c>
      <c r="J2516">
        <v>296.45949999999999</v>
      </c>
      <c r="K2516">
        <v>235.46449999999999</v>
      </c>
      <c r="L2516">
        <v>281.72910000000002</v>
      </c>
      <c r="M2516">
        <v>287.27730000000003</v>
      </c>
      <c r="N2516">
        <v>190.9563</v>
      </c>
      <c r="O2516">
        <v>192.71889999999999</v>
      </c>
      <c r="P2516">
        <v>123</v>
      </c>
      <c r="Q2516" t="s">
        <v>5363</v>
      </c>
    </row>
    <row r="2517" spans="1:17" x14ac:dyDescent="0.3">
      <c r="A2517" t="s">
        <v>4664</v>
      </c>
      <c r="B2517" t="str">
        <f>"000807"</f>
        <v>000807</v>
      </c>
      <c r="C2517" t="s">
        <v>5364</v>
      </c>
      <c r="D2517" t="s">
        <v>504</v>
      </c>
      <c r="F2517">
        <v>53.419899999999998</v>
      </c>
      <c r="G2517">
        <v>79.290000000000006</v>
      </c>
      <c r="H2517">
        <v>89.055199999999999</v>
      </c>
      <c r="I2517">
        <v>121.07550000000001</v>
      </c>
      <c r="J2517">
        <v>87.680499999999995</v>
      </c>
      <c r="K2517">
        <v>96.521600000000007</v>
      </c>
      <c r="L2517">
        <v>98.862300000000005</v>
      </c>
      <c r="M2517">
        <v>77.500399999999999</v>
      </c>
      <c r="N2517">
        <v>89.840100000000007</v>
      </c>
      <c r="O2517">
        <v>83.929000000000002</v>
      </c>
      <c r="P2517">
        <v>551</v>
      </c>
      <c r="Q2517" t="s">
        <v>5365</v>
      </c>
    </row>
    <row r="2518" spans="1:17" x14ac:dyDescent="0.3">
      <c r="A2518" t="s">
        <v>4664</v>
      </c>
      <c r="B2518" t="str">
        <f>"000809"</f>
        <v>000809</v>
      </c>
      <c r="C2518" t="s">
        <v>5366</v>
      </c>
      <c r="D2518" t="s">
        <v>104</v>
      </c>
      <c r="F2518">
        <v>88405.626000000004</v>
      </c>
      <c r="G2518">
        <v>75151.496199999994</v>
      </c>
      <c r="H2518">
        <v>22986.075700000001</v>
      </c>
      <c r="I2518">
        <v>25297.345499999999</v>
      </c>
      <c r="J2518">
        <v>34338.8226</v>
      </c>
      <c r="K2518">
        <v>88515.745500000005</v>
      </c>
      <c r="L2518">
        <v>85668.321200000006</v>
      </c>
      <c r="M2518">
        <v>17590.8871</v>
      </c>
      <c r="N2518">
        <v>6164.6734999999999</v>
      </c>
      <c r="O2518">
        <v>5399.6401999999998</v>
      </c>
      <c r="P2518">
        <v>72</v>
      </c>
      <c r="Q2518" t="s">
        <v>5367</v>
      </c>
    </row>
    <row r="2519" spans="1:17" x14ac:dyDescent="0.3">
      <c r="A2519" t="s">
        <v>4664</v>
      </c>
      <c r="B2519" t="str">
        <f>"000810"</f>
        <v>000810</v>
      </c>
      <c r="C2519" t="s">
        <v>5368</v>
      </c>
      <c r="D2519" t="s">
        <v>4404</v>
      </c>
      <c r="F2519">
        <v>89.183499999999995</v>
      </c>
      <c r="G2519">
        <v>90.158500000000004</v>
      </c>
      <c r="H2519">
        <v>99.538600000000002</v>
      </c>
      <c r="I2519">
        <v>99.647300000000001</v>
      </c>
      <c r="J2519">
        <v>89.130899999999997</v>
      </c>
      <c r="K2519">
        <v>80.887500000000003</v>
      </c>
      <c r="L2519">
        <v>64.610100000000003</v>
      </c>
      <c r="M2519">
        <v>50.135399999999997</v>
      </c>
      <c r="N2519">
        <v>96.518799999999999</v>
      </c>
      <c r="O2519">
        <v>104.35899999999999</v>
      </c>
      <c r="P2519">
        <v>384</v>
      </c>
      <c r="Q2519" t="s">
        <v>5369</v>
      </c>
    </row>
    <row r="2520" spans="1:17" x14ac:dyDescent="0.3">
      <c r="A2520" t="s">
        <v>4664</v>
      </c>
      <c r="B2520" t="str">
        <f>"000811"</f>
        <v>000811</v>
      </c>
      <c r="C2520" t="s">
        <v>5370</v>
      </c>
      <c r="D2520" t="s">
        <v>988</v>
      </c>
      <c r="F2520">
        <v>99.06</v>
      </c>
      <c r="G2520">
        <v>128.08349999999999</v>
      </c>
      <c r="H2520">
        <v>138.6456</v>
      </c>
      <c r="I2520">
        <v>127.7818</v>
      </c>
      <c r="J2520">
        <v>134.71850000000001</v>
      </c>
      <c r="K2520">
        <v>141.821</v>
      </c>
      <c r="L2520">
        <v>127.01609999999999</v>
      </c>
      <c r="M2520">
        <v>128.49789999999999</v>
      </c>
      <c r="N2520">
        <v>134.5274</v>
      </c>
      <c r="O2520">
        <v>156.0736</v>
      </c>
      <c r="P2520">
        <v>224</v>
      </c>
      <c r="Q2520" t="s">
        <v>5371</v>
      </c>
    </row>
    <row r="2521" spans="1:17" x14ac:dyDescent="0.3">
      <c r="A2521" t="s">
        <v>4664</v>
      </c>
      <c r="B2521" t="str">
        <f>"000812"</f>
        <v>000812</v>
      </c>
      <c r="C2521" t="s">
        <v>5372</v>
      </c>
      <c r="D2521" t="s">
        <v>2156</v>
      </c>
      <c r="F2521">
        <v>197.91630000000001</v>
      </c>
      <c r="G2521">
        <v>275.851</v>
      </c>
      <c r="H2521">
        <v>207.16980000000001</v>
      </c>
      <c r="I2521">
        <v>259.57639999999998</v>
      </c>
      <c r="J2521">
        <v>317.67950000000002</v>
      </c>
      <c r="K2521">
        <v>367.89830000000001</v>
      </c>
      <c r="L2521">
        <v>523.48450000000003</v>
      </c>
      <c r="M2521">
        <v>426.80829999999997</v>
      </c>
      <c r="N2521">
        <v>359.04360000000003</v>
      </c>
      <c r="O2521">
        <v>260.94630000000001</v>
      </c>
      <c r="P2521">
        <v>111</v>
      </c>
      <c r="Q2521" t="s">
        <v>5373</v>
      </c>
    </row>
    <row r="2522" spans="1:17" x14ac:dyDescent="0.3">
      <c r="A2522" t="s">
        <v>4664</v>
      </c>
      <c r="B2522" t="str">
        <f>"000813"</f>
        <v>000813</v>
      </c>
      <c r="C2522" t="s">
        <v>5374</v>
      </c>
      <c r="D2522" t="s">
        <v>143</v>
      </c>
      <c r="F2522">
        <v>650.76670000000001</v>
      </c>
      <c r="G2522">
        <v>463.80309999999997</v>
      </c>
      <c r="H2522">
        <v>496.5394</v>
      </c>
      <c r="I2522">
        <v>407.3184</v>
      </c>
      <c r="J2522">
        <v>438.27640000000002</v>
      </c>
      <c r="K2522">
        <v>374.89850000000001</v>
      </c>
      <c r="L2522">
        <v>282.34109999999998</v>
      </c>
      <c r="M2522">
        <v>352.34870000000001</v>
      </c>
      <c r="N2522">
        <v>591.69860000000006</v>
      </c>
      <c r="O2522">
        <v>529.08000000000004</v>
      </c>
      <c r="P2522">
        <v>281</v>
      </c>
      <c r="Q2522" t="s">
        <v>5375</v>
      </c>
    </row>
    <row r="2523" spans="1:17" x14ac:dyDescent="0.3">
      <c r="A2523" t="s">
        <v>4664</v>
      </c>
      <c r="B2523" t="str">
        <f>"000815"</f>
        <v>000815</v>
      </c>
      <c r="C2523" t="s">
        <v>5376</v>
      </c>
      <c r="D2523" t="s">
        <v>694</v>
      </c>
      <c r="F2523">
        <v>318.48270000000002</v>
      </c>
      <c r="G2523">
        <v>336.39510000000001</v>
      </c>
      <c r="H2523">
        <v>335.51859999999999</v>
      </c>
      <c r="I2523">
        <v>332.64850000000001</v>
      </c>
      <c r="J2523">
        <v>395.27530000000002</v>
      </c>
      <c r="K2523">
        <v>578.71659999999997</v>
      </c>
      <c r="L2523">
        <v>502.10320000000002</v>
      </c>
      <c r="M2523">
        <v>448.26609999999999</v>
      </c>
      <c r="N2523">
        <v>572.74659999999994</v>
      </c>
      <c r="O2523">
        <v>553.28200000000004</v>
      </c>
      <c r="P2523">
        <v>125</v>
      </c>
      <c r="Q2523" t="s">
        <v>5377</v>
      </c>
    </row>
    <row r="2524" spans="1:17" x14ac:dyDescent="0.3">
      <c r="A2524" t="s">
        <v>4664</v>
      </c>
      <c r="B2524" t="str">
        <f>"000816"</f>
        <v>000816</v>
      </c>
      <c r="C2524" t="s">
        <v>5378</v>
      </c>
      <c r="D2524" t="s">
        <v>348</v>
      </c>
      <c r="F2524">
        <v>57.325200000000002</v>
      </c>
      <c r="G2524">
        <v>81.710599999999999</v>
      </c>
      <c r="H2524">
        <v>109.39360000000001</v>
      </c>
      <c r="I2524">
        <v>105.2598</v>
      </c>
      <c r="J2524">
        <v>60.434100000000001</v>
      </c>
      <c r="K2524">
        <v>117.9568</v>
      </c>
      <c r="L2524">
        <v>142.74090000000001</v>
      </c>
      <c r="M2524">
        <v>134.9932</v>
      </c>
      <c r="N2524">
        <v>96.625200000000007</v>
      </c>
      <c r="O2524">
        <v>91.475700000000003</v>
      </c>
      <c r="P2524">
        <v>153</v>
      </c>
      <c r="Q2524" t="s">
        <v>5379</v>
      </c>
    </row>
    <row r="2525" spans="1:17" x14ac:dyDescent="0.3">
      <c r="A2525" t="s">
        <v>4664</v>
      </c>
      <c r="B2525" t="str">
        <f>"000818"</f>
        <v>000818</v>
      </c>
      <c r="C2525" t="s">
        <v>5380</v>
      </c>
      <c r="D2525" t="s">
        <v>175</v>
      </c>
      <c r="F2525">
        <v>69.4298</v>
      </c>
      <c r="G2525">
        <v>70.2577</v>
      </c>
      <c r="H2525">
        <v>54.279899999999998</v>
      </c>
      <c r="I2525">
        <v>35.742699999999999</v>
      </c>
      <c r="J2525">
        <v>32.087400000000002</v>
      </c>
      <c r="K2525">
        <v>31.927700000000002</v>
      </c>
      <c r="L2525">
        <v>30.1571</v>
      </c>
      <c r="M2525">
        <v>33.827399999999997</v>
      </c>
      <c r="N2525">
        <v>49.0105</v>
      </c>
      <c r="O2525">
        <v>41.571199999999997</v>
      </c>
      <c r="P2525">
        <v>258</v>
      </c>
      <c r="Q2525" t="s">
        <v>5381</v>
      </c>
    </row>
    <row r="2526" spans="1:17" x14ac:dyDescent="0.3">
      <c r="A2526" t="s">
        <v>4664</v>
      </c>
      <c r="B2526" t="str">
        <f>"000819"</f>
        <v>000819</v>
      </c>
      <c r="C2526" t="s">
        <v>5382</v>
      </c>
      <c r="D2526" t="s">
        <v>1615</v>
      </c>
      <c r="F2526">
        <v>19.770299999999999</v>
      </c>
      <c r="G2526">
        <v>18.4696</v>
      </c>
      <c r="H2526">
        <v>14.223699999999999</v>
      </c>
      <c r="I2526">
        <v>16.7073</v>
      </c>
      <c r="J2526">
        <v>14.882899999999999</v>
      </c>
      <c r="K2526">
        <v>15.081899999999999</v>
      </c>
      <c r="L2526">
        <v>13.731999999999999</v>
      </c>
      <c r="M2526">
        <v>11.848000000000001</v>
      </c>
      <c r="N2526">
        <v>9.2980999999999998</v>
      </c>
      <c r="O2526">
        <v>7.8144999999999998</v>
      </c>
      <c r="P2526">
        <v>81</v>
      </c>
      <c r="Q2526" t="s">
        <v>5383</v>
      </c>
    </row>
    <row r="2527" spans="1:17" x14ac:dyDescent="0.3">
      <c r="A2527" t="s">
        <v>4664</v>
      </c>
      <c r="B2527" t="str">
        <f>"000820"</f>
        <v>000820</v>
      </c>
      <c r="C2527" t="s">
        <v>5384</v>
      </c>
      <c r="D2527" t="s">
        <v>499</v>
      </c>
      <c r="F2527">
        <v>1465.4059999999999</v>
      </c>
      <c r="G2527">
        <v>41.580599999999997</v>
      </c>
      <c r="H2527">
        <v>13855.9334</v>
      </c>
      <c r="I2527">
        <v>30849667.4344</v>
      </c>
      <c r="J2527">
        <v>24.691299999999998</v>
      </c>
      <c r="K2527">
        <v>265.84359999999998</v>
      </c>
      <c r="L2527">
        <v>267.21609999999998</v>
      </c>
      <c r="M2527">
        <v>201.89070000000001</v>
      </c>
      <c r="N2527">
        <v>156.35730000000001</v>
      </c>
      <c r="O2527">
        <v>115.06440000000001</v>
      </c>
      <c r="P2527">
        <v>156</v>
      </c>
      <c r="Q2527" t="s">
        <v>5385</v>
      </c>
    </row>
    <row r="2528" spans="1:17" x14ac:dyDescent="0.3">
      <c r="A2528" t="s">
        <v>4664</v>
      </c>
      <c r="B2528" t="str">
        <f>"000821"</f>
        <v>000821</v>
      </c>
      <c r="C2528" t="s">
        <v>5386</v>
      </c>
      <c r="D2528" t="s">
        <v>3388</v>
      </c>
      <c r="F2528">
        <v>388.48430000000002</v>
      </c>
      <c r="G2528">
        <v>335.47640000000001</v>
      </c>
      <c r="H2528">
        <v>314.56889999999999</v>
      </c>
      <c r="I2528">
        <v>168.9538</v>
      </c>
      <c r="J2528">
        <v>171.4238</v>
      </c>
      <c r="K2528">
        <v>209.88560000000001</v>
      </c>
      <c r="L2528">
        <v>255.17140000000001</v>
      </c>
      <c r="M2528">
        <v>234.39750000000001</v>
      </c>
      <c r="N2528">
        <v>292.01240000000001</v>
      </c>
      <c r="O2528">
        <v>316.20510000000002</v>
      </c>
      <c r="P2528">
        <v>166</v>
      </c>
      <c r="Q2528" t="s">
        <v>5387</v>
      </c>
    </row>
    <row r="2529" spans="1:17" x14ac:dyDescent="0.3">
      <c r="A2529" t="s">
        <v>4664</v>
      </c>
      <c r="B2529" t="str">
        <f>"000822"</f>
        <v>000822</v>
      </c>
      <c r="C2529" t="s">
        <v>5388</v>
      </c>
      <c r="D2529" t="s">
        <v>2516</v>
      </c>
      <c r="F2529">
        <v>50.6098</v>
      </c>
      <c r="G2529">
        <v>62.433900000000001</v>
      </c>
      <c r="H2529">
        <v>43.770099999999999</v>
      </c>
      <c r="I2529">
        <v>41.325499999999998</v>
      </c>
      <c r="J2529">
        <v>31.331499999999998</v>
      </c>
      <c r="K2529">
        <v>55.8155</v>
      </c>
      <c r="L2529">
        <v>60.089799999999997</v>
      </c>
      <c r="M2529">
        <v>42.4846</v>
      </c>
      <c r="N2529">
        <v>38.336500000000001</v>
      </c>
      <c r="O2529">
        <v>48.027700000000003</v>
      </c>
      <c r="P2529">
        <v>211</v>
      </c>
      <c r="Q2529" t="s">
        <v>5389</v>
      </c>
    </row>
    <row r="2530" spans="1:17" x14ac:dyDescent="0.3">
      <c r="A2530" t="s">
        <v>4664</v>
      </c>
      <c r="B2530" t="str">
        <f>"000823"</f>
        <v>000823</v>
      </c>
      <c r="C2530" t="s">
        <v>5390</v>
      </c>
      <c r="D2530" t="s">
        <v>425</v>
      </c>
      <c r="F2530">
        <v>96.160200000000003</v>
      </c>
      <c r="G2530">
        <v>98.580799999999996</v>
      </c>
      <c r="H2530">
        <v>87.565299999999993</v>
      </c>
      <c r="I2530">
        <v>85.508799999999994</v>
      </c>
      <c r="J2530">
        <v>91.503900000000002</v>
      </c>
      <c r="K2530">
        <v>94.5227</v>
      </c>
      <c r="L2530">
        <v>91.770700000000005</v>
      </c>
      <c r="M2530">
        <v>87.119200000000006</v>
      </c>
      <c r="N2530">
        <v>91.3506</v>
      </c>
      <c r="O2530">
        <v>88.256799999999998</v>
      </c>
      <c r="P2530">
        <v>354</v>
      </c>
      <c r="Q2530" t="s">
        <v>5391</v>
      </c>
    </row>
    <row r="2531" spans="1:17" x14ac:dyDescent="0.3">
      <c r="A2531" t="s">
        <v>4664</v>
      </c>
      <c r="B2531" t="str">
        <f>"000825"</f>
        <v>000825</v>
      </c>
      <c r="C2531" t="s">
        <v>5392</v>
      </c>
      <c r="D2531" t="s">
        <v>281</v>
      </c>
      <c r="F2531">
        <v>54.587400000000002</v>
      </c>
      <c r="G2531">
        <v>73.360399999999998</v>
      </c>
      <c r="H2531">
        <v>60.237000000000002</v>
      </c>
      <c r="I2531">
        <v>62.401200000000003</v>
      </c>
      <c r="J2531">
        <v>42.8795</v>
      </c>
      <c r="K2531">
        <v>62.361199999999997</v>
      </c>
      <c r="L2531">
        <v>65.502899999999997</v>
      </c>
      <c r="M2531">
        <v>62.842599999999997</v>
      </c>
      <c r="N2531">
        <v>55.459099999999999</v>
      </c>
      <c r="O2531">
        <v>66.330500000000001</v>
      </c>
      <c r="P2531">
        <v>581</v>
      </c>
      <c r="Q2531" t="s">
        <v>5393</v>
      </c>
    </row>
    <row r="2532" spans="1:17" x14ac:dyDescent="0.3">
      <c r="A2532" t="s">
        <v>4664</v>
      </c>
      <c r="B2532" t="str">
        <f>"000826"</f>
        <v>000826</v>
      </c>
      <c r="C2532" t="s">
        <v>5394</v>
      </c>
      <c r="D2532" t="s">
        <v>3548</v>
      </c>
      <c r="F2532">
        <v>56.692300000000003</v>
      </c>
      <c r="G2532">
        <v>55.206699999999998</v>
      </c>
      <c r="H2532">
        <v>45.720399999999998</v>
      </c>
      <c r="I2532">
        <v>42.764600000000002</v>
      </c>
      <c r="J2532">
        <v>39.957299999999996</v>
      </c>
      <c r="K2532">
        <v>45.069600000000001</v>
      </c>
      <c r="L2532">
        <v>44.542099999999998</v>
      </c>
      <c r="M2532">
        <v>30.9453</v>
      </c>
      <c r="N2532">
        <v>16.113099999999999</v>
      </c>
      <c r="O2532">
        <v>15.2247</v>
      </c>
      <c r="P2532">
        <v>559</v>
      </c>
      <c r="Q2532" t="s">
        <v>5395</v>
      </c>
    </row>
    <row r="2533" spans="1:17" x14ac:dyDescent="0.3">
      <c r="A2533" t="s">
        <v>4664</v>
      </c>
      <c r="B2533" t="str">
        <f>"000828"</f>
        <v>000828</v>
      </c>
      <c r="C2533" t="s">
        <v>5396</v>
      </c>
      <c r="D2533" t="s">
        <v>44</v>
      </c>
      <c r="F2533">
        <v>2.8E-3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961</v>
      </c>
      <c r="Q2533" t="s">
        <v>5397</v>
      </c>
    </row>
    <row r="2534" spans="1:17" x14ac:dyDescent="0.3">
      <c r="A2534" t="s">
        <v>4664</v>
      </c>
      <c r="B2534" t="str">
        <f>"000829"</f>
        <v>000829</v>
      </c>
      <c r="C2534" t="s">
        <v>5398</v>
      </c>
      <c r="D2534" t="s">
        <v>295</v>
      </c>
      <c r="F2534">
        <v>20.174199999999999</v>
      </c>
      <c r="G2534">
        <v>30.6233</v>
      </c>
      <c r="H2534">
        <v>36.936300000000003</v>
      </c>
      <c r="I2534">
        <v>45.695399999999999</v>
      </c>
      <c r="J2534">
        <v>46.963299999999997</v>
      </c>
      <c r="K2534">
        <v>50.811399999999999</v>
      </c>
      <c r="L2534">
        <v>36.957799999999999</v>
      </c>
      <c r="M2534">
        <v>71.163700000000006</v>
      </c>
      <c r="N2534">
        <v>56.147399999999998</v>
      </c>
      <c r="O2534">
        <v>36.671900000000001</v>
      </c>
      <c r="P2534">
        <v>187</v>
      </c>
      <c r="Q2534" t="s">
        <v>5399</v>
      </c>
    </row>
    <row r="2535" spans="1:17" x14ac:dyDescent="0.3">
      <c r="A2535" t="s">
        <v>4664</v>
      </c>
      <c r="B2535" t="str">
        <f>"000830"</f>
        <v>000830</v>
      </c>
      <c r="C2535" t="s">
        <v>5400</v>
      </c>
      <c r="D2535" t="s">
        <v>914</v>
      </c>
      <c r="F2535">
        <v>45.677799999999998</v>
      </c>
      <c r="G2535">
        <v>39.341099999999997</v>
      </c>
      <c r="H2535">
        <v>35.803400000000003</v>
      </c>
      <c r="I2535">
        <v>44.677799999999998</v>
      </c>
      <c r="J2535">
        <v>63.868899999999996</v>
      </c>
      <c r="K2535">
        <v>80.256500000000003</v>
      </c>
      <c r="L2535">
        <v>63.908700000000003</v>
      </c>
      <c r="M2535">
        <v>84.023899999999998</v>
      </c>
      <c r="N2535">
        <v>83.968100000000007</v>
      </c>
      <c r="O2535">
        <v>72.8</v>
      </c>
      <c r="P2535">
        <v>891</v>
      </c>
      <c r="Q2535" t="s">
        <v>5401</v>
      </c>
    </row>
    <row r="2536" spans="1:17" x14ac:dyDescent="0.3">
      <c r="A2536" t="s">
        <v>4664</v>
      </c>
      <c r="B2536" t="str">
        <f>"000831"</f>
        <v>000831</v>
      </c>
      <c r="C2536" t="s">
        <v>5402</v>
      </c>
      <c r="D2536" t="s">
        <v>266</v>
      </c>
      <c r="F2536">
        <v>385.0378</v>
      </c>
      <c r="G2536">
        <v>698.82979999999998</v>
      </c>
      <c r="H2536">
        <v>378.45600000000002</v>
      </c>
      <c r="I2536">
        <v>666.56089999999995</v>
      </c>
      <c r="J2536">
        <v>468.42570000000001</v>
      </c>
      <c r="K2536">
        <v>5636.9805999999999</v>
      </c>
      <c r="L2536">
        <v>1233.375</v>
      </c>
      <c r="M2536">
        <v>759.75829999999996</v>
      </c>
      <c r="N2536">
        <v>1576.5690999999999</v>
      </c>
      <c r="O2536">
        <v>35.836500000000001</v>
      </c>
      <c r="P2536">
        <v>458</v>
      </c>
      <c r="Q2536" t="s">
        <v>5403</v>
      </c>
    </row>
    <row r="2537" spans="1:17" x14ac:dyDescent="0.3">
      <c r="A2537" t="s">
        <v>4664</v>
      </c>
      <c r="B2537" t="str">
        <f>"000832"</f>
        <v>000832</v>
      </c>
      <c r="C2537" t="s">
        <v>5404</v>
      </c>
      <c r="L2537">
        <v>341.56200000000001</v>
      </c>
      <c r="M2537">
        <v>240.92060000000001</v>
      </c>
      <c r="N2537">
        <v>402.50200000000001</v>
      </c>
      <c r="O2537">
        <v>158.7955</v>
      </c>
      <c r="P2537">
        <v>6</v>
      </c>
      <c r="Q2537" t="s">
        <v>5405</v>
      </c>
    </row>
    <row r="2538" spans="1:17" x14ac:dyDescent="0.3">
      <c r="A2538" t="s">
        <v>4664</v>
      </c>
      <c r="B2538" t="str">
        <f>"000833"</f>
        <v>000833</v>
      </c>
      <c r="C2538" t="s">
        <v>5406</v>
      </c>
      <c r="D2538" t="s">
        <v>110</v>
      </c>
      <c r="F2538">
        <v>130.2176</v>
      </c>
      <c r="G2538">
        <v>82.722099999999998</v>
      </c>
      <c r="H2538">
        <v>38.032499999999999</v>
      </c>
      <c r="I2538">
        <v>47.970999999999997</v>
      </c>
      <c r="J2538">
        <v>59.908900000000003</v>
      </c>
      <c r="K2538">
        <v>95.626599999999996</v>
      </c>
      <c r="L2538">
        <v>99.900800000000004</v>
      </c>
      <c r="M2538">
        <v>170.94550000000001</v>
      </c>
      <c r="N2538">
        <v>154.55279999999999</v>
      </c>
      <c r="O2538">
        <v>213.9717</v>
      </c>
      <c r="P2538">
        <v>88</v>
      </c>
      <c r="Q2538" t="s">
        <v>5407</v>
      </c>
    </row>
    <row r="2539" spans="1:17" x14ac:dyDescent="0.3">
      <c r="A2539" t="s">
        <v>4664</v>
      </c>
      <c r="B2539" t="str">
        <f>"000835"</f>
        <v>000835</v>
      </c>
      <c r="C2539" t="s">
        <v>5408</v>
      </c>
      <c r="D2539" t="s">
        <v>517</v>
      </c>
      <c r="F2539">
        <v>215.941</v>
      </c>
      <c r="G2539">
        <v>1102.2958000000001</v>
      </c>
      <c r="H2539">
        <v>107.9173</v>
      </c>
      <c r="I2539">
        <v>202.07929999999999</v>
      </c>
      <c r="J2539">
        <v>132.08510000000001</v>
      </c>
      <c r="K2539">
        <v>212.52889999999999</v>
      </c>
      <c r="L2539">
        <v>122.5591</v>
      </c>
      <c r="M2539">
        <v>141.816</v>
      </c>
      <c r="N2539">
        <v>90.994399999999999</v>
      </c>
      <c r="O2539">
        <v>82.096199999999996</v>
      </c>
      <c r="P2539">
        <v>69</v>
      </c>
      <c r="Q2539" t="s">
        <v>5409</v>
      </c>
    </row>
    <row r="2540" spans="1:17" x14ac:dyDescent="0.3">
      <c r="A2540" t="s">
        <v>4664</v>
      </c>
      <c r="B2540" t="str">
        <f>"000836"</f>
        <v>000836</v>
      </c>
      <c r="C2540" t="s">
        <v>5410</v>
      </c>
      <c r="D2540" t="s">
        <v>250</v>
      </c>
      <c r="F2540">
        <v>147.70949999999999</v>
      </c>
      <c r="G2540">
        <v>202.5966</v>
      </c>
      <c r="H2540">
        <v>199.958</v>
      </c>
      <c r="I2540">
        <v>76.600499999999997</v>
      </c>
      <c r="J2540">
        <v>77.987899999999996</v>
      </c>
      <c r="K2540">
        <v>217.60550000000001</v>
      </c>
      <c r="L2540">
        <v>352.45800000000003</v>
      </c>
      <c r="M2540">
        <v>585.69569999999999</v>
      </c>
      <c r="N2540">
        <v>622.36450000000002</v>
      </c>
      <c r="O2540">
        <v>392.137</v>
      </c>
      <c r="P2540">
        <v>135</v>
      </c>
      <c r="Q2540" t="s">
        <v>5411</v>
      </c>
    </row>
    <row r="2541" spans="1:17" x14ac:dyDescent="0.3">
      <c r="A2541" t="s">
        <v>4664</v>
      </c>
      <c r="B2541" t="str">
        <f>"000837"</f>
        <v>000837</v>
      </c>
      <c r="C2541" t="s">
        <v>5412</v>
      </c>
      <c r="D2541" t="s">
        <v>2312</v>
      </c>
      <c r="F2541">
        <v>180.0675</v>
      </c>
      <c r="G2541">
        <v>232.1705</v>
      </c>
      <c r="H2541">
        <v>352.08089999999999</v>
      </c>
      <c r="I2541">
        <v>342.24810000000002</v>
      </c>
      <c r="J2541">
        <v>333.9853</v>
      </c>
      <c r="K2541">
        <v>366.8689</v>
      </c>
      <c r="L2541">
        <v>371.13150000000002</v>
      </c>
      <c r="M2541">
        <v>182.6353</v>
      </c>
      <c r="N2541">
        <v>318.0487</v>
      </c>
      <c r="O2541">
        <v>308.67149999999998</v>
      </c>
      <c r="P2541">
        <v>129</v>
      </c>
      <c r="Q2541" t="s">
        <v>5413</v>
      </c>
    </row>
    <row r="2542" spans="1:17" x14ac:dyDescent="0.3">
      <c r="A2542" t="s">
        <v>4664</v>
      </c>
      <c r="B2542" t="str">
        <f>"000838"</f>
        <v>000838</v>
      </c>
      <c r="C2542" t="s">
        <v>5414</v>
      </c>
      <c r="D2542" t="s">
        <v>104</v>
      </c>
      <c r="F2542">
        <v>1802.5359000000001</v>
      </c>
      <c r="G2542">
        <v>1794.0944</v>
      </c>
      <c r="H2542">
        <v>5805.4012000000002</v>
      </c>
      <c r="I2542">
        <v>4340.5618999999997</v>
      </c>
      <c r="J2542">
        <v>3819.3724000000002</v>
      </c>
      <c r="K2542">
        <v>1529.7757999999999</v>
      </c>
      <c r="L2542">
        <v>2939.0720000000001</v>
      </c>
      <c r="M2542">
        <v>3257.0059000000001</v>
      </c>
      <c r="N2542">
        <v>178357.4332</v>
      </c>
      <c r="O2542">
        <v>2308595.1678999998</v>
      </c>
      <c r="P2542">
        <v>98</v>
      </c>
      <c r="Q2542" t="s">
        <v>5415</v>
      </c>
    </row>
    <row r="2543" spans="1:17" x14ac:dyDescent="0.3">
      <c r="A2543" t="s">
        <v>4664</v>
      </c>
      <c r="B2543" t="str">
        <f>"000839"</f>
        <v>000839</v>
      </c>
      <c r="C2543" t="s">
        <v>5416</v>
      </c>
      <c r="D2543" t="s">
        <v>110</v>
      </c>
      <c r="F2543">
        <v>541.07010000000002</v>
      </c>
      <c r="G2543">
        <v>499.06610000000001</v>
      </c>
      <c r="H2543">
        <v>342.50049999999999</v>
      </c>
      <c r="I2543">
        <v>301.78500000000003</v>
      </c>
      <c r="J2543">
        <v>203.50030000000001</v>
      </c>
      <c r="K2543">
        <v>184.56479999999999</v>
      </c>
      <c r="L2543">
        <v>152.1584</v>
      </c>
      <c r="M2543">
        <v>288.33999999999997</v>
      </c>
      <c r="N2543">
        <v>289.43720000000002</v>
      </c>
      <c r="O2543">
        <v>250.4522</v>
      </c>
      <c r="P2543">
        <v>219</v>
      </c>
      <c r="Q2543" t="s">
        <v>5417</v>
      </c>
    </row>
    <row r="2544" spans="1:17" x14ac:dyDescent="0.3">
      <c r="A2544" t="s">
        <v>4664</v>
      </c>
      <c r="B2544" t="str">
        <f>"000848"</f>
        <v>000848</v>
      </c>
      <c r="C2544" t="s">
        <v>5418</v>
      </c>
      <c r="D2544" t="s">
        <v>440</v>
      </c>
      <c r="F2544">
        <v>53.673000000000002</v>
      </c>
      <c r="G2544">
        <v>101.6549</v>
      </c>
      <c r="H2544">
        <v>86.754099999999994</v>
      </c>
      <c r="I2544">
        <v>90.293800000000005</v>
      </c>
      <c r="J2544">
        <v>79.856499999999997</v>
      </c>
      <c r="K2544">
        <v>49.31</v>
      </c>
      <c r="L2544">
        <v>48.413499999999999</v>
      </c>
      <c r="M2544">
        <v>70.1357</v>
      </c>
      <c r="N2544">
        <v>60.233400000000003</v>
      </c>
      <c r="O2544">
        <v>83.774299999999997</v>
      </c>
      <c r="P2544">
        <v>41203</v>
      </c>
      <c r="Q2544" t="s">
        <v>5419</v>
      </c>
    </row>
    <row r="2545" spans="1:17" x14ac:dyDescent="0.3">
      <c r="A2545" t="s">
        <v>4664</v>
      </c>
      <c r="B2545" t="str">
        <f>"000850"</f>
        <v>000850</v>
      </c>
      <c r="C2545" t="s">
        <v>5420</v>
      </c>
      <c r="D2545" t="s">
        <v>1009</v>
      </c>
      <c r="F2545">
        <v>82.6511</v>
      </c>
      <c r="G2545">
        <v>99.927300000000002</v>
      </c>
      <c r="H2545">
        <v>146.36250000000001</v>
      </c>
      <c r="I2545">
        <v>152.89189999999999</v>
      </c>
      <c r="J2545">
        <v>128.60149999999999</v>
      </c>
      <c r="K2545">
        <v>111.703</v>
      </c>
      <c r="L2545">
        <v>100.9666</v>
      </c>
      <c r="M2545">
        <v>87.323599999999999</v>
      </c>
      <c r="N2545">
        <v>71.3309</v>
      </c>
      <c r="O2545">
        <v>85.4405</v>
      </c>
      <c r="P2545">
        <v>121</v>
      </c>
      <c r="Q2545" t="s">
        <v>5421</v>
      </c>
    </row>
    <row r="2546" spans="1:17" x14ac:dyDescent="0.3">
      <c r="A2546" t="s">
        <v>4664</v>
      </c>
      <c r="B2546" t="str">
        <f>"000851"</f>
        <v>000851</v>
      </c>
      <c r="C2546" t="s">
        <v>5422</v>
      </c>
      <c r="D2546" t="s">
        <v>1019</v>
      </c>
      <c r="F2546">
        <v>91.574200000000005</v>
      </c>
      <c r="G2546">
        <v>125.3083</v>
      </c>
      <c r="H2546">
        <v>70.661199999999994</v>
      </c>
      <c r="I2546">
        <v>56.311799999999998</v>
      </c>
      <c r="J2546">
        <v>40.449399999999997</v>
      </c>
      <c r="K2546">
        <v>46.680300000000003</v>
      </c>
      <c r="L2546">
        <v>97.671000000000006</v>
      </c>
      <c r="M2546">
        <v>119.4727</v>
      </c>
      <c r="N2546">
        <v>39.119300000000003</v>
      </c>
      <c r="O2546">
        <v>39.616500000000002</v>
      </c>
      <c r="P2546">
        <v>224</v>
      </c>
      <c r="Q2546" t="s">
        <v>5423</v>
      </c>
    </row>
    <row r="2547" spans="1:17" x14ac:dyDescent="0.3">
      <c r="A2547" t="s">
        <v>4664</v>
      </c>
      <c r="B2547" t="str">
        <f>"000852"</f>
        <v>000852</v>
      </c>
      <c r="C2547" t="s">
        <v>5424</v>
      </c>
      <c r="D2547" t="s">
        <v>395</v>
      </c>
      <c r="F2547">
        <v>370.92619999999999</v>
      </c>
      <c r="G2547">
        <v>398.31869999999998</v>
      </c>
      <c r="H2547">
        <v>339.22030000000001</v>
      </c>
      <c r="I2547">
        <v>408.85989999999998</v>
      </c>
      <c r="J2547">
        <v>472.25839999999999</v>
      </c>
      <c r="K2547">
        <v>451.80549999999999</v>
      </c>
      <c r="L2547">
        <v>215.9649</v>
      </c>
      <c r="M2547">
        <v>263.30380000000002</v>
      </c>
      <c r="N2547">
        <v>223.49870000000001</v>
      </c>
      <c r="O2547">
        <v>250.05760000000001</v>
      </c>
      <c r="P2547">
        <v>155</v>
      </c>
      <c r="Q2547" t="s">
        <v>5425</v>
      </c>
    </row>
    <row r="2548" spans="1:17" x14ac:dyDescent="0.3">
      <c r="A2548" t="s">
        <v>4664</v>
      </c>
      <c r="B2548" t="str">
        <f>"000856"</f>
        <v>000856</v>
      </c>
      <c r="C2548" t="s">
        <v>5426</v>
      </c>
      <c r="D2548" t="s">
        <v>741</v>
      </c>
      <c r="F2548">
        <v>19.497699999999998</v>
      </c>
      <c r="G2548">
        <v>29.4285</v>
      </c>
      <c r="H2548">
        <v>37.971699999999998</v>
      </c>
      <c r="I2548">
        <v>56.758200000000002</v>
      </c>
      <c r="J2548">
        <v>83.876999999999995</v>
      </c>
      <c r="K2548">
        <v>158.34209999999999</v>
      </c>
      <c r="L2548">
        <v>136.82390000000001</v>
      </c>
      <c r="M2548">
        <v>136.15729999999999</v>
      </c>
      <c r="N2548">
        <v>127.50409999999999</v>
      </c>
      <c r="O2548">
        <v>131.19890000000001</v>
      </c>
      <c r="P2548">
        <v>101</v>
      </c>
      <c r="Q2548" t="s">
        <v>5427</v>
      </c>
    </row>
    <row r="2549" spans="1:17" x14ac:dyDescent="0.3">
      <c r="A2549" t="s">
        <v>4664</v>
      </c>
      <c r="B2549" t="str">
        <f>"000858"</f>
        <v>000858</v>
      </c>
      <c r="C2549" t="s">
        <v>5428</v>
      </c>
      <c r="D2549" t="s">
        <v>458</v>
      </c>
      <c r="F2549">
        <v>392.04520000000002</v>
      </c>
      <c r="G2549">
        <v>444.85219999999998</v>
      </c>
      <c r="H2549">
        <v>447.16910000000001</v>
      </c>
      <c r="I2549">
        <v>510.21129999999999</v>
      </c>
      <c r="J2549">
        <v>543.41039999999998</v>
      </c>
      <c r="K2549">
        <v>617.70000000000005</v>
      </c>
      <c r="L2549">
        <v>642.58720000000005</v>
      </c>
      <c r="M2549">
        <v>685.09199999999998</v>
      </c>
      <c r="N2549">
        <v>460.77289999999999</v>
      </c>
      <c r="O2549">
        <v>330.31490000000002</v>
      </c>
      <c r="P2549">
        <v>11635</v>
      </c>
      <c r="Q2549" t="s">
        <v>5429</v>
      </c>
    </row>
    <row r="2550" spans="1:17" x14ac:dyDescent="0.3">
      <c r="A2550" t="s">
        <v>4664</v>
      </c>
      <c r="B2550" t="str">
        <f>"000859"</f>
        <v>000859</v>
      </c>
      <c r="C2550" t="s">
        <v>5430</v>
      </c>
      <c r="D2550" t="s">
        <v>324</v>
      </c>
      <c r="F2550">
        <v>51.735300000000002</v>
      </c>
      <c r="G2550">
        <v>70.677199999999999</v>
      </c>
      <c r="H2550">
        <v>74.518699999999995</v>
      </c>
      <c r="I2550">
        <v>74.471999999999994</v>
      </c>
      <c r="J2550">
        <v>83.581599999999995</v>
      </c>
      <c r="K2550">
        <v>87.879099999999994</v>
      </c>
      <c r="L2550">
        <v>77.593500000000006</v>
      </c>
      <c r="M2550">
        <v>58.308599999999998</v>
      </c>
      <c r="N2550">
        <v>57.167499999999997</v>
      </c>
      <c r="O2550">
        <v>58.954300000000003</v>
      </c>
      <c r="P2550">
        <v>118</v>
      </c>
      <c r="Q2550" t="s">
        <v>5431</v>
      </c>
    </row>
    <row r="2551" spans="1:17" x14ac:dyDescent="0.3">
      <c r="A2551" t="s">
        <v>4664</v>
      </c>
      <c r="B2551" t="str">
        <f>"000860"</f>
        <v>000860</v>
      </c>
      <c r="C2551" t="s">
        <v>5432</v>
      </c>
      <c r="D2551" t="s">
        <v>458</v>
      </c>
      <c r="F2551">
        <v>276.8895</v>
      </c>
      <c r="G2551">
        <v>307.7518</v>
      </c>
      <c r="H2551">
        <v>407.52589999999998</v>
      </c>
      <c r="I2551">
        <v>481.73149999999998</v>
      </c>
      <c r="J2551">
        <v>501.13380000000001</v>
      </c>
      <c r="K2551">
        <v>476.48860000000002</v>
      </c>
      <c r="L2551">
        <v>567.15409999999997</v>
      </c>
      <c r="M2551">
        <v>550.52200000000005</v>
      </c>
      <c r="N2551">
        <v>489.01639999999998</v>
      </c>
      <c r="O2551">
        <v>343.95589999999999</v>
      </c>
      <c r="P2551">
        <v>1515</v>
      </c>
      <c r="Q2551" t="s">
        <v>5433</v>
      </c>
    </row>
    <row r="2552" spans="1:17" x14ac:dyDescent="0.3">
      <c r="A2552" t="s">
        <v>4664</v>
      </c>
      <c r="B2552" t="str">
        <f>"000861"</f>
        <v>000861</v>
      </c>
      <c r="C2552" t="s">
        <v>5434</v>
      </c>
      <c r="D2552" t="s">
        <v>271</v>
      </c>
      <c r="F2552">
        <v>2218.4477999999999</v>
      </c>
      <c r="G2552">
        <v>2394.5515</v>
      </c>
      <c r="H2552">
        <v>1456.9033999999999</v>
      </c>
      <c r="I2552">
        <v>1201.7882999999999</v>
      </c>
      <c r="J2552">
        <v>1193.5027</v>
      </c>
      <c r="K2552">
        <v>1208.4601</v>
      </c>
      <c r="L2552">
        <v>1319.1704</v>
      </c>
      <c r="M2552">
        <v>811.75400000000002</v>
      </c>
      <c r="N2552">
        <v>439.71280000000002</v>
      </c>
      <c r="O2552">
        <v>323.80430000000001</v>
      </c>
      <c r="P2552">
        <v>184</v>
      </c>
      <c r="Q2552" t="s">
        <v>5435</v>
      </c>
    </row>
    <row r="2553" spans="1:17" x14ac:dyDescent="0.3">
      <c r="A2553" t="s">
        <v>4664</v>
      </c>
      <c r="B2553" t="str">
        <f>"000862"</f>
        <v>000862</v>
      </c>
      <c r="C2553" t="s">
        <v>5436</v>
      </c>
      <c r="D2553" t="s">
        <v>383</v>
      </c>
      <c r="F2553">
        <v>37.356900000000003</v>
      </c>
      <c r="G2553">
        <v>47.643599999999999</v>
      </c>
      <c r="H2553">
        <v>57.953299999999999</v>
      </c>
      <c r="I2553">
        <v>81.234899999999996</v>
      </c>
      <c r="J2553">
        <v>97.441900000000004</v>
      </c>
      <c r="K2553">
        <v>87.785300000000007</v>
      </c>
      <c r="L2553">
        <v>175.2901</v>
      </c>
      <c r="M2553">
        <v>225.0556</v>
      </c>
      <c r="N2553">
        <v>379.74489999999997</v>
      </c>
      <c r="O2553">
        <v>533.35680000000002</v>
      </c>
      <c r="P2553">
        <v>171</v>
      </c>
      <c r="Q2553" t="s">
        <v>5437</v>
      </c>
    </row>
    <row r="2554" spans="1:17" x14ac:dyDescent="0.3">
      <c r="A2554" t="s">
        <v>4664</v>
      </c>
      <c r="B2554" t="str">
        <f>"000863"</f>
        <v>000863</v>
      </c>
      <c r="C2554" t="s">
        <v>5438</v>
      </c>
      <c r="D2554" t="s">
        <v>104</v>
      </c>
      <c r="F2554">
        <v>746.87310000000002</v>
      </c>
      <c r="G2554">
        <v>989.6934</v>
      </c>
      <c r="H2554">
        <v>3227.1569</v>
      </c>
      <c r="I2554">
        <v>3897.1725999999999</v>
      </c>
      <c r="J2554">
        <v>6001.7637000000004</v>
      </c>
      <c r="K2554">
        <v>1170.8154999999999</v>
      </c>
      <c r="L2554">
        <v>16310.5054</v>
      </c>
      <c r="M2554">
        <v>4807.9934999999996</v>
      </c>
      <c r="N2554">
        <v>8970.2571000000007</v>
      </c>
      <c r="O2554">
        <v>8058.5668999999998</v>
      </c>
      <c r="P2554">
        <v>171</v>
      </c>
      <c r="Q2554" t="s">
        <v>5439</v>
      </c>
    </row>
    <row r="2555" spans="1:17" x14ac:dyDescent="0.3">
      <c r="A2555" t="s">
        <v>4664</v>
      </c>
      <c r="B2555" t="str">
        <f>"000868"</f>
        <v>000868</v>
      </c>
      <c r="C2555" t="s">
        <v>5440</v>
      </c>
      <c r="D2555" t="s">
        <v>153</v>
      </c>
      <c r="F2555">
        <v>42.939799999999998</v>
      </c>
      <c r="G2555">
        <v>39.308999999999997</v>
      </c>
      <c r="H2555">
        <v>30.410900000000002</v>
      </c>
      <c r="I2555">
        <v>27.0151</v>
      </c>
      <c r="J2555">
        <v>30.5901</v>
      </c>
      <c r="K2555">
        <v>39.910400000000003</v>
      </c>
      <c r="L2555">
        <v>47.875500000000002</v>
      </c>
      <c r="M2555">
        <v>49.434899999999999</v>
      </c>
      <c r="N2555">
        <v>55.535899999999998</v>
      </c>
      <c r="O2555">
        <v>59.561599999999999</v>
      </c>
      <c r="P2555">
        <v>171</v>
      </c>
      <c r="Q2555" t="s">
        <v>5441</v>
      </c>
    </row>
    <row r="2556" spans="1:17" x14ac:dyDescent="0.3">
      <c r="A2556" t="s">
        <v>4664</v>
      </c>
      <c r="B2556" t="str">
        <f>"000869"</f>
        <v>000869</v>
      </c>
      <c r="C2556" t="s">
        <v>5442</v>
      </c>
      <c r="D2556" t="s">
        <v>134</v>
      </c>
      <c r="F2556">
        <v>950.96849999999995</v>
      </c>
      <c r="G2556">
        <v>1100.3968</v>
      </c>
      <c r="H2556">
        <v>789.19929999999999</v>
      </c>
      <c r="I2556">
        <v>661.13149999999996</v>
      </c>
      <c r="J2556">
        <v>627.26729999999998</v>
      </c>
      <c r="K2556">
        <v>607.21839999999997</v>
      </c>
      <c r="L2556">
        <v>563.15440000000001</v>
      </c>
      <c r="M2556">
        <v>685.37649999999996</v>
      </c>
      <c r="N2556">
        <v>756.44479999999999</v>
      </c>
      <c r="O2556">
        <v>646.90239999999994</v>
      </c>
      <c r="P2556">
        <v>833</v>
      </c>
      <c r="Q2556" t="s">
        <v>5443</v>
      </c>
    </row>
    <row r="2557" spans="1:17" x14ac:dyDescent="0.3">
      <c r="A2557" t="s">
        <v>4664</v>
      </c>
      <c r="B2557" t="str">
        <f>"000875"</f>
        <v>000875</v>
      </c>
      <c r="C2557" t="s">
        <v>5444</v>
      </c>
      <c r="D2557" t="s">
        <v>239</v>
      </c>
      <c r="F2557">
        <v>10.6844</v>
      </c>
      <c r="G2557">
        <v>9.5515000000000008</v>
      </c>
      <c r="H2557">
        <v>9.1199999999999992</v>
      </c>
      <c r="I2557">
        <v>10.7012</v>
      </c>
      <c r="J2557">
        <v>12.132999999999999</v>
      </c>
      <c r="K2557">
        <v>13.006399999999999</v>
      </c>
      <c r="L2557">
        <v>13.919</v>
      </c>
      <c r="M2557">
        <v>11.6357</v>
      </c>
      <c r="N2557">
        <v>15.4726</v>
      </c>
      <c r="O2557">
        <v>23.054300000000001</v>
      </c>
      <c r="P2557">
        <v>278</v>
      </c>
      <c r="Q2557" t="s">
        <v>5445</v>
      </c>
    </row>
    <row r="2558" spans="1:17" x14ac:dyDescent="0.3">
      <c r="A2558" t="s">
        <v>4664</v>
      </c>
      <c r="B2558" t="str">
        <f>"000876"</f>
        <v>000876</v>
      </c>
      <c r="C2558" t="s">
        <v>5446</v>
      </c>
      <c r="D2558" t="s">
        <v>1894</v>
      </c>
      <c r="F2558">
        <v>62.354100000000003</v>
      </c>
      <c r="G2558">
        <v>75.760900000000007</v>
      </c>
      <c r="H2558">
        <v>46.677599999999998</v>
      </c>
      <c r="I2558">
        <v>39.3765</v>
      </c>
      <c r="J2558">
        <v>37.865499999999997</v>
      </c>
      <c r="K2558">
        <v>29.8261</v>
      </c>
      <c r="L2558">
        <v>33.784199999999998</v>
      </c>
      <c r="M2558">
        <v>33.6631</v>
      </c>
      <c r="N2558">
        <v>29.770499999999998</v>
      </c>
      <c r="O2558">
        <v>31.575099999999999</v>
      </c>
      <c r="P2558">
        <v>2609</v>
      </c>
      <c r="Q2558" t="s">
        <v>5447</v>
      </c>
    </row>
    <row r="2559" spans="1:17" x14ac:dyDescent="0.3">
      <c r="A2559" t="s">
        <v>4664</v>
      </c>
      <c r="B2559" t="str">
        <f>"000877"</f>
        <v>000877</v>
      </c>
      <c r="C2559" t="s">
        <v>5448</v>
      </c>
      <c r="D2559" t="s">
        <v>731</v>
      </c>
      <c r="F2559">
        <v>24.838100000000001</v>
      </c>
      <c r="G2559">
        <v>37.593000000000004</v>
      </c>
      <c r="H2559">
        <v>28.645800000000001</v>
      </c>
      <c r="I2559">
        <v>43.292000000000002</v>
      </c>
      <c r="J2559">
        <v>52.107300000000002</v>
      </c>
      <c r="K2559">
        <v>83.908799999999999</v>
      </c>
      <c r="L2559">
        <v>77.104399999999998</v>
      </c>
      <c r="M2559">
        <v>79.074799999999996</v>
      </c>
      <c r="N2559">
        <v>67.457899999999995</v>
      </c>
      <c r="O2559">
        <v>69.525599999999997</v>
      </c>
      <c r="P2559">
        <v>742</v>
      </c>
      <c r="Q2559" t="s">
        <v>5449</v>
      </c>
    </row>
    <row r="2560" spans="1:17" x14ac:dyDescent="0.3">
      <c r="A2560" t="s">
        <v>4664</v>
      </c>
      <c r="B2560" t="str">
        <f>"000878"</f>
        <v>000878</v>
      </c>
      <c r="C2560" t="s">
        <v>5450</v>
      </c>
      <c r="D2560" t="s">
        <v>263</v>
      </c>
      <c r="F2560">
        <v>54.297699999999999</v>
      </c>
      <c r="G2560">
        <v>74.243899999999996</v>
      </c>
      <c r="H2560">
        <v>84.779700000000005</v>
      </c>
      <c r="I2560">
        <v>90.905600000000007</v>
      </c>
      <c r="J2560">
        <v>54.647799999999997</v>
      </c>
      <c r="K2560">
        <v>59.337800000000001</v>
      </c>
      <c r="L2560">
        <v>58.819400000000002</v>
      </c>
      <c r="M2560">
        <v>72.4636</v>
      </c>
      <c r="N2560">
        <v>132.28729999999999</v>
      </c>
      <c r="O2560">
        <v>138.5103</v>
      </c>
      <c r="P2560">
        <v>418</v>
      </c>
      <c r="Q2560" t="s">
        <v>5451</v>
      </c>
    </row>
    <row r="2561" spans="1:17" x14ac:dyDescent="0.3">
      <c r="A2561" t="s">
        <v>4664</v>
      </c>
      <c r="B2561" t="str">
        <f>"000880"</f>
        <v>000880</v>
      </c>
      <c r="C2561" t="s">
        <v>5452</v>
      </c>
      <c r="D2561" t="s">
        <v>348</v>
      </c>
      <c r="F2561">
        <v>72.732200000000006</v>
      </c>
      <c r="G2561">
        <v>86.551900000000003</v>
      </c>
      <c r="H2561">
        <v>86.633899999999997</v>
      </c>
      <c r="I2561">
        <v>108.6636</v>
      </c>
      <c r="J2561">
        <v>139.66370000000001</v>
      </c>
      <c r="K2561">
        <v>159.8073</v>
      </c>
      <c r="L2561">
        <v>124.2932</v>
      </c>
      <c r="M2561">
        <v>87.287700000000001</v>
      </c>
      <c r="N2561">
        <v>93.136799999999994</v>
      </c>
      <c r="O2561">
        <v>69.4405</v>
      </c>
      <c r="P2561">
        <v>102</v>
      </c>
      <c r="Q2561" t="s">
        <v>5453</v>
      </c>
    </row>
    <row r="2562" spans="1:17" x14ac:dyDescent="0.3">
      <c r="A2562" t="s">
        <v>4664</v>
      </c>
      <c r="B2562" t="str">
        <f>"000881"</f>
        <v>000881</v>
      </c>
      <c r="C2562" t="s">
        <v>5454</v>
      </c>
      <c r="D2562" t="s">
        <v>386</v>
      </c>
      <c r="F2562">
        <v>138.23509999999999</v>
      </c>
      <c r="G2562">
        <v>120.60760000000001</v>
      </c>
      <c r="H2562">
        <v>115.9482</v>
      </c>
      <c r="I2562">
        <v>100.4207</v>
      </c>
      <c r="J2562">
        <v>128.26859999999999</v>
      </c>
      <c r="K2562">
        <v>381.19409999999999</v>
      </c>
      <c r="L2562">
        <v>442.15789999999998</v>
      </c>
      <c r="M2562">
        <v>586.18589999999995</v>
      </c>
      <c r="N2562">
        <v>592.01840000000004</v>
      </c>
      <c r="O2562">
        <v>338.23309999999998</v>
      </c>
      <c r="P2562">
        <v>169</v>
      </c>
      <c r="Q2562" t="s">
        <v>5455</v>
      </c>
    </row>
    <row r="2563" spans="1:17" x14ac:dyDescent="0.3">
      <c r="A2563" t="s">
        <v>4664</v>
      </c>
      <c r="B2563" t="str">
        <f>"000882"</f>
        <v>000882</v>
      </c>
      <c r="C2563" t="s">
        <v>5456</v>
      </c>
      <c r="D2563" t="s">
        <v>633</v>
      </c>
      <c r="F2563">
        <v>719.42430000000002</v>
      </c>
      <c r="G2563">
        <v>725.32650000000001</v>
      </c>
      <c r="H2563">
        <v>647.14319999999998</v>
      </c>
      <c r="I2563">
        <v>589.30309999999997</v>
      </c>
      <c r="J2563">
        <v>2.9338000000000002</v>
      </c>
      <c r="K2563">
        <v>0.28570000000000001</v>
      </c>
      <c r="L2563">
        <v>0</v>
      </c>
      <c r="M2563">
        <v>0</v>
      </c>
      <c r="N2563">
        <v>0</v>
      </c>
      <c r="O2563">
        <v>0</v>
      </c>
      <c r="P2563">
        <v>114</v>
      </c>
      <c r="Q2563" t="s">
        <v>5457</v>
      </c>
    </row>
    <row r="2564" spans="1:17" x14ac:dyDescent="0.3">
      <c r="A2564" t="s">
        <v>4664</v>
      </c>
      <c r="B2564" t="str">
        <f>"000883"</f>
        <v>000883</v>
      </c>
      <c r="C2564" t="s">
        <v>5458</v>
      </c>
      <c r="D2564" t="s">
        <v>239</v>
      </c>
      <c r="F2564">
        <v>15.0258</v>
      </c>
      <c r="G2564">
        <v>18.8748</v>
      </c>
      <c r="H2564">
        <v>16.427399999999999</v>
      </c>
      <c r="I2564">
        <v>13.369899999999999</v>
      </c>
      <c r="J2564">
        <v>15.4138</v>
      </c>
      <c r="K2564">
        <v>10.975099999999999</v>
      </c>
      <c r="L2564">
        <v>30.272600000000001</v>
      </c>
      <c r="M2564">
        <v>27.645800000000001</v>
      </c>
      <c r="N2564">
        <v>9.9478000000000009</v>
      </c>
      <c r="O2564">
        <v>23.543600000000001</v>
      </c>
      <c r="P2564">
        <v>419</v>
      </c>
      <c r="Q2564" t="s">
        <v>5459</v>
      </c>
    </row>
    <row r="2565" spans="1:17" x14ac:dyDescent="0.3">
      <c r="A2565" t="s">
        <v>4664</v>
      </c>
      <c r="B2565" t="str">
        <f>"000885"</f>
        <v>000885</v>
      </c>
      <c r="C2565" t="s">
        <v>5460</v>
      </c>
      <c r="D2565" t="s">
        <v>44</v>
      </c>
      <c r="F2565">
        <v>3.4550000000000001</v>
      </c>
      <c r="G2565">
        <v>3.2707999999999999</v>
      </c>
      <c r="H2565">
        <v>11.5839</v>
      </c>
      <c r="I2565">
        <v>10.5495</v>
      </c>
      <c r="J2565">
        <v>26.5779</v>
      </c>
      <c r="K2565">
        <v>67.302499999999995</v>
      </c>
      <c r="L2565">
        <v>68.370900000000006</v>
      </c>
      <c r="M2565">
        <v>60.237299999999998</v>
      </c>
      <c r="N2565">
        <v>59.683300000000003</v>
      </c>
      <c r="O2565">
        <v>52.640500000000003</v>
      </c>
      <c r="P2565">
        <v>236</v>
      </c>
      <c r="Q2565" t="s">
        <v>5461</v>
      </c>
    </row>
    <row r="2566" spans="1:17" x14ac:dyDescent="0.3">
      <c r="A2566" t="s">
        <v>4664</v>
      </c>
      <c r="B2566" t="str">
        <f>"000886"</f>
        <v>000886</v>
      </c>
      <c r="C2566" t="s">
        <v>5462</v>
      </c>
      <c r="D2566" t="s">
        <v>44</v>
      </c>
      <c r="F2566">
        <v>8308.5406000000003</v>
      </c>
      <c r="G2566">
        <v>6684.1180000000004</v>
      </c>
      <c r="H2566">
        <v>2797.8551000000002</v>
      </c>
      <c r="I2566">
        <v>1140.9501</v>
      </c>
      <c r="J2566">
        <v>1015.5332</v>
      </c>
      <c r="K2566">
        <v>6512.4796999999999</v>
      </c>
      <c r="L2566">
        <v>5731.5729000000001</v>
      </c>
      <c r="M2566">
        <v>3432.3290999999999</v>
      </c>
      <c r="N2566">
        <v>2949.2800999999999</v>
      </c>
      <c r="O2566">
        <v>2263.2215000000001</v>
      </c>
      <c r="P2566">
        <v>130</v>
      </c>
      <c r="Q2566" t="s">
        <v>5463</v>
      </c>
    </row>
    <row r="2567" spans="1:17" x14ac:dyDescent="0.3">
      <c r="A2567" t="s">
        <v>4664</v>
      </c>
      <c r="B2567" t="str">
        <f>"000887"</f>
        <v>000887</v>
      </c>
      <c r="C2567" t="s">
        <v>5464</v>
      </c>
      <c r="D2567" t="s">
        <v>985</v>
      </c>
      <c r="F2567">
        <v>115.2084</v>
      </c>
      <c r="G2567">
        <v>132.09280000000001</v>
      </c>
      <c r="H2567">
        <v>129.3169</v>
      </c>
      <c r="I2567">
        <v>123.27970000000001</v>
      </c>
      <c r="J2567">
        <v>111.7741</v>
      </c>
      <c r="K2567">
        <v>111.84829999999999</v>
      </c>
      <c r="L2567">
        <v>122.4145</v>
      </c>
      <c r="M2567">
        <v>126.592</v>
      </c>
      <c r="N2567">
        <v>143.74789999999999</v>
      </c>
      <c r="O2567">
        <v>157.63040000000001</v>
      </c>
      <c r="P2567">
        <v>7118</v>
      </c>
      <c r="Q2567" t="s">
        <v>5465</v>
      </c>
    </row>
    <row r="2568" spans="1:17" x14ac:dyDescent="0.3">
      <c r="A2568" t="s">
        <v>4664</v>
      </c>
      <c r="B2568" t="str">
        <f>"000888"</f>
        <v>000888</v>
      </c>
      <c r="C2568" t="s">
        <v>5466</v>
      </c>
      <c r="D2568" t="s">
        <v>119</v>
      </c>
      <c r="F2568">
        <v>37.832099999999997</v>
      </c>
      <c r="G2568">
        <v>40.847799999999999</v>
      </c>
      <c r="H2568">
        <v>28.659400000000002</v>
      </c>
      <c r="I2568">
        <v>37.488399999999999</v>
      </c>
      <c r="J2568">
        <v>44.6753</v>
      </c>
      <c r="K2568">
        <v>131.68719999999999</v>
      </c>
      <c r="L2568">
        <v>35.655900000000003</v>
      </c>
      <c r="M2568">
        <v>34.135100000000001</v>
      </c>
      <c r="N2568">
        <v>34.477800000000002</v>
      </c>
      <c r="O2568">
        <v>25.587800000000001</v>
      </c>
      <c r="P2568">
        <v>218</v>
      </c>
      <c r="Q2568" t="s">
        <v>5467</v>
      </c>
    </row>
    <row r="2569" spans="1:17" x14ac:dyDescent="0.3">
      <c r="A2569" t="s">
        <v>4664</v>
      </c>
      <c r="B2569" t="str">
        <f>"000889"</f>
        <v>000889</v>
      </c>
      <c r="C2569" t="s">
        <v>5468</v>
      </c>
      <c r="D2569" t="s">
        <v>654</v>
      </c>
      <c r="F2569">
        <v>8.2057000000000002</v>
      </c>
      <c r="G2569">
        <v>8.9421999999999997</v>
      </c>
      <c r="H2569">
        <v>11.957800000000001</v>
      </c>
      <c r="I2569">
        <v>4.4490999999999996</v>
      </c>
      <c r="J2569">
        <v>0.90180000000000005</v>
      </c>
      <c r="K2569">
        <v>4.0707000000000004</v>
      </c>
      <c r="L2569">
        <v>146.17590000000001</v>
      </c>
      <c r="M2569">
        <v>226.63659999999999</v>
      </c>
      <c r="N2569">
        <v>178.45169999999999</v>
      </c>
      <c r="O2569">
        <v>250.82</v>
      </c>
      <c r="P2569">
        <v>157</v>
      </c>
      <c r="Q2569" t="s">
        <v>5469</v>
      </c>
    </row>
    <row r="2570" spans="1:17" x14ac:dyDescent="0.3">
      <c r="A2570" t="s">
        <v>4664</v>
      </c>
      <c r="B2570" t="str">
        <f>"000890"</f>
        <v>000890</v>
      </c>
      <c r="C2570" t="s">
        <v>5470</v>
      </c>
      <c r="D2570" t="s">
        <v>274</v>
      </c>
      <c r="F2570">
        <v>124.559</v>
      </c>
      <c r="G2570">
        <v>36.201300000000003</v>
      </c>
      <c r="H2570">
        <v>20.810400000000001</v>
      </c>
      <c r="I2570">
        <v>18.770299999999999</v>
      </c>
      <c r="J2570">
        <v>92.2577</v>
      </c>
      <c r="K2570">
        <v>125.53700000000001</v>
      </c>
      <c r="L2570">
        <v>182.3826</v>
      </c>
      <c r="M2570">
        <v>158.75239999999999</v>
      </c>
      <c r="N2570">
        <v>140.35220000000001</v>
      </c>
      <c r="O2570">
        <v>121.16670000000001</v>
      </c>
      <c r="P2570">
        <v>133</v>
      </c>
      <c r="Q2570" t="s">
        <v>5471</v>
      </c>
    </row>
    <row r="2571" spans="1:17" x14ac:dyDescent="0.3">
      <c r="A2571" t="s">
        <v>4664</v>
      </c>
      <c r="B2571" t="str">
        <f>"000892"</f>
        <v>000892</v>
      </c>
      <c r="C2571" t="s">
        <v>5472</v>
      </c>
      <c r="D2571" t="s">
        <v>113</v>
      </c>
      <c r="F2571">
        <v>1060.9327000000001</v>
      </c>
      <c r="G2571">
        <v>16186.3577</v>
      </c>
      <c r="H2571">
        <v>31680.270799999998</v>
      </c>
      <c r="I2571">
        <v>2243.2368999999999</v>
      </c>
      <c r="J2571">
        <v>712.61260000000004</v>
      </c>
      <c r="K2571">
        <v>12526.4488</v>
      </c>
      <c r="M2571">
        <v>0</v>
      </c>
      <c r="N2571">
        <v>0</v>
      </c>
      <c r="O2571">
        <v>0</v>
      </c>
      <c r="P2571">
        <v>109</v>
      </c>
      <c r="Q2571" t="s">
        <v>5473</v>
      </c>
    </row>
    <row r="2572" spans="1:17" x14ac:dyDescent="0.3">
      <c r="A2572" t="s">
        <v>4664</v>
      </c>
      <c r="B2572" t="str">
        <f>"000893"</f>
        <v>000893</v>
      </c>
      <c r="C2572" t="s">
        <v>5474</v>
      </c>
      <c r="D2572" t="s">
        <v>3431</v>
      </c>
      <c r="F2572">
        <v>147.1951</v>
      </c>
      <c r="G2572">
        <v>140.74420000000001</v>
      </c>
      <c r="H2572">
        <v>95.939899999999994</v>
      </c>
      <c r="I2572">
        <v>88.491100000000003</v>
      </c>
      <c r="J2572">
        <v>23.944099999999999</v>
      </c>
      <c r="K2572">
        <v>26.0137</v>
      </c>
      <c r="L2572">
        <v>42.772599999999997</v>
      </c>
      <c r="M2572">
        <v>50.485799999999998</v>
      </c>
      <c r="N2572">
        <v>53.302900000000001</v>
      </c>
      <c r="O2572">
        <v>103.0536</v>
      </c>
      <c r="P2572">
        <v>159</v>
      </c>
      <c r="Q2572" t="s">
        <v>5475</v>
      </c>
    </row>
    <row r="2573" spans="1:17" x14ac:dyDescent="0.3">
      <c r="A2573" t="s">
        <v>4664</v>
      </c>
      <c r="B2573" t="str">
        <f>"000895"</f>
        <v>000895</v>
      </c>
      <c r="C2573" t="s">
        <v>5476</v>
      </c>
      <c r="D2573" t="s">
        <v>170</v>
      </c>
      <c r="F2573">
        <v>58.363</v>
      </c>
      <c r="G2573">
        <v>59.108400000000003</v>
      </c>
      <c r="H2573">
        <v>63.8566</v>
      </c>
      <c r="I2573">
        <v>42.248199999999997</v>
      </c>
      <c r="J2573">
        <v>35.988399999999999</v>
      </c>
      <c r="K2573">
        <v>38.168500000000002</v>
      </c>
      <c r="L2573">
        <v>51.699800000000003</v>
      </c>
      <c r="M2573">
        <v>54.805</v>
      </c>
      <c r="N2573">
        <v>36.168500000000002</v>
      </c>
      <c r="O2573">
        <v>31.588000000000001</v>
      </c>
      <c r="P2573">
        <v>37259</v>
      </c>
      <c r="Q2573" t="s">
        <v>5477</v>
      </c>
    </row>
    <row r="2574" spans="1:17" x14ac:dyDescent="0.3">
      <c r="A2574" t="s">
        <v>4664</v>
      </c>
      <c r="B2574" t="str">
        <f>"000897"</f>
        <v>000897</v>
      </c>
      <c r="C2574" t="s">
        <v>5478</v>
      </c>
      <c r="D2574" t="s">
        <v>104</v>
      </c>
      <c r="F2574">
        <v>1828.4993999999999</v>
      </c>
      <c r="G2574">
        <v>1951.0177000000001</v>
      </c>
      <c r="H2574">
        <v>17393.590499999998</v>
      </c>
      <c r="I2574">
        <v>21358.558199999999</v>
      </c>
      <c r="J2574">
        <v>2075.2123999999999</v>
      </c>
      <c r="K2574">
        <v>4220.5954000000002</v>
      </c>
      <c r="L2574">
        <v>2362.9396000000002</v>
      </c>
      <c r="M2574">
        <v>1742.2039</v>
      </c>
      <c r="N2574">
        <v>2030.7539999999999</v>
      </c>
      <c r="O2574">
        <v>1190.8145</v>
      </c>
      <c r="P2574">
        <v>170</v>
      </c>
      <c r="Q2574" t="s">
        <v>5479</v>
      </c>
    </row>
    <row r="2575" spans="1:17" x14ac:dyDescent="0.3">
      <c r="A2575" t="s">
        <v>4664</v>
      </c>
      <c r="B2575" t="str">
        <f>"000898"</f>
        <v>000898</v>
      </c>
      <c r="C2575" t="s">
        <v>5480</v>
      </c>
      <c r="D2575" t="s">
        <v>38</v>
      </c>
      <c r="F2575">
        <v>43.856000000000002</v>
      </c>
      <c r="G2575">
        <v>56.450299999999999</v>
      </c>
      <c r="H2575">
        <v>68.392099999999999</v>
      </c>
      <c r="I2575">
        <v>70.707599999999999</v>
      </c>
      <c r="J2575">
        <v>74.856499999999997</v>
      </c>
      <c r="K2575">
        <v>82.786299999999997</v>
      </c>
      <c r="L2575">
        <v>102.28270000000001</v>
      </c>
      <c r="M2575">
        <v>86.231800000000007</v>
      </c>
      <c r="N2575">
        <v>79.280600000000007</v>
      </c>
      <c r="O2575">
        <v>80.940899999999999</v>
      </c>
      <c r="P2575">
        <v>646</v>
      </c>
      <c r="Q2575" t="s">
        <v>5481</v>
      </c>
    </row>
    <row r="2576" spans="1:17" x14ac:dyDescent="0.3">
      <c r="A2576" t="s">
        <v>4664</v>
      </c>
      <c r="B2576" t="str">
        <f>"000899"</f>
        <v>000899</v>
      </c>
      <c r="C2576" t="s">
        <v>5482</v>
      </c>
      <c r="D2576" t="s">
        <v>41</v>
      </c>
      <c r="F2576">
        <v>25.330500000000001</v>
      </c>
      <c r="G2576">
        <v>55.863999999999997</v>
      </c>
      <c r="H2576">
        <v>42.632800000000003</v>
      </c>
      <c r="I2576">
        <v>34.994100000000003</v>
      </c>
      <c r="J2576">
        <v>36.268799999999999</v>
      </c>
      <c r="K2576">
        <v>23.483899999999998</v>
      </c>
      <c r="L2576">
        <v>35.774299999999997</v>
      </c>
      <c r="M2576">
        <v>38.862299999999998</v>
      </c>
      <c r="N2576">
        <v>40.084899999999998</v>
      </c>
      <c r="O2576">
        <v>50.705800000000004</v>
      </c>
      <c r="P2576">
        <v>174</v>
      </c>
      <c r="Q2576" t="s">
        <v>5483</v>
      </c>
    </row>
    <row r="2577" spans="1:17" x14ac:dyDescent="0.3">
      <c r="A2577" t="s">
        <v>4664</v>
      </c>
      <c r="B2577" t="str">
        <f>"000900"</f>
        <v>000900</v>
      </c>
      <c r="C2577" t="s">
        <v>5484</v>
      </c>
      <c r="D2577" t="s">
        <v>44</v>
      </c>
      <c r="F2577">
        <v>20.691099999999999</v>
      </c>
      <c r="G2577">
        <v>39.5867</v>
      </c>
      <c r="H2577">
        <v>28.7104</v>
      </c>
      <c r="I2577">
        <v>47.211399999999998</v>
      </c>
      <c r="J2577">
        <v>43.449300000000001</v>
      </c>
      <c r="K2577">
        <v>25.436199999999999</v>
      </c>
      <c r="L2577">
        <v>9.0579999999999998</v>
      </c>
      <c r="M2577">
        <v>32.252200000000002</v>
      </c>
      <c r="N2577">
        <v>26.803999999999998</v>
      </c>
      <c r="O2577">
        <v>101.4515</v>
      </c>
      <c r="P2577">
        <v>570</v>
      </c>
      <c r="Q2577" t="s">
        <v>5485</v>
      </c>
    </row>
    <row r="2578" spans="1:17" x14ac:dyDescent="0.3">
      <c r="A2578" t="s">
        <v>4664</v>
      </c>
      <c r="B2578" t="str">
        <f>"000901"</f>
        <v>000901</v>
      </c>
      <c r="C2578" t="s">
        <v>5486</v>
      </c>
      <c r="D2578" t="s">
        <v>1136</v>
      </c>
      <c r="F2578">
        <v>136.6722</v>
      </c>
      <c r="G2578">
        <v>145.8271</v>
      </c>
      <c r="H2578">
        <v>122.2186</v>
      </c>
      <c r="I2578">
        <v>116.7949</v>
      </c>
      <c r="J2578">
        <v>110.7332</v>
      </c>
      <c r="K2578">
        <v>193.55090000000001</v>
      </c>
      <c r="L2578">
        <v>164.29400000000001</v>
      </c>
      <c r="M2578">
        <v>181.38480000000001</v>
      </c>
      <c r="N2578">
        <v>164.39099999999999</v>
      </c>
      <c r="O2578">
        <v>156.98099999999999</v>
      </c>
      <c r="P2578">
        <v>224</v>
      </c>
      <c r="Q2578" t="s">
        <v>5487</v>
      </c>
    </row>
    <row r="2579" spans="1:17" x14ac:dyDescent="0.3">
      <c r="A2579" t="s">
        <v>4664</v>
      </c>
      <c r="B2579" t="str">
        <f>"000902"</f>
        <v>000902</v>
      </c>
      <c r="C2579" t="s">
        <v>5488</v>
      </c>
      <c r="D2579" t="s">
        <v>5489</v>
      </c>
      <c r="F2579">
        <v>106.29640000000001</v>
      </c>
      <c r="G2579">
        <v>108.8969</v>
      </c>
      <c r="H2579">
        <v>133.31110000000001</v>
      </c>
      <c r="I2579">
        <v>96.955699999999993</v>
      </c>
      <c r="J2579">
        <v>92.434299999999993</v>
      </c>
      <c r="K2579">
        <v>93.884299999999996</v>
      </c>
      <c r="L2579">
        <v>66.406599999999997</v>
      </c>
      <c r="M2579">
        <v>41.089300000000001</v>
      </c>
      <c r="N2579">
        <v>89.607299999999995</v>
      </c>
      <c r="O2579">
        <v>62.492400000000004</v>
      </c>
      <c r="P2579">
        <v>406</v>
      </c>
      <c r="Q2579" t="s">
        <v>5490</v>
      </c>
    </row>
    <row r="2580" spans="1:17" x14ac:dyDescent="0.3">
      <c r="A2580" t="s">
        <v>4664</v>
      </c>
      <c r="B2580" t="str">
        <f>"000903"</f>
        <v>000903</v>
      </c>
      <c r="C2580" t="s">
        <v>5491</v>
      </c>
      <c r="D2580" t="s">
        <v>348</v>
      </c>
      <c r="F2580">
        <v>127.4199</v>
      </c>
      <c r="G2580">
        <v>90.018799999999999</v>
      </c>
      <c r="H2580">
        <v>118.6391</v>
      </c>
      <c r="I2580">
        <v>122.4294</v>
      </c>
      <c r="J2580">
        <v>127.69629999999999</v>
      </c>
      <c r="K2580">
        <v>149.7388</v>
      </c>
      <c r="L2580">
        <v>201.29470000000001</v>
      </c>
      <c r="M2580">
        <v>152.73830000000001</v>
      </c>
      <c r="N2580">
        <v>105.5608</v>
      </c>
      <c r="O2580">
        <v>122.82989999999999</v>
      </c>
      <c r="P2580">
        <v>155</v>
      </c>
      <c r="Q2580" t="s">
        <v>5492</v>
      </c>
    </row>
    <row r="2581" spans="1:17" x14ac:dyDescent="0.3">
      <c r="A2581" t="s">
        <v>4664</v>
      </c>
      <c r="B2581" t="str">
        <f>"000905"</f>
        <v>000905</v>
      </c>
      <c r="C2581" t="s">
        <v>5493</v>
      </c>
      <c r="D2581" t="s">
        <v>51</v>
      </c>
      <c r="F2581">
        <v>34.949100000000001</v>
      </c>
      <c r="G2581">
        <v>41.510199999999998</v>
      </c>
      <c r="H2581">
        <v>45.883800000000001</v>
      </c>
      <c r="I2581">
        <v>24.993600000000001</v>
      </c>
      <c r="J2581">
        <v>21.447099999999999</v>
      </c>
      <c r="K2581">
        <v>19.334900000000001</v>
      </c>
      <c r="L2581">
        <v>26.163699999999999</v>
      </c>
      <c r="M2581">
        <v>25.2026</v>
      </c>
      <c r="N2581">
        <v>43.963200000000001</v>
      </c>
      <c r="O2581">
        <v>58.519799999999996</v>
      </c>
      <c r="P2581">
        <v>213</v>
      </c>
      <c r="Q2581" t="s">
        <v>5494</v>
      </c>
    </row>
    <row r="2582" spans="1:17" x14ac:dyDescent="0.3">
      <c r="A2582" t="s">
        <v>4664</v>
      </c>
      <c r="B2582" t="str">
        <f>"000906"</f>
        <v>000906</v>
      </c>
      <c r="C2582" t="s">
        <v>5495</v>
      </c>
      <c r="D2582" t="s">
        <v>128</v>
      </c>
      <c r="F2582">
        <v>19.872499999999999</v>
      </c>
      <c r="G2582">
        <v>35.534599999999998</v>
      </c>
      <c r="H2582">
        <v>28.479900000000001</v>
      </c>
      <c r="I2582">
        <v>21.656700000000001</v>
      </c>
      <c r="J2582">
        <v>15.882</v>
      </c>
      <c r="K2582">
        <v>21.7315</v>
      </c>
      <c r="L2582">
        <v>32.071300000000001</v>
      </c>
      <c r="M2582">
        <v>26.873699999999999</v>
      </c>
      <c r="N2582">
        <v>25.757100000000001</v>
      </c>
      <c r="O2582">
        <v>21.328399999999998</v>
      </c>
      <c r="P2582">
        <v>238</v>
      </c>
      <c r="Q2582" t="s">
        <v>5496</v>
      </c>
    </row>
    <row r="2583" spans="1:17" x14ac:dyDescent="0.3">
      <c r="A2583" t="s">
        <v>4664</v>
      </c>
      <c r="B2583" t="str">
        <f>"000908"</f>
        <v>000908</v>
      </c>
      <c r="C2583" t="s">
        <v>5497</v>
      </c>
      <c r="D2583" t="s">
        <v>143</v>
      </c>
      <c r="F2583">
        <v>416.8057</v>
      </c>
      <c r="G2583">
        <v>310.30270000000002</v>
      </c>
      <c r="H2583">
        <v>296.23649999999998</v>
      </c>
      <c r="I2583">
        <v>272.85120000000001</v>
      </c>
      <c r="J2583">
        <v>298.83960000000002</v>
      </c>
      <c r="K2583">
        <v>238.08080000000001</v>
      </c>
      <c r="L2583">
        <v>213.3586</v>
      </c>
      <c r="M2583">
        <v>198.64070000000001</v>
      </c>
      <c r="N2583">
        <v>165.3579</v>
      </c>
      <c r="O2583">
        <v>214.64709999999999</v>
      </c>
      <c r="P2583">
        <v>186</v>
      </c>
      <c r="Q2583" t="s">
        <v>5498</v>
      </c>
    </row>
    <row r="2584" spans="1:17" x14ac:dyDescent="0.3">
      <c r="A2584" t="s">
        <v>4664</v>
      </c>
      <c r="B2584" t="str">
        <f>"000909"</f>
        <v>000909</v>
      </c>
      <c r="C2584" t="s">
        <v>5499</v>
      </c>
      <c r="D2584" t="s">
        <v>104</v>
      </c>
      <c r="F2584">
        <v>341.62060000000002</v>
      </c>
      <c r="G2584">
        <v>547.31859999999995</v>
      </c>
      <c r="H2584">
        <v>499.94959999999998</v>
      </c>
      <c r="I2584">
        <v>406.73930000000001</v>
      </c>
      <c r="J2584">
        <v>691.95219999999995</v>
      </c>
      <c r="K2584">
        <v>1250.8381999999999</v>
      </c>
      <c r="L2584">
        <v>760.01739999999995</v>
      </c>
      <c r="M2584">
        <v>1686.7553</v>
      </c>
      <c r="N2584">
        <v>1318.3679</v>
      </c>
      <c r="O2584">
        <v>1190.2559000000001</v>
      </c>
      <c r="P2584">
        <v>206</v>
      </c>
      <c r="Q2584" t="s">
        <v>5500</v>
      </c>
    </row>
    <row r="2585" spans="1:17" x14ac:dyDescent="0.3">
      <c r="A2585" t="s">
        <v>4664</v>
      </c>
      <c r="B2585" t="str">
        <f>"000910"</f>
        <v>000910</v>
      </c>
      <c r="C2585" t="s">
        <v>5501</v>
      </c>
      <c r="D2585" t="s">
        <v>178</v>
      </c>
      <c r="F2585">
        <v>182.5959</v>
      </c>
      <c r="G2585">
        <v>264.8288</v>
      </c>
      <c r="H2585">
        <v>213.89410000000001</v>
      </c>
      <c r="I2585">
        <v>194.11920000000001</v>
      </c>
      <c r="J2585">
        <v>189.17939999999999</v>
      </c>
      <c r="K2585">
        <v>217.25630000000001</v>
      </c>
      <c r="L2585">
        <v>195.3031</v>
      </c>
      <c r="M2585">
        <v>182.9263</v>
      </c>
      <c r="N2585">
        <v>186.54339999999999</v>
      </c>
      <c r="O2585">
        <v>184.4265</v>
      </c>
      <c r="P2585">
        <v>813</v>
      </c>
      <c r="Q2585" t="s">
        <v>5502</v>
      </c>
    </row>
    <row r="2586" spans="1:17" x14ac:dyDescent="0.3">
      <c r="A2586" t="s">
        <v>4664</v>
      </c>
      <c r="B2586" t="str">
        <f>"000911"</f>
        <v>000911</v>
      </c>
      <c r="C2586" t="s">
        <v>5503</v>
      </c>
      <c r="D2586" t="s">
        <v>445</v>
      </c>
      <c r="F2586">
        <v>75.240200000000002</v>
      </c>
      <c r="G2586">
        <v>62.6113</v>
      </c>
      <c r="H2586">
        <v>98.024000000000001</v>
      </c>
      <c r="I2586">
        <v>151.28880000000001</v>
      </c>
      <c r="J2586">
        <v>187.8819</v>
      </c>
      <c r="K2586">
        <v>120.4102</v>
      </c>
      <c r="L2586">
        <v>88.700299999999999</v>
      </c>
      <c r="M2586">
        <v>70.637699999999995</v>
      </c>
      <c r="N2586">
        <v>74.459400000000002</v>
      </c>
      <c r="O2586">
        <v>55.643799999999999</v>
      </c>
      <c r="P2586">
        <v>334</v>
      </c>
      <c r="Q2586" t="s">
        <v>5504</v>
      </c>
    </row>
    <row r="2587" spans="1:17" x14ac:dyDescent="0.3">
      <c r="A2587" t="s">
        <v>4664</v>
      </c>
      <c r="B2587" t="str">
        <f>"000912"</f>
        <v>000912</v>
      </c>
      <c r="C2587" t="s">
        <v>5505</v>
      </c>
      <c r="D2587" t="s">
        <v>909</v>
      </c>
      <c r="F2587">
        <v>41.109299999999998</v>
      </c>
      <c r="G2587">
        <v>48.822000000000003</v>
      </c>
      <c r="H2587">
        <v>47.555900000000001</v>
      </c>
      <c r="I2587">
        <v>52.669400000000003</v>
      </c>
      <c r="J2587">
        <v>47.237499999999997</v>
      </c>
      <c r="K2587">
        <v>72.530199999999994</v>
      </c>
      <c r="L2587">
        <v>76.712500000000006</v>
      </c>
      <c r="M2587">
        <v>84.337299999999999</v>
      </c>
      <c r="N2587">
        <v>68.357699999999994</v>
      </c>
      <c r="O2587">
        <v>82.176699999999997</v>
      </c>
      <c r="P2587">
        <v>110</v>
      </c>
      <c r="Q2587" t="s">
        <v>5506</v>
      </c>
    </row>
    <row r="2588" spans="1:17" x14ac:dyDescent="0.3">
      <c r="A2588" t="s">
        <v>4664</v>
      </c>
      <c r="B2588" t="str">
        <f>"000913"</f>
        <v>000913</v>
      </c>
      <c r="C2588" t="s">
        <v>5507</v>
      </c>
      <c r="D2588" t="s">
        <v>1654</v>
      </c>
      <c r="F2588">
        <v>136.74879999999999</v>
      </c>
      <c r="G2588">
        <v>165.9854</v>
      </c>
      <c r="H2588">
        <v>162.6773</v>
      </c>
      <c r="I2588">
        <v>139.5556</v>
      </c>
      <c r="J2588">
        <v>175.44210000000001</v>
      </c>
      <c r="K2588">
        <v>248.2636</v>
      </c>
      <c r="L2588">
        <v>265.50439999999998</v>
      </c>
      <c r="M2588">
        <v>227.34020000000001</v>
      </c>
      <c r="N2588">
        <v>178.0359</v>
      </c>
      <c r="O2588">
        <v>136.22499999999999</v>
      </c>
      <c r="P2588">
        <v>176</v>
      </c>
      <c r="Q2588" t="s">
        <v>5508</v>
      </c>
    </row>
    <row r="2589" spans="1:17" x14ac:dyDescent="0.3">
      <c r="A2589" t="s">
        <v>4664</v>
      </c>
      <c r="B2589" t="str">
        <f>"000915"</f>
        <v>000915</v>
      </c>
      <c r="C2589" t="s">
        <v>5509</v>
      </c>
      <c r="D2589" t="s">
        <v>143</v>
      </c>
      <c r="F2589">
        <v>106.6191</v>
      </c>
      <c r="G2589">
        <v>102.59</v>
      </c>
      <c r="H2589">
        <v>97.191999999999993</v>
      </c>
      <c r="I2589">
        <v>101.0881</v>
      </c>
      <c r="J2589">
        <v>115.2089</v>
      </c>
      <c r="K2589">
        <v>110.3338</v>
      </c>
      <c r="L2589">
        <v>138.62299999999999</v>
      </c>
      <c r="M2589">
        <v>105.34739999999999</v>
      </c>
      <c r="N2589">
        <v>130.99619999999999</v>
      </c>
      <c r="O2589">
        <v>149.31649999999999</v>
      </c>
      <c r="P2589">
        <v>648</v>
      </c>
      <c r="Q2589" t="s">
        <v>5510</v>
      </c>
    </row>
    <row r="2590" spans="1:17" x14ac:dyDescent="0.3">
      <c r="A2590" t="s">
        <v>4664</v>
      </c>
      <c r="B2590" t="str">
        <f>"000916"</f>
        <v>000916</v>
      </c>
      <c r="C2590" t="s">
        <v>5511</v>
      </c>
      <c r="J2590">
        <v>2.2797000000000001</v>
      </c>
      <c r="K2590">
        <v>2.1282999999999999</v>
      </c>
      <c r="L2590">
        <v>1.8418000000000001</v>
      </c>
      <c r="M2590">
        <v>2.9735999999999998</v>
      </c>
      <c r="N2590">
        <v>4.0820999999999996</v>
      </c>
      <c r="O2590">
        <v>14.7843</v>
      </c>
      <c r="P2590">
        <v>27</v>
      </c>
      <c r="Q2590" t="s">
        <v>5512</v>
      </c>
    </row>
    <row r="2591" spans="1:17" x14ac:dyDescent="0.3">
      <c r="A2591" t="s">
        <v>4664</v>
      </c>
      <c r="B2591" t="str">
        <f>"000917"</f>
        <v>000917</v>
      </c>
      <c r="C2591" t="s">
        <v>5513</v>
      </c>
      <c r="D2591" t="s">
        <v>95</v>
      </c>
      <c r="F2591">
        <v>148.0438</v>
      </c>
      <c r="G2591">
        <v>175.34309999999999</v>
      </c>
      <c r="H2591">
        <v>249.90090000000001</v>
      </c>
      <c r="I2591">
        <v>183.9248</v>
      </c>
      <c r="J2591">
        <v>245.55879999999999</v>
      </c>
      <c r="K2591">
        <v>225.8074</v>
      </c>
      <c r="L2591">
        <v>237.3826</v>
      </c>
      <c r="M2591">
        <v>221.7313</v>
      </c>
      <c r="N2591">
        <v>245.9486</v>
      </c>
      <c r="O2591">
        <v>425.51069999999999</v>
      </c>
      <c r="P2591">
        <v>267</v>
      </c>
      <c r="Q2591" t="s">
        <v>5514</v>
      </c>
    </row>
    <row r="2592" spans="1:17" x14ac:dyDescent="0.3">
      <c r="A2592" t="s">
        <v>4664</v>
      </c>
      <c r="B2592" t="str">
        <f>"000918"</f>
        <v>000918</v>
      </c>
      <c r="C2592" t="s">
        <v>5515</v>
      </c>
      <c r="D2592" t="s">
        <v>104</v>
      </c>
      <c r="F2592">
        <v>2412.5410999999999</v>
      </c>
      <c r="G2592">
        <v>3011.2898</v>
      </c>
      <c r="H2592">
        <v>3271.5191</v>
      </c>
      <c r="I2592">
        <v>8076.7461999999996</v>
      </c>
      <c r="J2592">
        <v>10034.8557</v>
      </c>
      <c r="K2592">
        <v>4589.1400000000003</v>
      </c>
      <c r="L2592">
        <v>4742.2939999999999</v>
      </c>
      <c r="M2592">
        <v>2002.4013</v>
      </c>
      <c r="N2592">
        <v>1594.0628999999999</v>
      </c>
      <c r="O2592">
        <v>2430.2107000000001</v>
      </c>
      <c r="P2592">
        <v>123</v>
      </c>
      <c r="Q2592" t="s">
        <v>5516</v>
      </c>
    </row>
    <row r="2593" spans="1:17" x14ac:dyDescent="0.3">
      <c r="A2593" t="s">
        <v>4664</v>
      </c>
      <c r="B2593" t="str">
        <f>"000919"</f>
        <v>000919</v>
      </c>
      <c r="C2593" t="s">
        <v>5517</v>
      </c>
      <c r="D2593" t="s">
        <v>188</v>
      </c>
      <c r="F2593">
        <v>53.996400000000001</v>
      </c>
      <c r="G2593">
        <v>61.615200000000002</v>
      </c>
      <c r="H2593">
        <v>56.4131</v>
      </c>
      <c r="I2593">
        <v>78.035300000000007</v>
      </c>
      <c r="J2593">
        <v>78.002399999999994</v>
      </c>
      <c r="K2593">
        <v>69.273799999999994</v>
      </c>
      <c r="L2593">
        <v>84.312100000000001</v>
      </c>
      <c r="M2593">
        <v>86.823899999999995</v>
      </c>
      <c r="N2593">
        <v>88.390600000000006</v>
      </c>
      <c r="O2593">
        <v>118.8952</v>
      </c>
      <c r="P2593">
        <v>179</v>
      </c>
      <c r="Q2593" t="s">
        <v>5518</v>
      </c>
    </row>
    <row r="2594" spans="1:17" x14ac:dyDescent="0.3">
      <c r="A2594" t="s">
        <v>4664</v>
      </c>
      <c r="B2594" t="str">
        <f>"000920"</f>
        <v>000920</v>
      </c>
      <c r="C2594" t="s">
        <v>5519</v>
      </c>
      <c r="D2594" t="s">
        <v>33</v>
      </c>
      <c r="F2594">
        <v>85.515900000000002</v>
      </c>
      <c r="G2594">
        <v>112.4081</v>
      </c>
      <c r="H2594">
        <v>103.2072</v>
      </c>
      <c r="I2594">
        <v>95.441100000000006</v>
      </c>
      <c r="J2594">
        <v>92.953100000000006</v>
      </c>
      <c r="K2594">
        <v>107.67149999999999</v>
      </c>
      <c r="L2594">
        <v>121.6964</v>
      </c>
      <c r="M2594">
        <v>110.8753</v>
      </c>
      <c r="N2594">
        <v>107.5925</v>
      </c>
      <c r="O2594">
        <v>81.4208</v>
      </c>
      <c r="P2594">
        <v>122</v>
      </c>
      <c r="Q2594" t="s">
        <v>5520</v>
      </c>
    </row>
    <row r="2595" spans="1:17" x14ac:dyDescent="0.3">
      <c r="A2595" t="s">
        <v>4664</v>
      </c>
      <c r="B2595" t="str">
        <f>"000921"</f>
        <v>000921</v>
      </c>
      <c r="C2595" t="s">
        <v>5521</v>
      </c>
      <c r="D2595" t="s">
        <v>1723</v>
      </c>
      <c r="F2595">
        <v>48.7971</v>
      </c>
      <c r="G2595">
        <v>45.817500000000003</v>
      </c>
      <c r="H2595">
        <v>49.923099999999998</v>
      </c>
      <c r="I2595">
        <v>45.294699999999999</v>
      </c>
      <c r="J2595">
        <v>45.5822</v>
      </c>
      <c r="K2595">
        <v>48.679299999999998</v>
      </c>
      <c r="L2595">
        <v>62.915300000000002</v>
      </c>
      <c r="M2595">
        <v>54.439399999999999</v>
      </c>
      <c r="N2595">
        <v>43.338799999999999</v>
      </c>
      <c r="O2595">
        <v>45.320399999999999</v>
      </c>
      <c r="P2595">
        <v>13182</v>
      </c>
      <c r="Q2595" t="s">
        <v>5522</v>
      </c>
    </row>
    <row r="2596" spans="1:17" x14ac:dyDescent="0.3">
      <c r="A2596" t="s">
        <v>4664</v>
      </c>
      <c r="B2596" t="str">
        <f>"000922"</f>
        <v>000922</v>
      </c>
      <c r="C2596" t="s">
        <v>5523</v>
      </c>
      <c r="D2596" t="s">
        <v>1171</v>
      </c>
      <c r="F2596">
        <v>187.7353</v>
      </c>
      <c r="G2596">
        <v>213.6703</v>
      </c>
      <c r="H2596">
        <v>203.64619999999999</v>
      </c>
      <c r="I2596">
        <v>193.60130000000001</v>
      </c>
      <c r="J2596">
        <v>188.07919999999999</v>
      </c>
      <c r="K2596">
        <v>250.31389999999999</v>
      </c>
      <c r="L2596">
        <v>262.66180000000003</v>
      </c>
      <c r="M2596">
        <v>167.63759999999999</v>
      </c>
      <c r="N2596">
        <v>186.55869999999999</v>
      </c>
      <c r="O2596">
        <v>102.51900000000001</v>
      </c>
      <c r="P2596">
        <v>261</v>
      </c>
      <c r="Q2596" t="s">
        <v>5524</v>
      </c>
    </row>
    <row r="2597" spans="1:17" x14ac:dyDescent="0.3">
      <c r="A2597" t="s">
        <v>4664</v>
      </c>
      <c r="B2597" t="str">
        <f>"000923"</f>
        <v>000923</v>
      </c>
      <c r="C2597" t="s">
        <v>5525</v>
      </c>
      <c r="D2597" t="s">
        <v>2367</v>
      </c>
      <c r="F2597">
        <v>124.46850000000001</v>
      </c>
      <c r="G2597">
        <v>137.77539999999999</v>
      </c>
      <c r="H2597">
        <v>273.26369999999997</v>
      </c>
      <c r="I2597">
        <v>323.22719999999998</v>
      </c>
      <c r="J2597">
        <v>187.3715</v>
      </c>
      <c r="K2597">
        <v>902.94949999999994</v>
      </c>
      <c r="L2597">
        <v>1177.5628999999999</v>
      </c>
      <c r="M2597">
        <v>794.81320000000005</v>
      </c>
      <c r="N2597">
        <v>478.47190000000001</v>
      </c>
      <c r="O2597">
        <v>569.53060000000005</v>
      </c>
      <c r="P2597">
        <v>224</v>
      </c>
      <c r="Q2597" t="s">
        <v>5526</v>
      </c>
    </row>
    <row r="2598" spans="1:17" x14ac:dyDescent="0.3">
      <c r="A2598" t="s">
        <v>4664</v>
      </c>
      <c r="B2598" t="str">
        <f>"000925"</f>
        <v>000925</v>
      </c>
      <c r="C2598" t="s">
        <v>5527</v>
      </c>
      <c r="D2598" t="s">
        <v>1012</v>
      </c>
      <c r="F2598">
        <v>93.241699999999994</v>
      </c>
      <c r="G2598">
        <v>174.38650000000001</v>
      </c>
      <c r="H2598">
        <v>147.88419999999999</v>
      </c>
      <c r="I2598">
        <v>183.86449999999999</v>
      </c>
      <c r="J2598">
        <v>155.20670000000001</v>
      </c>
      <c r="K2598">
        <v>219.9956</v>
      </c>
      <c r="L2598">
        <v>116.5401</v>
      </c>
      <c r="M2598">
        <v>91.430400000000006</v>
      </c>
      <c r="N2598">
        <v>89.577100000000002</v>
      </c>
      <c r="O2598">
        <v>139.25020000000001</v>
      </c>
      <c r="P2598">
        <v>188</v>
      </c>
      <c r="Q2598" t="s">
        <v>5528</v>
      </c>
    </row>
    <row r="2599" spans="1:17" x14ac:dyDescent="0.3">
      <c r="A2599" t="s">
        <v>4664</v>
      </c>
      <c r="B2599" t="str">
        <f>"000926"</f>
        <v>000926</v>
      </c>
      <c r="C2599" t="s">
        <v>5529</v>
      </c>
      <c r="D2599" t="s">
        <v>104</v>
      </c>
      <c r="F2599">
        <v>1558.0316</v>
      </c>
      <c r="G2599">
        <v>3284.8458999999998</v>
      </c>
      <c r="H2599">
        <v>2416.4297000000001</v>
      </c>
      <c r="I2599">
        <v>1778.4078999999999</v>
      </c>
      <c r="J2599">
        <v>1294.8073999999999</v>
      </c>
      <c r="K2599">
        <v>1015.4616</v>
      </c>
      <c r="L2599">
        <v>1040.4176</v>
      </c>
      <c r="M2599">
        <v>1186.8878</v>
      </c>
      <c r="N2599">
        <v>1195.0808999999999</v>
      </c>
      <c r="O2599">
        <v>1119.0571</v>
      </c>
      <c r="P2599">
        <v>239</v>
      </c>
      <c r="Q2599" t="s">
        <v>5530</v>
      </c>
    </row>
    <row r="2600" spans="1:17" x14ac:dyDescent="0.3">
      <c r="A2600" t="s">
        <v>4664</v>
      </c>
      <c r="B2600" t="str">
        <f>"000927"</f>
        <v>000927</v>
      </c>
      <c r="C2600" t="s">
        <v>5531</v>
      </c>
      <c r="D2600" t="s">
        <v>247</v>
      </c>
      <c r="F2600">
        <v>20.599799999999998</v>
      </c>
      <c r="G2600">
        <v>97.371600000000001</v>
      </c>
      <c r="H2600">
        <v>104.7088</v>
      </c>
      <c r="I2600">
        <v>72.146199999999993</v>
      </c>
      <c r="J2600">
        <v>96.913200000000003</v>
      </c>
      <c r="K2600">
        <v>110.1836</v>
      </c>
      <c r="L2600">
        <v>99.148200000000003</v>
      </c>
      <c r="M2600">
        <v>100.08969999999999</v>
      </c>
      <c r="N2600">
        <v>68.508300000000006</v>
      </c>
      <c r="O2600">
        <v>59.8065</v>
      </c>
      <c r="P2600">
        <v>131</v>
      </c>
      <c r="Q2600" t="s">
        <v>5532</v>
      </c>
    </row>
    <row r="2601" spans="1:17" x14ac:dyDescent="0.3">
      <c r="A2601" t="s">
        <v>4664</v>
      </c>
      <c r="B2601" t="str">
        <f>"000928"</f>
        <v>000928</v>
      </c>
      <c r="C2601" t="s">
        <v>5533</v>
      </c>
      <c r="D2601" t="s">
        <v>1887</v>
      </c>
      <c r="F2601">
        <v>79.979100000000003</v>
      </c>
      <c r="G2601">
        <v>88.830299999999994</v>
      </c>
      <c r="H2601">
        <v>82.304299999999998</v>
      </c>
      <c r="I2601">
        <v>146.24680000000001</v>
      </c>
      <c r="J2601">
        <v>137.81979999999999</v>
      </c>
      <c r="K2601">
        <v>133.63509999999999</v>
      </c>
      <c r="L2601">
        <v>70.647400000000005</v>
      </c>
      <c r="M2601">
        <v>54.590499999999999</v>
      </c>
      <c r="N2601">
        <v>391.29169999999999</v>
      </c>
      <c r="O2601">
        <v>444.7559</v>
      </c>
      <c r="P2601">
        <v>271</v>
      </c>
      <c r="Q2601" t="s">
        <v>5534</v>
      </c>
    </row>
    <row r="2602" spans="1:17" x14ac:dyDescent="0.3">
      <c r="A2602" t="s">
        <v>4664</v>
      </c>
      <c r="B2602" t="str">
        <f>"000929"</f>
        <v>000929</v>
      </c>
      <c r="C2602" t="s">
        <v>5535</v>
      </c>
      <c r="D2602" t="s">
        <v>319</v>
      </c>
      <c r="F2602">
        <v>303.40719999999999</v>
      </c>
      <c r="G2602">
        <v>395.18459999999999</v>
      </c>
      <c r="H2602">
        <v>278.65159999999997</v>
      </c>
      <c r="I2602">
        <v>297.23320000000001</v>
      </c>
      <c r="J2602">
        <v>244.3819</v>
      </c>
      <c r="K2602">
        <v>289.21499999999997</v>
      </c>
      <c r="L2602">
        <v>277.39400000000001</v>
      </c>
      <c r="M2602">
        <v>253.79089999999999</v>
      </c>
      <c r="N2602">
        <v>189.88560000000001</v>
      </c>
      <c r="O2602">
        <v>193.9118</v>
      </c>
      <c r="P2602">
        <v>144</v>
      </c>
      <c r="Q2602" t="s">
        <v>5536</v>
      </c>
    </row>
    <row r="2603" spans="1:17" x14ac:dyDescent="0.3">
      <c r="A2603" t="s">
        <v>4664</v>
      </c>
      <c r="B2603" t="str">
        <f>"000930"</f>
        <v>000930</v>
      </c>
      <c r="C2603" t="s">
        <v>5537</v>
      </c>
      <c r="D2603" t="s">
        <v>445</v>
      </c>
      <c r="F2603">
        <v>102.03100000000001</v>
      </c>
      <c r="G2603">
        <v>87.525800000000004</v>
      </c>
      <c r="H2603">
        <v>95.314800000000005</v>
      </c>
      <c r="I2603">
        <v>55.395099999999999</v>
      </c>
      <c r="J2603">
        <v>46.631500000000003</v>
      </c>
      <c r="K2603">
        <v>80.500699999999995</v>
      </c>
      <c r="L2603">
        <v>85.653199999999998</v>
      </c>
      <c r="M2603">
        <v>71.541200000000003</v>
      </c>
      <c r="N2603">
        <v>64.863600000000005</v>
      </c>
      <c r="O2603">
        <v>58.020699999999998</v>
      </c>
      <c r="P2603">
        <v>378</v>
      </c>
      <c r="Q2603" t="s">
        <v>5538</v>
      </c>
    </row>
    <row r="2604" spans="1:17" x14ac:dyDescent="0.3">
      <c r="A2604" t="s">
        <v>4664</v>
      </c>
      <c r="B2604" t="str">
        <f>"000931"</f>
        <v>000931</v>
      </c>
      <c r="C2604" t="s">
        <v>5539</v>
      </c>
      <c r="D2604" t="s">
        <v>143</v>
      </c>
      <c r="F2604">
        <v>243.99170000000001</v>
      </c>
      <c r="G2604">
        <v>330.5729</v>
      </c>
      <c r="H2604">
        <v>253.29050000000001</v>
      </c>
      <c r="I2604">
        <v>414.90480000000002</v>
      </c>
      <c r="J2604">
        <v>511.46960000000001</v>
      </c>
      <c r="K2604">
        <v>582.46289999999999</v>
      </c>
      <c r="L2604">
        <v>944.50940000000003</v>
      </c>
      <c r="M2604">
        <v>275.59960000000001</v>
      </c>
      <c r="N2604">
        <v>261.9889</v>
      </c>
      <c r="O2604">
        <v>301.19690000000003</v>
      </c>
      <c r="P2604">
        <v>142</v>
      </c>
      <c r="Q2604" t="s">
        <v>5540</v>
      </c>
    </row>
    <row r="2605" spans="1:17" x14ac:dyDescent="0.3">
      <c r="A2605" t="s">
        <v>4664</v>
      </c>
      <c r="B2605" t="str">
        <f>"000932"</f>
        <v>000932</v>
      </c>
      <c r="C2605" t="s">
        <v>5541</v>
      </c>
      <c r="D2605" t="s">
        <v>38</v>
      </c>
      <c r="F2605">
        <v>35.843200000000003</v>
      </c>
      <c r="G2605">
        <v>47.4953</v>
      </c>
      <c r="H2605">
        <v>40.5169</v>
      </c>
      <c r="I2605">
        <v>45.439799999999998</v>
      </c>
      <c r="J2605">
        <v>61.123600000000003</v>
      </c>
      <c r="K2605">
        <v>92.342200000000005</v>
      </c>
      <c r="L2605">
        <v>103.812</v>
      </c>
      <c r="M2605">
        <v>81.541300000000007</v>
      </c>
      <c r="N2605">
        <v>75.140900000000002</v>
      </c>
      <c r="O2605">
        <v>80.028300000000002</v>
      </c>
      <c r="P2605">
        <v>1039</v>
      </c>
      <c r="Q2605" t="s">
        <v>5542</v>
      </c>
    </row>
    <row r="2606" spans="1:17" x14ac:dyDescent="0.3">
      <c r="A2606" t="s">
        <v>4664</v>
      </c>
      <c r="B2606" t="str">
        <f>"000933"</f>
        <v>000933</v>
      </c>
      <c r="C2606" t="s">
        <v>5543</v>
      </c>
      <c r="D2606" t="s">
        <v>504</v>
      </c>
      <c r="F2606">
        <v>48.759099999999997</v>
      </c>
      <c r="G2606">
        <v>71.276200000000003</v>
      </c>
      <c r="H2606">
        <v>128.36670000000001</v>
      </c>
      <c r="I2606">
        <v>182.733</v>
      </c>
      <c r="J2606">
        <v>172.90649999999999</v>
      </c>
      <c r="K2606">
        <v>166.5264</v>
      </c>
      <c r="L2606">
        <v>143.8056</v>
      </c>
      <c r="M2606">
        <v>89.551500000000004</v>
      </c>
      <c r="N2606">
        <v>55.0306</v>
      </c>
      <c r="O2606">
        <v>40.637</v>
      </c>
      <c r="P2606">
        <v>461</v>
      </c>
      <c r="Q2606" t="s">
        <v>5544</v>
      </c>
    </row>
    <row r="2607" spans="1:17" x14ac:dyDescent="0.3">
      <c r="A2607" t="s">
        <v>4664</v>
      </c>
      <c r="B2607" t="str">
        <f>"000935"</f>
        <v>000935</v>
      </c>
      <c r="C2607" t="s">
        <v>5545</v>
      </c>
      <c r="D2607" t="s">
        <v>731</v>
      </c>
      <c r="F2607">
        <v>30.2956</v>
      </c>
      <c r="G2607">
        <v>34.4634</v>
      </c>
      <c r="H2607">
        <v>39.933399999999999</v>
      </c>
      <c r="I2607">
        <v>58.455800000000004</v>
      </c>
      <c r="J2607">
        <v>39.56</v>
      </c>
      <c r="K2607">
        <v>39.319499999999998</v>
      </c>
      <c r="L2607">
        <v>42.3645</v>
      </c>
      <c r="M2607">
        <v>57.456600000000002</v>
      </c>
      <c r="N2607">
        <v>61.999000000000002</v>
      </c>
      <c r="O2607">
        <v>71.003900000000002</v>
      </c>
      <c r="P2607">
        <v>230</v>
      </c>
      <c r="Q2607" t="s">
        <v>5546</v>
      </c>
    </row>
    <row r="2608" spans="1:17" x14ac:dyDescent="0.3">
      <c r="A2608" t="s">
        <v>4664</v>
      </c>
      <c r="B2608" t="str">
        <f>"000936"</f>
        <v>000936</v>
      </c>
      <c r="C2608" t="s">
        <v>5547</v>
      </c>
      <c r="D2608" t="s">
        <v>2708</v>
      </c>
      <c r="F2608">
        <v>47.801400000000001</v>
      </c>
      <c r="G2608">
        <v>46.591099999999997</v>
      </c>
      <c r="H2608">
        <v>32.824199999999998</v>
      </c>
      <c r="I2608">
        <v>43.537100000000002</v>
      </c>
      <c r="J2608">
        <v>33.847000000000001</v>
      </c>
      <c r="K2608">
        <v>89.325500000000005</v>
      </c>
      <c r="L2608">
        <v>117.72029999999999</v>
      </c>
      <c r="M2608">
        <v>67.95</v>
      </c>
      <c r="N2608">
        <v>66.784999999999997</v>
      </c>
      <c r="O2608">
        <v>41.053400000000003</v>
      </c>
      <c r="P2608">
        <v>226</v>
      </c>
      <c r="Q2608" t="s">
        <v>5548</v>
      </c>
    </row>
    <row r="2609" spans="1:17" x14ac:dyDescent="0.3">
      <c r="A2609" t="s">
        <v>4664</v>
      </c>
      <c r="B2609" t="str">
        <f>"000937"</f>
        <v>000937</v>
      </c>
      <c r="C2609" t="s">
        <v>5549</v>
      </c>
      <c r="D2609" t="s">
        <v>298</v>
      </c>
      <c r="F2609">
        <v>19.89</v>
      </c>
      <c r="G2609">
        <v>26.0335</v>
      </c>
      <c r="H2609">
        <v>20.196999999999999</v>
      </c>
      <c r="I2609">
        <v>22.878900000000002</v>
      </c>
      <c r="J2609">
        <v>32.697299999999998</v>
      </c>
      <c r="K2609">
        <v>61.843000000000004</v>
      </c>
      <c r="L2609">
        <v>49.71</v>
      </c>
      <c r="M2609">
        <v>39.077800000000003</v>
      </c>
      <c r="N2609">
        <v>27.204799999999999</v>
      </c>
      <c r="O2609">
        <v>29.840199999999999</v>
      </c>
      <c r="P2609">
        <v>350</v>
      </c>
      <c r="Q2609" t="s">
        <v>5550</v>
      </c>
    </row>
    <row r="2610" spans="1:17" x14ac:dyDescent="0.3">
      <c r="A2610" t="s">
        <v>4664</v>
      </c>
      <c r="B2610" t="str">
        <f>"000938"</f>
        <v>000938</v>
      </c>
      <c r="C2610" t="s">
        <v>5551</v>
      </c>
      <c r="D2610" t="s">
        <v>316</v>
      </c>
      <c r="F2610">
        <v>121.9325</v>
      </c>
      <c r="G2610">
        <v>93.548100000000005</v>
      </c>
      <c r="H2610">
        <v>88.752700000000004</v>
      </c>
      <c r="I2610">
        <v>71.652900000000002</v>
      </c>
      <c r="J2610">
        <v>65.202200000000005</v>
      </c>
      <c r="K2610">
        <v>49.221600000000002</v>
      </c>
      <c r="L2610">
        <v>38.207700000000003</v>
      </c>
      <c r="M2610">
        <v>33.554400000000001</v>
      </c>
      <c r="N2610">
        <v>31.048100000000002</v>
      </c>
      <c r="O2610">
        <v>27.9389</v>
      </c>
      <c r="P2610">
        <v>3894</v>
      </c>
      <c r="Q2610" t="s">
        <v>5552</v>
      </c>
    </row>
    <row r="2611" spans="1:17" x14ac:dyDescent="0.3">
      <c r="A2611" t="s">
        <v>4664</v>
      </c>
      <c r="B2611" t="str">
        <f>"000939"</f>
        <v>000939</v>
      </c>
      <c r="C2611" t="s">
        <v>5553</v>
      </c>
      <c r="G2611">
        <v>426.15309999999999</v>
      </c>
      <c r="H2611">
        <v>332.42849999999999</v>
      </c>
      <c r="I2611">
        <v>616.22649999999999</v>
      </c>
      <c r="J2611">
        <v>573.35270000000003</v>
      </c>
      <c r="K2611">
        <v>577.69280000000003</v>
      </c>
      <c r="L2611">
        <v>441.55020000000002</v>
      </c>
      <c r="M2611">
        <v>109.5727</v>
      </c>
      <c r="N2611">
        <v>70.376599999999996</v>
      </c>
      <c r="O2611">
        <v>57.541899999999998</v>
      </c>
      <c r="P2611">
        <v>61</v>
      </c>
      <c r="Q2611" t="s">
        <v>5554</v>
      </c>
    </row>
    <row r="2612" spans="1:17" x14ac:dyDescent="0.3">
      <c r="A2612" t="s">
        <v>4664</v>
      </c>
      <c r="B2612" t="str">
        <f>"000948"</f>
        <v>000948</v>
      </c>
      <c r="C2612" t="s">
        <v>5555</v>
      </c>
      <c r="D2612" t="s">
        <v>945</v>
      </c>
      <c r="F2612">
        <v>202.4837</v>
      </c>
      <c r="G2612">
        <v>190.13749999999999</v>
      </c>
      <c r="H2612">
        <v>190.12260000000001</v>
      </c>
      <c r="I2612">
        <v>169.71780000000001</v>
      </c>
      <c r="J2612">
        <v>156.68440000000001</v>
      </c>
      <c r="K2612">
        <v>166.36250000000001</v>
      </c>
      <c r="L2612">
        <v>175.08879999999999</v>
      </c>
      <c r="M2612">
        <v>210.45500000000001</v>
      </c>
      <c r="N2612">
        <v>180.4675</v>
      </c>
      <c r="O2612">
        <v>184.952</v>
      </c>
      <c r="P2612">
        <v>213</v>
      </c>
      <c r="Q2612" t="s">
        <v>5556</v>
      </c>
    </row>
    <row r="2613" spans="1:17" x14ac:dyDescent="0.3">
      <c r="A2613" t="s">
        <v>4664</v>
      </c>
      <c r="B2613" t="str">
        <f>"000949"</f>
        <v>000949</v>
      </c>
      <c r="C2613" t="s">
        <v>5557</v>
      </c>
      <c r="D2613" t="s">
        <v>5558</v>
      </c>
      <c r="F2613">
        <v>106.754</v>
      </c>
      <c r="G2613">
        <v>179.04990000000001</v>
      </c>
      <c r="H2613">
        <v>143.58009999999999</v>
      </c>
      <c r="I2613">
        <v>115.7698</v>
      </c>
      <c r="J2613">
        <v>107.43680000000001</v>
      </c>
      <c r="K2613">
        <v>111.1169</v>
      </c>
      <c r="L2613">
        <v>162.81950000000001</v>
      </c>
      <c r="M2613">
        <v>171.7286</v>
      </c>
      <c r="N2613">
        <v>147.5761</v>
      </c>
      <c r="O2613">
        <v>136.52279999999999</v>
      </c>
      <c r="P2613">
        <v>157</v>
      </c>
      <c r="Q2613" t="s">
        <v>5559</v>
      </c>
    </row>
    <row r="2614" spans="1:17" x14ac:dyDescent="0.3">
      <c r="A2614" t="s">
        <v>4664</v>
      </c>
      <c r="B2614" t="str">
        <f>"000950"</f>
        <v>000950</v>
      </c>
      <c r="C2614" t="s">
        <v>5560</v>
      </c>
      <c r="D2614" t="s">
        <v>125</v>
      </c>
      <c r="F2614">
        <v>49.952800000000003</v>
      </c>
      <c r="G2614">
        <v>61.982999999999997</v>
      </c>
      <c r="H2614">
        <v>47.6601</v>
      </c>
      <c r="I2614">
        <v>54.578600000000002</v>
      </c>
      <c r="J2614">
        <v>45.821399999999997</v>
      </c>
      <c r="K2614">
        <v>53.725700000000003</v>
      </c>
      <c r="L2614">
        <v>55.034700000000001</v>
      </c>
      <c r="M2614">
        <v>48.643300000000004</v>
      </c>
      <c r="N2614">
        <v>51.226100000000002</v>
      </c>
      <c r="O2614">
        <v>51.601300000000002</v>
      </c>
      <c r="P2614">
        <v>145</v>
      </c>
      <c r="Q2614" t="s">
        <v>5561</v>
      </c>
    </row>
    <row r="2615" spans="1:17" x14ac:dyDescent="0.3">
      <c r="A2615" t="s">
        <v>4664</v>
      </c>
      <c r="B2615" t="str">
        <f>"000951"</f>
        <v>000951</v>
      </c>
      <c r="C2615" t="s">
        <v>5562</v>
      </c>
      <c r="D2615" t="s">
        <v>27</v>
      </c>
      <c r="F2615">
        <v>58.125300000000003</v>
      </c>
      <c r="G2615">
        <v>69.348399999999998</v>
      </c>
      <c r="H2615">
        <v>63.142499999999998</v>
      </c>
      <c r="I2615">
        <v>91.790099999999995</v>
      </c>
      <c r="J2615">
        <v>78.351200000000006</v>
      </c>
      <c r="K2615">
        <v>65.8964</v>
      </c>
      <c r="L2615">
        <v>74.235200000000006</v>
      </c>
      <c r="M2615">
        <v>84.041499999999999</v>
      </c>
      <c r="N2615">
        <v>89.451899999999995</v>
      </c>
      <c r="O2615">
        <v>111.69629999999999</v>
      </c>
      <c r="P2615">
        <v>856</v>
      </c>
      <c r="Q2615" t="s">
        <v>5563</v>
      </c>
    </row>
    <row r="2616" spans="1:17" x14ac:dyDescent="0.3">
      <c r="A2616" t="s">
        <v>4664</v>
      </c>
      <c r="B2616" t="str">
        <f>"000952"</f>
        <v>000952</v>
      </c>
      <c r="C2616" t="s">
        <v>5564</v>
      </c>
      <c r="D2616" t="s">
        <v>496</v>
      </c>
      <c r="F2616">
        <v>236.76519999999999</v>
      </c>
      <c r="G2616">
        <v>168.7166</v>
      </c>
      <c r="H2616">
        <v>175.97829999999999</v>
      </c>
      <c r="I2616">
        <v>140.32599999999999</v>
      </c>
      <c r="J2616">
        <v>141.19399999999999</v>
      </c>
      <c r="K2616">
        <v>129.76849999999999</v>
      </c>
      <c r="L2616">
        <v>163.55369999999999</v>
      </c>
      <c r="M2616">
        <v>162.13999999999999</v>
      </c>
      <c r="N2616">
        <v>215.78800000000001</v>
      </c>
      <c r="O2616">
        <v>245.54769999999999</v>
      </c>
      <c r="P2616">
        <v>169</v>
      </c>
      <c r="Q2616" t="s">
        <v>5565</v>
      </c>
    </row>
    <row r="2617" spans="1:17" x14ac:dyDescent="0.3">
      <c r="A2617" t="s">
        <v>4664</v>
      </c>
      <c r="B2617" t="str">
        <f>"000953"</f>
        <v>000953</v>
      </c>
      <c r="C2617" t="s">
        <v>5566</v>
      </c>
      <c r="D2617" t="s">
        <v>909</v>
      </c>
      <c r="F2617">
        <v>90.856300000000005</v>
      </c>
      <c r="G2617">
        <v>66.792699999999996</v>
      </c>
      <c r="H2617">
        <v>49.168100000000003</v>
      </c>
      <c r="I2617">
        <v>41.6434</v>
      </c>
      <c r="J2617">
        <v>47.566400000000002</v>
      </c>
      <c r="K2617">
        <v>95.567099999999996</v>
      </c>
      <c r="L2617">
        <v>119.271</v>
      </c>
      <c r="M2617">
        <v>143.84649999999999</v>
      </c>
      <c r="N2617">
        <v>154.25970000000001</v>
      </c>
      <c r="O2617">
        <v>156.0575</v>
      </c>
      <c r="P2617">
        <v>90</v>
      </c>
      <c r="Q2617" t="s">
        <v>5567</v>
      </c>
    </row>
    <row r="2618" spans="1:17" x14ac:dyDescent="0.3">
      <c r="A2618" t="s">
        <v>4664</v>
      </c>
      <c r="B2618" t="str">
        <f>"000955"</f>
        <v>000955</v>
      </c>
      <c r="C2618" t="s">
        <v>5568</v>
      </c>
      <c r="D2618" t="s">
        <v>366</v>
      </c>
      <c r="F2618">
        <v>68.299000000000007</v>
      </c>
      <c r="G2618">
        <v>63.3977</v>
      </c>
      <c r="H2618">
        <v>70.039100000000005</v>
      </c>
      <c r="I2618">
        <v>72.545299999999997</v>
      </c>
      <c r="J2618">
        <v>68.647300000000001</v>
      </c>
      <c r="K2618">
        <v>89.190100000000001</v>
      </c>
      <c r="L2618">
        <v>117.0155</v>
      </c>
      <c r="M2618">
        <v>109.3267</v>
      </c>
      <c r="N2618">
        <v>96.927800000000005</v>
      </c>
      <c r="O2618">
        <v>106.6965</v>
      </c>
      <c r="P2618">
        <v>241</v>
      </c>
      <c r="Q2618" t="s">
        <v>5569</v>
      </c>
    </row>
    <row r="2619" spans="1:17" x14ac:dyDescent="0.3">
      <c r="A2619" t="s">
        <v>4664</v>
      </c>
      <c r="B2619" t="str">
        <f>"000957"</f>
        <v>000957</v>
      </c>
      <c r="C2619" t="s">
        <v>5570</v>
      </c>
      <c r="D2619" t="s">
        <v>153</v>
      </c>
      <c r="F2619">
        <v>120.14749999999999</v>
      </c>
      <c r="G2619">
        <v>67.787499999999994</v>
      </c>
      <c r="H2619">
        <v>43.901000000000003</v>
      </c>
      <c r="I2619">
        <v>49.305399999999999</v>
      </c>
      <c r="J2619">
        <v>44.655500000000004</v>
      </c>
      <c r="K2619">
        <v>38.663800000000002</v>
      </c>
      <c r="L2619">
        <v>67.826099999999997</v>
      </c>
      <c r="M2619">
        <v>57.360799999999998</v>
      </c>
      <c r="N2619">
        <v>61.812600000000003</v>
      </c>
      <c r="O2619">
        <v>88.923100000000005</v>
      </c>
      <c r="P2619">
        <v>227</v>
      </c>
      <c r="Q2619" t="s">
        <v>5571</v>
      </c>
    </row>
    <row r="2620" spans="1:17" x14ac:dyDescent="0.3">
      <c r="A2620" t="s">
        <v>4664</v>
      </c>
      <c r="B2620" t="str">
        <f>"000958"</f>
        <v>000958</v>
      </c>
      <c r="C2620" t="s">
        <v>5572</v>
      </c>
      <c r="D2620" t="s">
        <v>41</v>
      </c>
      <c r="F2620">
        <v>24.630500000000001</v>
      </c>
      <c r="G2620">
        <v>36.821399999999997</v>
      </c>
      <c r="H2620">
        <v>15.3933</v>
      </c>
      <c r="I2620">
        <v>22.0655</v>
      </c>
      <c r="J2620">
        <v>24.721299999999999</v>
      </c>
      <c r="K2620">
        <v>23.322099999999999</v>
      </c>
      <c r="L2620">
        <v>31.018999999999998</v>
      </c>
      <c r="M2620">
        <v>44.0229</v>
      </c>
      <c r="N2620">
        <v>50.283799999999999</v>
      </c>
      <c r="O2620">
        <v>74.440399999999997</v>
      </c>
      <c r="P2620">
        <v>162</v>
      </c>
      <c r="Q2620" t="s">
        <v>5573</v>
      </c>
    </row>
    <row r="2621" spans="1:17" x14ac:dyDescent="0.3">
      <c r="A2621" t="s">
        <v>4664</v>
      </c>
      <c r="B2621" t="str">
        <f>"000959"</f>
        <v>000959</v>
      </c>
      <c r="C2621" t="s">
        <v>5574</v>
      </c>
      <c r="D2621" t="s">
        <v>38</v>
      </c>
      <c r="F2621">
        <v>46.23</v>
      </c>
      <c r="G2621">
        <v>60.185099999999998</v>
      </c>
      <c r="H2621">
        <v>47.844200000000001</v>
      </c>
      <c r="I2621">
        <v>46.3782</v>
      </c>
      <c r="J2621">
        <v>57.276499999999999</v>
      </c>
      <c r="K2621">
        <v>58.061199999999999</v>
      </c>
      <c r="L2621">
        <v>112.8639</v>
      </c>
      <c r="M2621">
        <v>54.195700000000002</v>
      </c>
      <c r="N2621">
        <v>61.787700000000001</v>
      </c>
      <c r="O2621">
        <v>63.224699999999999</v>
      </c>
      <c r="P2621">
        <v>254</v>
      </c>
      <c r="Q2621" t="s">
        <v>5575</v>
      </c>
    </row>
    <row r="2622" spans="1:17" x14ac:dyDescent="0.3">
      <c r="A2622" t="s">
        <v>4664</v>
      </c>
      <c r="B2622" t="str">
        <f>"000960"</f>
        <v>000960</v>
      </c>
      <c r="C2622" t="s">
        <v>5576</v>
      </c>
      <c r="D2622" t="s">
        <v>636</v>
      </c>
      <c r="F2622">
        <v>52.202800000000003</v>
      </c>
      <c r="G2622">
        <v>46.029400000000003</v>
      </c>
      <c r="H2622">
        <v>45.963900000000002</v>
      </c>
      <c r="I2622">
        <v>48.631</v>
      </c>
      <c r="J2622">
        <v>50.066200000000002</v>
      </c>
      <c r="K2622">
        <v>45.991599999999998</v>
      </c>
      <c r="L2622">
        <v>81.185199999999995</v>
      </c>
      <c r="M2622">
        <v>107.3869</v>
      </c>
      <c r="N2622">
        <v>185.8571</v>
      </c>
      <c r="O2622">
        <v>231.74010000000001</v>
      </c>
      <c r="P2622">
        <v>356</v>
      </c>
      <c r="Q2622" t="s">
        <v>5577</v>
      </c>
    </row>
    <row r="2623" spans="1:17" x14ac:dyDescent="0.3">
      <c r="A2623" t="s">
        <v>4664</v>
      </c>
      <c r="B2623" t="str">
        <f>"000961"</f>
        <v>000961</v>
      </c>
      <c r="C2623" t="s">
        <v>5578</v>
      </c>
      <c r="D2623" t="s">
        <v>104</v>
      </c>
      <c r="F2623">
        <v>1262.0160000000001</v>
      </c>
      <c r="G2623">
        <v>1660.2610999999999</v>
      </c>
      <c r="H2623">
        <v>1622.4571000000001</v>
      </c>
      <c r="I2623">
        <v>1912.9357</v>
      </c>
      <c r="J2623">
        <v>1965.4001000000001</v>
      </c>
      <c r="K2623">
        <v>1563.9329</v>
      </c>
      <c r="L2623">
        <v>2265.5704999999998</v>
      </c>
      <c r="M2623">
        <v>1697.1138000000001</v>
      </c>
      <c r="N2623">
        <v>1354.7284999999999</v>
      </c>
      <c r="O2623">
        <v>1416.3236999999999</v>
      </c>
      <c r="P2623">
        <v>898</v>
      </c>
      <c r="Q2623" t="s">
        <v>5579</v>
      </c>
    </row>
    <row r="2624" spans="1:17" x14ac:dyDescent="0.3">
      <c r="A2624" t="s">
        <v>4664</v>
      </c>
      <c r="B2624" t="str">
        <f>"000962"</f>
        <v>000962</v>
      </c>
      <c r="C2624" t="s">
        <v>5580</v>
      </c>
      <c r="D2624" t="s">
        <v>636</v>
      </c>
      <c r="F2624">
        <v>226.93440000000001</v>
      </c>
      <c r="G2624">
        <v>308.85489999999999</v>
      </c>
      <c r="H2624">
        <v>304.84859999999998</v>
      </c>
      <c r="I2624">
        <v>210.81460000000001</v>
      </c>
      <c r="J2624">
        <v>201.69479999999999</v>
      </c>
      <c r="K2624">
        <v>293.74790000000002</v>
      </c>
      <c r="L2624">
        <v>338.6798</v>
      </c>
      <c r="M2624">
        <v>249.59219999999999</v>
      </c>
      <c r="N2624">
        <v>224.0573</v>
      </c>
      <c r="O2624">
        <v>243.36009999999999</v>
      </c>
      <c r="P2624">
        <v>131</v>
      </c>
      <c r="Q2624" t="s">
        <v>5581</v>
      </c>
    </row>
    <row r="2625" spans="1:17" x14ac:dyDescent="0.3">
      <c r="A2625" t="s">
        <v>4664</v>
      </c>
      <c r="B2625" t="str">
        <f>"000963"</f>
        <v>000963</v>
      </c>
      <c r="C2625" t="s">
        <v>5582</v>
      </c>
      <c r="D2625" t="s">
        <v>143</v>
      </c>
      <c r="F2625">
        <v>82.797300000000007</v>
      </c>
      <c r="G2625">
        <v>85.968800000000002</v>
      </c>
      <c r="H2625">
        <v>74.898799999999994</v>
      </c>
      <c r="I2625">
        <v>76.565100000000001</v>
      </c>
      <c r="J2625">
        <v>68.897400000000005</v>
      </c>
      <c r="K2625">
        <v>67.647800000000004</v>
      </c>
      <c r="L2625">
        <v>60.339300000000001</v>
      </c>
      <c r="M2625">
        <v>55.081600000000002</v>
      </c>
      <c r="N2625">
        <v>54.763399999999997</v>
      </c>
      <c r="O2625">
        <v>46.611499999999999</v>
      </c>
      <c r="P2625">
        <v>59262</v>
      </c>
      <c r="Q2625" t="s">
        <v>5583</v>
      </c>
    </row>
    <row r="2626" spans="1:17" x14ac:dyDescent="0.3">
      <c r="A2626" t="s">
        <v>4664</v>
      </c>
      <c r="B2626" t="str">
        <f>"000965"</f>
        <v>000965</v>
      </c>
      <c r="C2626" t="s">
        <v>5584</v>
      </c>
      <c r="D2626" t="s">
        <v>104</v>
      </c>
      <c r="F2626">
        <v>9151.2495999999992</v>
      </c>
      <c r="G2626">
        <v>8629.39</v>
      </c>
      <c r="H2626">
        <v>23816.154900000001</v>
      </c>
      <c r="I2626">
        <v>2145.3067000000001</v>
      </c>
      <c r="J2626">
        <v>4409.7268000000004</v>
      </c>
      <c r="K2626">
        <v>1660.4229</v>
      </c>
      <c r="L2626">
        <v>3767.683</v>
      </c>
      <c r="M2626">
        <v>1274.2809999999999</v>
      </c>
      <c r="N2626">
        <v>2584.4321</v>
      </c>
      <c r="O2626">
        <v>1701.9443000000001</v>
      </c>
      <c r="P2626">
        <v>116</v>
      </c>
      <c r="Q2626" t="s">
        <v>5585</v>
      </c>
    </row>
    <row r="2627" spans="1:17" x14ac:dyDescent="0.3">
      <c r="A2627" t="s">
        <v>4664</v>
      </c>
      <c r="B2627" t="str">
        <f>"000966"</f>
        <v>000966</v>
      </c>
      <c r="C2627" t="s">
        <v>5586</v>
      </c>
      <c r="D2627" t="s">
        <v>41</v>
      </c>
      <c r="F2627">
        <v>9.8262999999999998</v>
      </c>
      <c r="G2627">
        <v>24.732800000000001</v>
      </c>
      <c r="H2627">
        <v>22.867799999999999</v>
      </c>
      <c r="I2627">
        <v>19.651800000000001</v>
      </c>
      <c r="J2627">
        <v>17.856999999999999</v>
      </c>
      <c r="K2627">
        <v>20.846599999999999</v>
      </c>
      <c r="L2627">
        <v>37.4724</v>
      </c>
      <c r="M2627">
        <v>45.768900000000002</v>
      </c>
      <c r="N2627">
        <v>26.178899999999999</v>
      </c>
      <c r="O2627">
        <v>50.6492</v>
      </c>
      <c r="P2627">
        <v>398</v>
      </c>
      <c r="Q2627" t="s">
        <v>5587</v>
      </c>
    </row>
    <row r="2628" spans="1:17" x14ac:dyDescent="0.3">
      <c r="A2628" t="s">
        <v>4664</v>
      </c>
      <c r="B2628" t="str">
        <f>"000967"</f>
        <v>000967</v>
      </c>
      <c r="C2628" t="s">
        <v>5588</v>
      </c>
      <c r="D2628" t="s">
        <v>1070</v>
      </c>
      <c r="F2628">
        <v>82.326300000000003</v>
      </c>
      <c r="G2628">
        <v>64.165499999999994</v>
      </c>
      <c r="H2628">
        <v>74.572900000000004</v>
      </c>
      <c r="I2628">
        <v>52.635899999999999</v>
      </c>
      <c r="J2628">
        <v>37.846400000000003</v>
      </c>
      <c r="K2628">
        <v>73.229600000000005</v>
      </c>
      <c r="L2628">
        <v>36.055</v>
      </c>
      <c r="M2628">
        <v>39.7547</v>
      </c>
      <c r="N2628">
        <v>36.9084</v>
      </c>
      <c r="O2628">
        <v>39.815800000000003</v>
      </c>
      <c r="P2628">
        <v>329</v>
      </c>
      <c r="Q2628" t="s">
        <v>5589</v>
      </c>
    </row>
    <row r="2629" spans="1:17" x14ac:dyDescent="0.3">
      <c r="A2629" t="s">
        <v>4664</v>
      </c>
      <c r="B2629" t="str">
        <f>"000968"</f>
        <v>000968</v>
      </c>
      <c r="C2629" t="s">
        <v>5590</v>
      </c>
      <c r="D2629" t="s">
        <v>1541</v>
      </c>
      <c r="F2629">
        <v>14.677099999999999</v>
      </c>
      <c r="G2629">
        <v>66.501300000000001</v>
      </c>
      <c r="H2629">
        <v>112.01009999999999</v>
      </c>
      <c r="I2629">
        <v>252.08420000000001</v>
      </c>
      <c r="J2629">
        <v>80.840400000000002</v>
      </c>
      <c r="K2629">
        <v>110.0904</v>
      </c>
      <c r="L2629">
        <v>63.679400000000001</v>
      </c>
      <c r="M2629">
        <v>90.451400000000007</v>
      </c>
      <c r="N2629">
        <v>96.895399999999995</v>
      </c>
      <c r="O2629">
        <v>57.6342</v>
      </c>
      <c r="P2629">
        <v>244</v>
      </c>
      <c r="Q2629" t="s">
        <v>5591</v>
      </c>
    </row>
    <row r="2630" spans="1:17" x14ac:dyDescent="0.3">
      <c r="A2630" t="s">
        <v>4664</v>
      </c>
      <c r="B2630" t="str">
        <f>"000969"</f>
        <v>000969</v>
      </c>
      <c r="C2630" t="s">
        <v>5592</v>
      </c>
      <c r="D2630" t="s">
        <v>581</v>
      </c>
      <c r="F2630">
        <v>156.90610000000001</v>
      </c>
      <c r="G2630">
        <v>199.52379999999999</v>
      </c>
      <c r="H2630">
        <v>194.7099</v>
      </c>
      <c r="I2630">
        <v>173.2286</v>
      </c>
      <c r="J2630">
        <v>172.2715</v>
      </c>
      <c r="K2630">
        <v>176.2671</v>
      </c>
      <c r="L2630">
        <v>168.23740000000001</v>
      </c>
      <c r="M2630">
        <v>167.39169999999999</v>
      </c>
      <c r="N2630">
        <v>175.78469999999999</v>
      </c>
      <c r="O2630">
        <v>218.53710000000001</v>
      </c>
      <c r="P2630">
        <v>224</v>
      </c>
      <c r="Q2630" t="s">
        <v>5593</v>
      </c>
    </row>
    <row r="2631" spans="1:17" x14ac:dyDescent="0.3">
      <c r="A2631" t="s">
        <v>4664</v>
      </c>
      <c r="B2631" t="str">
        <f>"000970"</f>
        <v>000970</v>
      </c>
      <c r="C2631" t="s">
        <v>5594</v>
      </c>
      <c r="D2631" t="s">
        <v>808</v>
      </c>
      <c r="F2631">
        <v>165.57769999999999</v>
      </c>
      <c r="G2631">
        <v>204.3554</v>
      </c>
      <c r="H2631">
        <v>217.024</v>
      </c>
      <c r="I2631">
        <v>220.04040000000001</v>
      </c>
      <c r="J2631">
        <v>199.7166</v>
      </c>
      <c r="K2631">
        <v>180.4622</v>
      </c>
      <c r="L2631">
        <v>171.4153</v>
      </c>
      <c r="M2631">
        <v>157.9</v>
      </c>
      <c r="N2631">
        <v>173.33340000000001</v>
      </c>
      <c r="O2631">
        <v>146.2885</v>
      </c>
      <c r="P2631">
        <v>364</v>
      </c>
      <c r="Q2631" t="s">
        <v>5595</v>
      </c>
    </row>
    <row r="2632" spans="1:17" x14ac:dyDescent="0.3">
      <c r="A2632" t="s">
        <v>4664</v>
      </c>
      <c r="B2632" t="str">
        <f>"000971"</f>
        <v>000971</v>
      </c>
      <c r="C2632" t="s">
        <v>5596</v>
      </c>
      <c r="D2632" t="s">
        <v>5597</v>
      </c>
      <c r="F2632">
        <v>97.484200000000001</v>
      </c>
      <c r="G2632">
        <v>55.991100000000003</v>
      </c>
      <c r="H2632">
        <v>67.719300000000004</v>
      </c>
      <c r="I2632">
        <v>0</v>
      </c>
      <c r="J2632">
        <v>0</v>
      </c>
      <c r="K2632">
        <v>0</v>
      </c>
      <c r="L2632">
        <v>326.98419999999999</v>
      </c>
      <c r="M2632">
        <v>336.43279999999999</v>
      </c>
      <c r="N2632">
        <v>227.6634</v>
      </c>
      <c r="O2632">
        <v>867.53549999999996</v>
      </c>
      <c r="P2632">
        <v>74</v>
      </c>
      <c r="Q2632" t="s">
        <v>5598</v>
      </c>
    </row>
    <row r="2633" spans="1:17" x14ac:dyDescent="0.3">
      <c r="A2633" t="s">
        <v>4664</v>
      </c>
      <c r="B2633" t="str">
        <f>"000972"</f>
        <v>000972</v>
      </c>
      <c r="C2633" t="s">
        <v>5599</v>
      </c>
      <c r="D2633" t="s">
        <v>574</v>
      </c>
      <c r="F2633">
        <v>6641.7398000000003</v>
      </c>
      <c r="G2633">
        <v>537.24480000000005</v>
      </c>
      <c r="H2633">
        <v>292.40719999999999</v>
      </c>
      <c r="I2633">
        <v>614.8605</v>
      </c>
      <c r="J2633">
        <v>858.72190000000001</v>
      </c>
      <c r="K2633">
        <v>906.94920000000002</v>
      </c>
      <c r="L2633">
        <v>520.04729999999995</v>
      </c>
      <c r="M2633">
        <v>589.93209999999999</v>
      </c>
      <c r="N2633">
        <v>275.1463</v>
      </c>
      <c r="O2633">
        <v>429.16309999999999</v>
      </c>
      <c r="P2633">
        <v>78</v>
      </c>
      <c r="Q2633" t="s">
        <v>5600</v>
      </c>
    </row>
    <row r="2634" spans="1:17" x14ac:dyDescent="0.3">
      <c r="A2634" t="s">
        <v>4664</v>
      </c>
      <c r="B2634" t="str">
        <f>"000973"</f>
        <v>000973</v>
      </c>
      <c r="C2634" t="s">
        <v>5601</v>
      </c>
      <c r="D2634" t="s">
        <v>324</v>
      </c>
      <c r="F2634">
        <v>113.0168</v>
      </c>
      <c r="G2634">
        <v>129.13079999999999</v>
      </c>
      <c r="H2634">
        <v>264.32159999999999</v>
      </c>
      <c r="I2634">
        <v>287.06880000000001</v>
      </c>
      <c r="J2634">
        <v>219.04750000000001</v>
      </c>
      <c r="K2634">
        <v>211.91800000000001</v>
      </c>
      <c r="L2634">
        <v>290.51119999999997</v>
      </c>
      <c r="M2634">
        <v>259.07380000000001</v>
      </c>
      <c r="N2634">
        <v>238.2439</v>
      </c>
      <c r="O2634">
        <v>199.7088</v>
      </c>
      <c r="P2634">
        <v>123</v>
      </c>
      <c r="Q2634" t="s">
        <v>5602</v>
      </c>
    </row>
    <row r="2635" spans="1:17" x14ac:dyDescent="0.3">
      <c r="A2635" t="s">
        <v>4664</v>
      </c>
      <c r="B2635" t="str">
        <f>"000975"</f>
        <v>000975</v>
      </c>
      <c r="C2635" t="s">
        <v>5603</v>
      </c>
      <c r="D2635" t="s">
        <v>701</v>
      </c>
      <c r="F2635">
        <v>86.259900000000002</v>
      </c>
      <c r="G2635">
        <v>69.458200000000005</v>
      </c>
      <c r="H2635">
        <v>96.881500000000003</v>
      </c>
      <c r="I2635">
        <v>49.716500000000003</v>
      </c>
      <c r="J2635">
        <v>126.893</v>
      </c>
      <c r="K2635">
        <v>267.85700000000003</v>
      </c>
      <c r="L2635">
        <v>228.3845</v>
      </c>
      <c r="M2635">
        <v>468.83580000000001</v>
      </c>
      <c r="N2635">
        <v>338.93689999999998</v>
      </c>
      <c r="O2635">
        <v>23.793500000000002</v>
      </c>
      <c r="P2635">
        <v>391</v>
      </c>
      <c r="Q2635" t="s">
        <v>5604</v>
      </c>
    </row>
    <row r="2636" spans="1:17" x14ac:dyDescent="0.3">
      <c r="A2636" t="s">
        <v>4664</v>
      </c>
      <c r="B2636" t="str">
        <f>"000976"</f>
        <v>000976</v>
      </c>
      <c r="C2636" t="s">
        <v>5605</v>
      </c>
      <c r="D2636" t="s">
        <v>1012</v>
      </c>
      <c r="F2636">
        <v>151.25970000000001</v>
      </c>
      <c r="G2636">
        <v>184.2747</v>
      </c>
      <c r="H2636">
        <v>143.65280000000001</v>
      </c>
      <c r="I2636">
        <v>201.88290000000001</v>
      </c>
      <c r="J2636">
        <v>161.89830000000001</v>
      </c>
      <c r="K2636">
        <v>96.701800000000006</v>
      </c>
      <c r="L2636">
        <v>59.912999999999997</v>
      </c>
      <c r="M2636">
        <v>56.4878</v>
      </c>
      <c r="N2636">
        <v>72.337100000000007</v>
      </c>
      <c r="O2636">
        <v>56.809100000000001</v>
      </c>
      <c r="P2636">
        <v>146</v>
      </c>
      <c r="Q2636" t="s">
        <v>5606</v>
      </c>
    </row>
    <row r="2637" spans="1:17" x14ac:dyDescent="0.3">
      <c r="A2637" t="s">
        <v>4664</v>
      </c>
      <c r="B2637" t="str">
        <f>"000977"</f>
        <v>000977</v>
      </c>
      <c r="C2637" t="s">
        <v>5607</v>
      </c>
      <c r="D2637" t="s">
        <v>236</v>
      </c>
      <c r="F2637">
        <v>135.70699999999999</v>
      </c>
      <c r="G2637">
        <v>99.55</v>
      </c>
      <c r="H2637">
        <v>84.120599999999996</v>
      </c>
      <c r="I2637">
        <v>85.462000000000003</v>
      </c>
      <c r="J2637">
        <v>76.663200000000003</v>
      </c>
      <c r="K2637">
        <v>106.36799999999999</v>
      </c>
      <c r="L2637">
        <v>122.5458</v>
      </c>
      <c r="M2637">
        <v>120.9195</v>
      </c>
      <c r="N2637">
        <v>112.0395</v>
      </c>
      <c r="O2637">
        <v>112.1027</v>
      </c>
      <c r="P2637">
        <v>4425</v>
      </c>
      <c r="Q2637" t="s">
        <v>5608</v>
      </c>
    </row>
    <row r="2638" spans="1:17" x14ac:dyDescent="0.3">
      <c r="A2638" t="s">
        <v>4664</v>
      </c>
      <c r="B2638" t="str">
        <f>"000978"</f>
        <v>000978</v>
      </c>
      <c r="C2638" t="s">
        <v>5609</v>
      </c>
      <c r="D2638" t="s">
        <v>119</v>
      </c>
      <c r="F2638">
        <v>9.9521999999999995</v>
      </c>
      <c r="G2638">
        <v>30.741099999999999</v>
      </c>
      <c r="H2638">
        <v>76.093000000000004</v>
      </c>
      <c r="I2638">
        <v>125.419</v>
      </c>
      <c r="J2638">
        <v>130.23509999999999</v>
      </c>
      <c r="K2638">
        <v>148.53360000000001</v>
      </c>
      <c r="L2638">
        <v>141.13679999999999</v>
      </c>
      <c r="M2638">
        <v>551.87270000000001</v>
      </c>
      <c r="N2638">
        <v>362.59649999999999</v>
      </c>
      <c r="O2638">
        <v>243.1028</v>
      </c>
      <c r="P2638">
        <v>140</v>
      </c>
      <c r="Q2638" t="s">
        <v>5610</v>
      </c>
    </row>
    <row r="2639" spans="1:17" x14ac:dyDescent="0.3">
      <c r="A2639" t="s">
        <v>4664</v>
      </c>
      <c r="B2639" t="str">
        <f>"000979"</f>
        <v>000979</v>
      </c>
      <c r="C2639" t="s">
        <v>5611</v>
      </c>
      <c r="I2639">
        <v>3740.1651000000002</v>
      </c>
      <c r="J2639">
        <v>3732.4529000000002</v>
      </c>
      <c r="K2639">
        <v>3922.9285</v>
      </c>
      <c r="L2639">
        <v>10937.302900000001</v>
      </c>
      <c r="M2639">
        <v>2363.8887</v>
      </c>
      <c r="N2639">
        <v>4525.3388000000004</v>
      </c>
      <c r="O2639">
        <v>1259.9177999999999</v>
      </c>
      <c r="P2639">
        <v>30</v>
      </c>
      <c r="Q2639" t="s">
        <v>5612</v>
      </c>
    </row>
    <row r="2640" spans="1:17" x14ac:dyDescent="0.3">
      <c r="A2640" t="s">
        <v>4664</v>
      </c>
      <c r="B2640" t="str">
        <f>"000980"</f>
        <v>000980</v>
      </c>
      <c r="C2640" t="s">
        <v>5613</v>
      </c>
      <c r="D2640" t="s">
        <v>1415</v>
      </c>
      <c r="F2640">
        <v>222.02500000000001</v>
      </c>
      <c r="G2640">
        <v>418.05220000000003</v>
      </c>
      <c r="H2640">
        <v>189.63419999999999</v>
      </c>
      <c r="I2640">
        <v>95.111900000000006</v>
      </c>
      <c r="J2640">
        <v>85.233800000000002</v>
      </c>
      <c r="K2640">
        <v>229.5436</v>
      </c>
      <c r="L2640">
        <v>296.15269999999998</v>
      </c>
      <c r="M2640">
        <v>329.75720000000001</v>
      </c>
      <c r="N2640">
        <v>233.82390000000001</v>
      </c>
      <c r="O2640">
        <v>247.928</v>
      </c>
      <c r="P2640">
        <v>161</v>
      </c>
      <c r="Q2640" t="s">
        <v>5614</v>
      </c>
    </row>
    <row r="2641" spans="1:17" x14ac:dyDescent="0.3">
      <c r="A2641" t="s">
        <v>4664</v>
      </c>
      <c r="B2641" t="str">
        <f>"000981"</f>
        <v>000981</v>
      </c>
      <c r="C2641" t="s">
        <v>5615</v>
      </c>
      <c r="D2641" t="s">
        <v>104</v>
      </c>
      <c r="F2641">
        <v>500.43270000000001</v>
      </c>
      <c r="G2641">
        <v>371.16699999999997</v>
      </c>
      <c r="H2641">
        <v>760.71609999999998</v>
      </c>
      <c r="I2641">
        <v>1023.4239</v>
      </c>
      <c r="J2641">
        <v>1672.0526</v>
      </c>
      <c r="K2641">
        <v>1581.3388</v>
      </c>
      <c r="L2641">
        <v>2205.1298000000002</v>
      </c>
      <c r="M2641">
        <v>1855.5983000000001</v>
      </c>
      <c r="N2641">
        <v>2892.2125000000001</v>
      </c>
      <c r="O2641">
        <v>5043.9967999999999</v>
      </c>
      <c r="P2641">
        <v>118</v>
      </c>
      <c r="Q2641" t="s">
        <v>5616</v>
      </c>
    </row>
    <row r="2642" spans="1:17" x14ac:dyDescent="0.3">
      <c r="A2642" t="s">
        <v>4664</v>
      </c>
      <c r="B2642" t="str">
        <f>"000982"</f>
        <v>000982</v>
      </c>
      <c r="C2642" t="s">
        <v>5617</v>
      </c>
      <c r="D2642" t="s">
        <v>366</v>
      </c>
      <c r="F2642">
        <v>197.4211</v>
      </c>
      <c r="G2642">
        <v>217.23429999999999</v>
      </c>
      <c r="H2642">
        <v>880.4316</v>
      </c>
      <c r="I2642">
        <v>481.3288</v>
      </c>
      <c r="J2642">
        <v>587.99120000000005</v>
      </c>
      <c r="K2642">
        <v>443.17039999999997</v>
      </c>
      <c r="L2642">
        <v>668.77</v>
      </c>
      <c r="M2642">
        <v>705.60950000000003</v>
      </c>
      <c r="N2642">
        <v>588.9991</v>
      </c>
      <c r="O2642">
        <v>567.07299999999998</v>
      </c>
      <c r="P2642">
        <v>83</v>
      </c>
      <c r="Q2642" t="s">
        <v>5618</v>
      </c>
    </row>
    <row r="2643" spans="1:17" x14ac:dyDescent="0.3">
      <c r="A2643" t="s">
        <v>4664</v>
      </c>
      <c r="B2643" t="str">
        <f>"000983"</f>
        <v>000983</v>
      </c>
      <c r="C2643" t="s">
        <v>5619</v>
      </c>
      <c r="D2643" t="s">
        <v>298</v>
      </c>
      <c r="F2643">
        <v>48.248600000000003</v>
      </c>
      <c r="G2643">
        <v>76.750100000000003</v>
      </c>
      <c r="H2643">
        <v>74.287700000000001</v>
      </c>
      <c r="I2643">
        <v>77.542500000000004</v>
      </c>
      <c r="J2643">
        <v>88.261499999999998</v>
      </c>
      <c r="K2643">
        <v>115.88500000000001</v>
      </c>
      <c r="L2643">
        <v>99.659300000000002</v>
      </c>
      <c r="M2643">
        <v>69.865099999999998</v>
      </c>
      <c r="N2643">
        <v>47.805300000000003</v>
      </c>
      <c r="O2643">
        <v>57.177599999999998</v>
      </c>
      <c r="P2643">
        <v>688</v>
      </c>
      <c r="Q2643" t="s">
        <v>5620</v>
      </c>
    </row>
    <row r="2644" spans="1:17" x14ac:dyDescent="0.3">
      <c r="A2644" t="s">
        <v>4664</v>
      </c>
      <c r="B2644" t="str">
        <f>"000985"</f>
        <v>000985</v>
      </c>
      <c r="C2644" t="s">
        <v>5621</v>
      </c>
      <c r="D2644" t="s">
        <v>1615</v>
      </c>
      <c r="F2644">
        <v>14.0563</v>
      </c>
      <c r="G2644">
        <v>15.567500000000001</v>
      </c>
      <c r="H2644">
        <v>13.5962</v>
      </c>
      <c r="I2644">
        <v>20.089500000000001</v>
      </c>
      <c r="J2644">
        <v>15.444800000000001</v>
      </c>
      <c r="K2644">
        <v>23.392399999999999</v>
      </c>
      <c r="L2644">
        <v>31.569500000000001</v>
      </c>
      <c r="M2644">
        <v>25.005800000000001</v>
      </c>
      <c r="N2644">
        <v>33.463200000000001</v>
      </c>
      <c r="O2644">
        <v>36.4056</v>
      </c>
      <c r="P2644">
        <v>82</v>
      </c>
      <c r="Q2644" t="s">
        <v>5622</v>
      </c>
    </row>
    <row r="2645" spans="1:17" x14ac:dyDescent="0.3">
      <c r="A2645" t="s">
        <v>4664</v>
      </c>
      <c r="B2645" t="str">
        <f>"000987"</f>
        <v>000987</v>
      </c>
      <c r="C2645" t="s">
        <v>5623</v>
      </c>
      <c r="D2645" t="s">
        <v>140</v>
      </c>
      <c r="J2645">
        <v>21.969899999999999</v>
      </c>
      <c r="K2645">
        <v>24.002300000000002</v>
      </c>
      <c r="L2645">
        <v>31.3872</v>
      </c>
      <c r="M2645">
        <v>33.944299999999998</v>
      </c>
      <c r="N2645">
        <v>31.113199999999999</v>
      </c>
      <c r="O2645">
        <v>28.738900000000001</v>
      </c>
      <c r="P2645">
        <v>520</v>
      </c>
      <c r="Q2645" t="s">
        <v>5624</v>
      </c>
    </row>
    <row r="2646" spans="1:17" x14ac:dyDescent="0.3">
      <c r="A2646" t="s">
        <v>4664</v>
      </c>
      <c r="B2646" t="str">
        <f>"000988"</f>
        <v>000988</v>
      </c>
      <c r="C2646" t="s">
        <v>5625</v>
      </c>
      <c r="D2646" t="s">
        <v>3784</v>
      </c>
      <c r="F2646">
        <v>111.5415</v>
      </c>
      <c r="G2646">
        <v>156.1618</v>
      </c>
      <c r="H2646">
        <v>157.75810000000001</v>
      </c>
      <c r="I2646">
        <v>138.00040000000001</v>
      </c>
      <c r="J2646">
        <v>128.39150000000001</v>
      </c>
      <c r="K2646">
        <v>150.45400000000001</v>
      </c>
      <c r="L2646">
        <v>180.99109999999999</v>
      </c>
      <c r="M2646">
        <v>190.41640000000001</v>
      </c>
      <c r="N2646">
        <v>275.54770000000002</v>
      </c>
      <c r="O2646">
        <v>249.83320000000001</v>
      </c>
      <c r="P2646">
        <v>710</v>
      </c>
      <c r="Q2646" t="s">
        <v>5626</v>
      </c>
    </row>
    <row r="2647" spans="1:17" x14ac:dyDescent="0.3">
      <c r="A2647" t="s">
        <v>4664</v>
      </c>
      <c r="B2647" t="str">
        <f>"000989"</f>
        <v>000989</v>
      </c>
      <c r="C2647" t="s">
        <v>5627</v>
      </c>
      <c r="D2647" t="s">
        <v>188</v>
      </c>
      <c r="F2647">
        <v>207.95249999999999</v>
      </c>
      <c r="G2647">
        <v>208.2396</v>
      </c>
      <c r="H2647">
        <v>223.6215</v>
      </c>
      <c r="I2647">
        <v>235.96619999999999</v>
      </c>
      <c r="J2647">
        <v>238.04339999999999</v>
      </c>
      <c r="K2647">
        <v>249.2174</v>
      </c>
      <c r="L2647">
        <v>166.31460000000001</v>
      </c>
      <c r="M2647">
        <v>145.6189</v>
      </c>
      <c r="N2647">
        <v>173.64859999999999</v>
      </c>
      <c r="O2647">
        <v>179.46549999999999</v>
      </c>
      <c r="P2647">
        <v>370</v>
      </c>
      <c r="Q2647" t="s">
        <v>5628</v>
      </c>
    </row>
    <row r="2648" spans="1:17" x14ac:dyDescent="0.3">
      <c r="A2648" t="s">
        <v>4664</v>
      </c>
      <c r="B2648" t="str">
        <f>"000990"</f>
        <v>000990</v>
      </c>
      <c r="C2648" t="s">
        <v>5629</v>
      </c>
      <c r="D2648" t="s">
        <v>914</v>
      </c>
      <c r="F2648">
        <v>45.0349</v>
      </c>
      <c r="G2648">
        <v>51.468000000000004</v>
      </c>
      <c r="H2648">
        <v>88.632400000000004</v>
      </c>
      <c r="I2648">
        <v>74.100499999999997</v>
      </c>
      <c r="J2648">
        <v>75.986699999999999</v>
      </c>
      <c r="K2648">
        <v>72.9405</v>
      </c>
      <c r="L2648">
        <v>36.2179</v>
      </c>
      <c r="M2648">
        <v>22.847999999999999</v>
      </c>
      <c r="N2648">
        <v>23.395299999999999</v>
      </c>
      <c r="O2648">
        <v>24.121400000000001</v>
      </c>
      <c r="P2648">
        <v>194</v>
      </c>
      <c r="Q2648" t="s">
        <v>5630</v>
      </c>
    </row>
    <row r="2649" spans="1:17" x14ac:dyDescent="0.3">
      <c r="A2649" t="s">
        <v>4664</v>
      </c>
      <c r="B2649" t="str">
        <f>"000993"</f>
        <v>000993</v>
      </c>
      <c r="C2649" t="s">
        <v>5631</v>
      </c>
      <c r="D2649" t="s">
        <v>66</v>
      </c>
      <c r="F2649">
        <v>1537.3570999999999</v>
      </c>
      <c r="G2649">
        <v>1426.0775000000001</v>
      </c>
      <c r="H2649">
        <v>994.42639999999994</v>
      </c>
      <c r="I2649">
        <v>806.8021</v>
      </c>
      <c r="J2649">
        <v>551.07280000000003</v>
      </c>
      <c r="K2649">
        <v>1427.0662</v>
      </c>
      <c r="L2649">
        <v>684.24670000000003</v>
      </c>
      <c r="M2649">
        <v>1456.8108</v>
      </c>
      <c r="N2649">
        <v>418.98439999999999</v>
      </c>
      <c r="O2649">
        <v>363.70159999999998</v>
      </c>
      <c r="P2649">
        <v>163</v>
      </c>
      <c r="Q2649" t="s">
        <v>5632</v>
      </c>
    </row>
    <row r="2650" spans="1:17" x14ac:dyDescent="0.3">
      <c r="A2650" t="s">
        <v>4664</v>
      </c>
      <c r="B2650" t="str">
        <f>"000995"</f>
        <v>000995</v>
      </c>
      <c r="C2650" t="s">
        <v>5633</v>
      </c>
      <c r="D2650" t="s">
        <v>458</v>
      </c>
      <c r="F2650">
        <v>3384.3724999999999</v>
      </c>
      <c r="G2650">
        <v>3165.0542</v>
      </c>
      <c r="H2650">
        <v>2085.5715</v>
      </c>
      <c r="I2650">
        <v>2091.5277999999998</v>
      </c>
      <c r="J2650">
        <v>2278.5650000000001</v>
      </c>
      <c r="K2650">
        <v>563.72550000000001</v>
      </c>
      <c r="L2650">
        <v>3917.5967999999998</v>
      </c>
      <c r="M2650">
        <v>2942.5648000000001</v>
      </c>
      <c r="N2650">
        <v>2252.3494000000001</v>
      </c>
      <c r="O2650">
        <v>1249.8928000000001</v>
      </c>
      <c r="P2650">
        <v>175</v>
      </c>
      <c r="Q2650" t="s">
        <v>5634</v>
      </c>
    </row>
    <row r="2651" spans="1:17" x14ac:dyDescent="0.3">
      <c r="A2651" t="s">
        <v>4664</v>
      </c>
      <c r="B2651" t="str">
        <f>"000996"</f>
        <v>000996</v>
      </c>
      <c r="C2651" t="s">
        <v>5635</v>
      </c>
      <c r="D2651" t="s">
        <v>672</v>
      </c>
      <c r="F2651">
        <v>261.5412</v>
      </c>
      <c r="G2651">
        <v>352.7063</v>
      </c>
      <c r="H2651">
        <v>171.4333</v>
      </c>
      <c r="I2651">
        <v>200.49289999999999</v>
      </c>
      <c r="J2651">
        <v>200.64500000000001</v>
      </c>
      <c r="K2651">
        <v>94.619799999999998</v>
      </c>
      <c r="L2651">
        <v>145.5333</v>
      </c>
      <c r="M2651">
        <v>154.57050000000001</v>
      </c>
      <c r="N2651">
        <v>148.0489</v>
      </c>
      <c r="O2651">
        <v>208.64680000000001</v>
      </c>
      <c r="P2651">
        <v>70</v>
      </c>
      <c r="Q2651" t="s">
        <v>5636</v>
      </c>
    </row>
    <row r="2652" spans="1:17" x14ac:dyDescent="0.3">
      <c r="A2652" t="s">
        <v>4664</v>
      </c>
      <c r="B2652" t="str">
        <f>"000997"</f>
        <v>000997</v>
      </c>
      <c r="C2652" t="s">
        <v>5637</v>
      </c>
      <c r="D2652" t="s">
        <v>236</v>
      </c>
      <c r="F2652">
        <v>101.0012</v>
      </c>
      <c r="G2652">
        <v>108.6561</v>
      </c>
      <c r="H2652">
        <v>145.51589999999999</v>
      </c>
      <c r="I2652">
        <v>136.52590000000001</v>
      </c>
      <c r="J2652">
        <v>192.1472</v>
      </c>
      <c r="K2652">
        <v>382.42660000000001</v>
      </c>
      <c r="L2652">
        <v>460.49549999999999</v>
      </c>
      <c r="M2652">
        <v>648.33989999999994</v>
      </c>
      <c r="N2652">
        <v>861.78819999999996</v>
      </c>
      <c r="O2652">
        <v>771.35540000000003</v>
      </c>
      <c r="P2652">
        <v>581</v>
      </c>
      <c r="Q2652" t="s">
        <v>5638</v>
      </c>
    </row>
    <row r="2653" spans="1:17" x14ac:dyDescent="0.3">
      <c r="A2653" t="s">
        <v>4664</v>
      </c>
      <c r="B2653" t="str">
        <f>"000998"</f>
        <v>000998</v>
      </c>
      <c r="C2653" t="s">
        <v>5639</v>
      </c>
      <c r="D2653" t="s">
        <v>706</v>
      </c>
      <c r="F2653">
        <v>1440.0328999999999</v>
      </c>
      <c r="G2653">
        <v>2116.2121999999999</v>
      </c>
      <c r="H2653">
        <v>1709.1375</v>
      </c>
      <c r="I2653">
        <v>1125.0118</v>
      </c>
      <c r="J2653">
        <v>904.36950000000002</v>
      </c>
      <c r="K2653">
        <v>673.62390000000005</v>
      </c>
      <c r="L2653">
        <v>676.18629999999996</v>
      </c>
      <c r="M2653">
        <v>815.68449999999996</v>
      </c>
      <c r="N2653">
        <v>715.60820000000001</v>
      </c>
      <c r="O2653">
        <v>494.10829999999999</v>
      </c>
      <c r="P2653">
        <v>649</v>
      </c>
      <c r="Q2653" t="s">
        <v>5640</v>
      </c>
    </row>
    <row r="2654" spans="1:17" x14ac:dyDescent="0.3">
      <c r="A2654" t="s">
        <v>4664</v>
      </c>
      <c r="B2654" t="str">
        <f>"000999"</f>
        <v>000999</v>
      </c>
      <c r="C2654" t="s">
        <v>5641</v>
      </c>
      <c r="D2654" t="s">
        <v>188</v>
      </c>
      <c r="F2654">
        <v>162.20650000000001</v>
      </c>
      <c r="G2654">
        <v>166.96809999999999</v>
      </c>
      <c r="H2654">
        <v>164.6474</v>
      </c>
      <c r="I2654">
        <v>151.0489</v>
      </c>
      <c r="J2654">
        <v>135.994</v>
      </c>
      <c r="K2654">
        <v>154.41720000000001</v>
      </c>
      <c r="L2654">
        <v>153.34139999999999</v>
      </c>
      <c r="M2654">
        <v>155.3124</v>
      </c>
      <c r="N2654">
        <v>138.6807</v>
      </c>
      <c r="O2654">
        <v>135.50640000000001</v>
      </c>
      <c r="P2654">
        <v>5773</v>
      </c>
      <c r="Q2654" t="s">
        <v>5642</v>
      </c>
    </row>
    <row r="2655" spans="1:17" x14ac:dyDescent="0.3">
      <c r="A2655" t="s">
        <v>4664</v>
      </c>
      <c r="B2655" t="str">
        <f>"001201"</f>
        <v>001201</v>
      </c>
      <c r="C2655" t="s">
        <v>5643</v>
      </c>
      <c r="D2655" t="s">
        <v>1894</v>
      </c>
      <c r="F2655">
        <v>163.6336</v>
      </c>
      <c r="P2655">
        <v>61</v>
      </c>
      <c r="Q2655" t="s">
        <v>5644</v>
      </c>
    </row>
    <row r="2656" spans="1:17" x14ac:dyDescent="0.3">
      <c r="A2656" t="s">
        <v>4664</v>
      </c>
      <c r="B2656" t="str">
        <f>"001202"</f>
        <v>001202</v>
      </c>
      <c r="C2656" t="s">
        <v>5645</v>
      </c>
      <c r="D2656" t="s">
        <v>128</v>
      </c>
      <c r="F2656">
        <v>23.044699999999999</v>
      </c>
      <c r="P2656">
        <v>32</v>
      </c>
      <c r="Q2656" t="s">
        <v>5646</v>
      </c>
    </row>
    <row r="2657" spans="1:17" x14ac:dyDescent="0.3">
      <c r="A2657" t="s">
        <v>4664</v>
      </c>
      <c r="B2657" t="str">
        <f>"001203"</f>
        <v>001203</v>
      </c>
      <c r="C2657" t="s">
        <v>5647</v>
      </c>
      <c r="D2657" t="s">
        <v>2367</v>
      </c>
      <c r="F2657">
        <v>53.771000000000001</v>
      </c>
      <c r="P2657">
        <v>80</v>
      </c>
      <c r="Q2657" t="s">
        <v>5648</v>
      </c>
    </row>
    <row r="2658" spans="1:17" x14ac:dyDescent="0.3">
      <c r="A2658" t="s">
        <v>4664</v>
      </c>
      <c r="B2658" t="str">
        <f>"001205"</f>
        <v>001205</v>
      </c>
      <c r="C2658" t="s">
        <v>5649</v>
      </c>
      <c r="D2658" t="s">
        <v>69</v>
      </c>
      <c r="F2658">
        <v>41.200600000000001</v>
      </c>
      <c r="P2658">
        <v>44</v>
      </c>
      <c r="Q2658" t="s">
        <v>5650</v>
      </c>
    </row>
    <row r="2659" spans="1:17" x14ac:dyDescent="0.3">
      <c r="A2659" t="s">
        <v>4664</v>
      </c>
      <c r="B2659" t="str">
        <f>"001206"</f>
        <v>001206</v>
      </c>
      <c r="C2659" t="s">
        <v>5651</v>
      </c>
      <c r="D2659" t="s">
        <v>2728</v>
      </c>
      <c r="F2659">
        <v>54.887700000000002</v>
      </c>
      <c r="P2659">
        <v>53</v>
      </c>
      <c r="Q2659" t="s">
        <v>5652</v>
      </c>
    </row>
    <row r="2660" spans="1:17" x14ac:dyDescent="0.3">
      <c r="A2660" t="s">
        <v>4664</v>
      </c>
      <c r="B2660" t="str">
        <f>"001207"</f>
        <v>001207</v>
      </c>
      <c r="C2660" t="s">
        <v>5653</v>
      </c>
      <c r="D2660" t="s">
        <v>3619</v>
      </c>
      <c r="F2660">
        <v>49.969700000000003</v>
      </c>
      <c r="P2660">
        <v>25</v>
      </c>
      <c r="Q2660" t="s">
        <v>5654</v>
      </c>
    </row>
    <row r="2661" spans="1:17" x14ac:dyDescent="0.3">
      <c r="A2661" t="s">
        <v>4664</v>
      </c>
      <c r="B2661" t="str">
        <f>"001208"</f>
        <v>001208</v>
      </c>
      <c r="C2661" t="s">
        <v>5655</v>
      </c>
      <c r="D2661" t="s">
        <v>1164</v>
      </c>
      <c r="F2661">
        <v>93.371700000000004</v>
      </c>
      <c r="P2661">
        <v>66</v>
      </c>
      <c r="Q2661" t="s">
        <v>5656</v>
      </c>
    </row>
    <row r="2662" spans="1:17" x14ac:dyDescent="0.3">
      <c r="A2662" t="s">
        <v>4664</v>
      </c>
      <c r="B2662" t="str">
        <f>"001209"</f>
        <v>001209</v>
      </c>
      <c r="C2662" t="s">
        <v>5657</v>
      </c>
      <c r="D2662" t="s">
        <v>255</v>
      </c>
      <c r="F2662">
        <v>227.54599999999999</v>
      </c>
      <c r="P2662">
        <v>22</v>
      </c>
      <c r="Q2662" t="s">
        <v>5658</v>
      </c>
    </row>
    <row r="2663" spans="1:17" x14ac:dyDescent="0.3">
      <c r="A2663" t="s">
        <v>4664</v>
      </c>
      <c r="B2663" t="str">
        <f>"001210"</f>
        <v>001210</v>
      </c>
      <c r="C2663" t="s">
        <v>5659</v>
      </c>
      <c r="D2663" t="s">
        <v>351</v>
      </c>
      <c r="F2663">
        <v>16.059000000000001</v>
      </c>
      <c r="P2663">
        <v>27</v>
      </c>
      <c r="Q2663" t="s">
        <v>5660</v>
      </c>
    </row>
    <row r="2664" spans="1:17" x14ac:dyDescent="0.3">
      <c r="A2664" t="s">
        <v>4664</v>
      </c>
      <c r="B2664" t="str">
        <f>"001211"</f>
        <v>001211</v>
      </c>
      <c r="C2664" t="s">
        <v>5661</v>
      </c>
      <c r="D2664" t="s">
        <v>2436</v>
      </c>
      <c r="F2664">
        <v>153.32320000000001</v>
      </c>
      <c r="P2664">
        <v>13</v>
      </c>
      <c r="Q2664" t="s">
        <v>5662</v>
      </c>
    </row>
    <row r="2665" spans="1:17" x14ac:dyDescent="0.3">
      <c r="A2665" t="s">
        <v>4664</v>
      </c>
      <c r="B2665" t="str">
        <f>"001212"</f>
        <v>001212</v>
      </c>
      <c r="C2665" t="s">
        <v>5663</v>
      </c>
      <c r="D2665" t="s">
        <v>722</v>
      </c>
      <c r="F2665">
        <v>115.8918</v>
      </c>
      <c r="P2665">
        <v>19</v>
      </c>
      <c r="Q2665" t="s">
        <v>5664</v>
      </c>
    </row>
    <row r="2666" spans="1:17" x14ac:dyDescent="0.3">
      <c r="A2666" t="s">
        <v>4664</v>
      </c>
      <c r="B2666" t="str">
        <f>"001213"</f>
        <v>001213</v>
      </c>
      <c r="C2666" t="s">
        <v>5665</v>
      </c>
      <c r="D2666" t="s">
        <v>301</v>
      </c>
      <c r="F2666">
        <v>2.6082000000000001</v>
      </c>
      <c r="P2666">
        <v>27</v>
      </c>
      <c r="Q2666" t="s">
        <v>5666</v>
      </c>
    </row>
    <row r="2667" spans="1:17" x14ac:dyDescent="0.3">
      <c r="A2667" t="s">
        <v>4664</v>
      </c>
      <c r="B2667" t="str">
        <f>"001215"</f>
        <v>001215</v>
      </c>
      <c r="C2667" t="s">
        <v>5667</v>
      </c>
      <c r="D2667" t="s">
        <v>2838</v>
      </c>
      <c r="F2667">
        <v>67.643199999999993</v>
      </c>
      <c r="P2667">
        <v>59</v>
      </c>
      <c r="Q2667" t="s">
        <v>5668</v>
      </c>
    </row>
    <row r="2668" spans="1:17" x14ac:dyDescent="0.3">
      <c r="A2668" t="s">
        <v>4664</v>
      </c>
      <c r="B2668" t="str">
        <f>"001216"</f>
        <v>001216</v>
      </c>
      <c r="C2668" t="s">
        <v>5669</v>
      </c>
      <c r="D2668" t="s">
        <v>2436</v>
      </c>
      <c r="F2668">
        <v>94.494299999999996</v>
      </c>
      <c r="P2668">
        <v>19</v>
      </c>
      <c r="Q2668" t="s">
        <v>5670</v>
      </c>
    </row>
    <row r="2669" spans="1:17" x14ac:dyDescent="0.3">
      <c r="A2669" t="s">
        <v>4664</v>
      </c>
      <c r="B2669" t="str">
        <f>"001217"</f>
        <v>001217</v>
      </c>
      <c r="C2669" t="s">
        <v>5671</v>
      </c>
      <c r="D2669" t="s">
        <v>1233</v>
      </c>
      <c r="F2669">
        <v>38.635800000000003</v>
      </c>
      <c r="P2669">
        <v>27</v>
      </c>
      <c r="Q2669" t="s">
        <v>5672</v>
      </c>
    </row>
    <row r="2670" spans="1:17" x14ac:dyDescent="0.3">
      <c r="A2670" t="s">
        <v>4664</v>
      </c>
      <c r="B2670" t="str">
        <f>"001218"</f>
        <v>001218</v>
      </c>
      <c r="C2670" t="s">
        <v>5673</v>
      </c>
      <c r="D2670" t="s">
        <v>386</v>
      </c>
      <c r="F2670">
        <v>50.135199999999998</v>
      </c>
      <c r="P2670">
        <v>15</v>
      </c>
      <c r="Q2670" t="s">
        <v>5674</v>
      </c>
    </row>
    <row r="2671" spans="1:17" x14ac:dyDescent="0.3">
      <c r="A2671" t="s">
        <v>4664</v>
      </c>
      <c r="B2671" t="str">
        <f>"001219"</f>
        <v>001219</v>
      </c>
      <c r="C2671" t="s">
        <v>5675</v>
      </c>
      <c r="D2671" t="s">
        <v>2479</v>
      </c>
      <c r="F2671">
        <v>49.970399999999998</v>
      </c>
      <c r="P2671">
        <v>33</v>
      </c>
      <c r="Q2671" t="s">
        <v>5676</v>
      </c>
    </row>
    <row r="2672" spans="1:17" x14ac:dyDescent="0.3">
      <c r="A2672" t="s">
        <v>4664</v>
      </c>
      <c r="B2672" t="str">
        <f>"001227"</f>
        <v>001227</v>
      </c>
      <c r="C2672" t="s">
        <v>5677</v>
      </c>
      <c r="D2672" t="s">
        <v>1838</v>
      </c>
      <c r="P2672">
        <v>31</v>
      </c>
      <c r="Q2672" t="s">
        <v>5678</v>
      </c>
    </row>
    <row r="2673" spans="1:17" x14ac:dyDescent="0.3">
      <c r="A2673" t="s">
        <v>4664</v>
      </c>
      <c r="B2673" t="str">
        <f>"001234"</f>
        <v>001234</v>
      </c>
      <c r="C2673" t="s">
        <v>5679</v>
      </c>
      <c r="D2673" t="s">
        <v>366</v>
      </c>
      <c r="F2673">
        <v>98.027699999999996</v>
      </c>
      <c r="P2673">
        <v>16</v>
      </c>
      <c r="Q2673" t="s">
        <v>5680</v>
      </c>
    </row>
    <row r="2674" spans="1:17" x14ac:dyDescent="0.3">
      <c r="A2674" t="s">
        <v>4664</v>
      </c>
      <c r="B2674" t="str">
        <f>"001267"</f>
        <v>001267</v>
      </c>
      <c r="C2674" t="s">
        <v>5681</v>
      </c>
      <c r="D2674" t="s">
        <v>2408</v>
      </c>
      <c r="F2674">
        <v>128.68129999999999</v>
      </c>
      <c r="P2674">
        <v>10</v>
      </c>
      <c r="Q2674" t="s">
        <v>5682</v>
      </c>
    </row>
    <row r="2675" spans="1:17" x14ac:dyDescent="0.3">
      <c r="A2675" t="s">
        <v>4664</v>
      </c>
      <c r="B2675" t="str">
        <f>"001288"</f>
        <v>001288</v>
      </c>
      <c r="C2675" t="s">
        <v>5683</v>
      </c>
      <c r="D2675" t="s">
        <v>395</v>
      </c>
      <c r="F2675">
        <v>119.1262</v>
      </c>
      <c r="P2675">
        <v>14</v>
      </c>
      <c r="Q2675" t="s">
        <v>5684</v>
      </c>
    </row>
    <row r="2676" spans="1:17" x14ac:dyDescent="0.3">
      <c r="A2676" t="s">
        <v>4664</v>
      </c>
      <c r="B2676" t="str">
        <f>"001296"</f>
        <v>001296</v>
      </c>
      <c r="C2676" t="s">
        <v>5685</v>
      </c>
      <c r="D2676" t="s">
        <v>2739</v>
      </c>
      <c r="F2676">
        <v>152.3974</v>
      </c>
      <c r="P2676">
        <v>15</v>
      </c>
      <c r="Q2676" t="s">
        <v>5686</v>
      </c>
    </row>
    <row r="2677" spans="1:17" x14ac:dyDescent="0.3">
      <c r="A2677" t="s">
        <v>4664</v>
      </c>
      <c r="B2677" t="str">
        <f>"001313"</f>
        <v>001313</v>
      </c>
      <c r="C2677" t="s">
        <v>5687</v>
      </c>
      <c r="F2677">
        <v>43.988999999999997</v>
      </c>
      <c r="P2677">
        <v>10</v>
      </c>
      <c r="Q2677" t="s">
        <v>5688</v>
      </c>
    </row>
    <row r="2678" spans="1:17" x14ac:dyDescent="0.3">
      <c r="A2678" t="s">
        <v>4664</v>
      </c>
      <c r="B2678" t="str">
        <f>"001317"</f>
        <v>001317</v>
      </c>
      <c r="C2678" t="s">
        <v>5689</v>
      </c>
      <c r="D2678" t="s">
        <v>301</v>
      </c>
      <c r="F2678">
        <v>5.7824</v>
      </c>
      <c r="P2678">
        <v>23</v>
      </c>
      <c r="Q2678" t="s">
        <v>5690</v>
      </c>
    </row>
    <row r="2679" spans="1:17" x14ac:dyDescent="0.3">
      <c r="A2679" t="s">
        <v>4664</v>
      </c>
      <c r="B2679" t="str">
        <f>"001696"</f>
        <v>001696</v>
      </c>
      <c r="C2679" t="s">
        <v>5691</v>
      </c>
      <c r="D2679" t="s">
        <v>560</v>
      </c>
      <c r="F2679">
        <v>51.773200000000003</v>
      </c>
      <c r="G2679">
        <v>50.365200000000002</v>
      </c>
      <c r="H2679">
        <v>58.8598</v>
      </c>
      <c r="I2679">
        <v>46.779800000000002</v>
      </c>
      <c r="J2679">
        <v>44.472900000000003</v>
      </c>
      <c r="K2679">
        <v>53.642099999999999</v>
      </c>
      <c r="L2679">
        <v>39.761600000000001</v>
      </c>
      <c r="M2679">
        <v>42.396599999999999</v>
      </c>
      <c r="N2679">
        <v>36.617199999999997</v>
      </c>
      <c r="O2679">
        <v>28.744599999999998</v>
      </c>
      <c r="P2679">
        <v>274</v>
      </c>
      <c r="Q2679" t="s">
        <v>5692</v>
      </c>
    </row>
    <row r="2680" spans="1:17" x14ac:dyDescent="0.3">
      <c r="A2680" t="s">
        <v>4664</v>
      </c>
      <c r="B2680" t="str">
        <f>"001872"</f>
        <v>001872</v>
      </c>
      <c r="C2680" t="s">
        <v>5693</v>
      </c>
      <c r="D2680" t="s">
        <v>51</v>
      </c>
      <c r="F2680">
        <v>12.0052</v>
      </c>
      <c r="G2680">
        <v>12.194699999999999</v>
      </c>
      <c r="H2680">
        <v>9.2334999999999994</v>
      </c>
      <c r="I2680">
        <v>7.1744000000000003</v>
      </c>
      <c r="J2680">
        <v>7.0968999999999998</v>
      </c>
      <c r="K2680">
        <v>8.4315999999999995</v>
      </c>
      <c r="L2680">
        <v>9.4877000000000002</v>
      </c>
      <c r="M2680">
        <v>11.0319</v>
      </c>
      <c r="N2680">
        <v>12.9674</v>
      </c>
      <c r="O2680">
        <v>13.6378</v>
      </c>
      <c r="P2680">
        <v>254</v>
      </c>
      <c r="Q2680" t="s">
        <v>5694</v>
      </c>
    </row>
    <row r="2681" spans="1:17" x14ac:dyDescent="0.3">
      <c r="A2681" t="s">
        <v>4664</v>
      </c>
      <c r="B2681" t="str">
        <f>"001896"</f>
        <v>001896</v>
      </c>
      <c r="C2681" t="s">
        <v>5695</v>
      </c>
      <c r="D2681" t="s">
        <v>41</v>
      </c>
      <c r="F2681">
        <v>24.765599999999999</v>
      </c>
      <c r="G2681">
        <v>37.023600000000002</v>
      </c>
      <c r="H2681">
        <v>37.228200000000001</v>
      </c>
      <c r="I2681">
        <v>36.414200000000001</v>
      </c>
      <c r="J2681">
        <v>25.136399999999998</v>
      </c>
      <c r="K2681">
        <v>22.378399999999999</v>
      </c>
      <c r="L2681">
        <v>42.687899999999999</v>
      </c>
      <c r="M2681">
        <v>30.3599</v>
      </c>
      <c r="N2681">
        <v>30.482299999999999</v>
      </c>
      <c r="O2681">
        <v>34.685200000000002</v>
      </c>
      <c r="P2681">
        <v>202</v>
      </c>
      <c r="Q2681" t="s">
        <v>5696</v>
      </c>
    </row>
    <row r="2682" spans="1:17" x14ac:dyDescent="0.3">
      <c r="A2682" t="s">
        <v>4664</v>
      </c>
      <c r="B2682" t="str">
        <f>"001914"</f>
        <v>001914</v>
      </c>
      <c r="C2682" t="s">
        <v>5697</v>
      </c>
      <c r="D2682" t="s">
        <v>2948</v>
      </c>
      <c r="F2682">
        <v>83.197800000000001</v>
      </c>
      <c r="G2682">
        <v>114.9348</v>
      </c>
      <c r="H2682">
        <v>193.98509999999999</v>
      </c>
      <c r="I2682">
        <v>463.61930000000001</v>
      </c>
      <c r="J2682">
        <v>774.97339999999997</v>
      </c>
      <c r="K2682">
        <v>1216.4401</v>
      </c>
      <c r="L2682">
        <v>1811.3456000000001</v>
      </c>
      <c r="M2682">
        <v>1827.5990999999999</v>
      </c>
      <c r="N2682">
        <v>1436.8637000000001</v>
      </c>
      <c r="O2682">
        <v>1919.2329999999999</v>
      </c>
      <c r="P2682">
        <v>264</v>
      </c>
      <c r="Q2682" t="s">
        <v>5698</v>
      </c>
    </row>
    <row r="2683" spans="1:17" x14ac:dyDescent="0.3">
      <c r="A2683" t="s">
        <v>4664</v>
      </c>
      <c r="B2683" t="str">
        <f>"001965"</f>
        <v>001965</v>
      </c>
      <c r="C2683" t="s">
        <v>5699</v>
      </c>
      <c r="D2683" t="s">
        <v>44</v>
      </c>
      <c r="F2683">
        <v>35.149000000000001</v>
      </c>
      <c r="G2683">
        <v>126.8698</v>
      </c>
      <c r="H2683">
        <v>180.827</v>
      </c>
      <c r="I2683">
        <v>197.46960000000001</v>
      </c>
      <c r="J2683">
        <v>102.20269999999999</v>
      </c>
      <c r="P2683">
        <v>359</v>
      </c>
      <c r="Q2683" t="s">
        <v>5700</v>
      </c>
    </row>
    <row r="2684" spans="1:17" x14ac:dyDescent="0.3">
      <c r="A2684" t="s">
        <v>4664</v>
      </c>
      <c r="B2684" t="str">
        <f>"001979"</f>
        <v>001979</v>
      </c>
      <c r="C2684" t="s">
        <v>5701</v>
      </c>
      <c r="D2684" t="s">
        <v>30</v>
      </c>
      <c r="F2684">
        <v>2266.5796</v>
      </c>
      <c r="G2684">
        <v>3211.3126000000002</v>
      </c>
      <c r="H2684">
        <v>5378.4759000000004</v>
      </c>
      <c r="I2684">
        <v>3582.4580999999998</v>
      </c>
      <c r="J2684">
        <v>2395.3346000000001</v>
      </c>
      <c r="K2684">
        <v>1961.2972</v>
      </c>
      <c r="L2684">
        <v>2407.8768</v>
      </c>
      <c r="M2684">
        <v>881.87139999999999</v>
      </c>
      <c r="P2684">
        <v>1456</v>
      </c>
      <c r="Q2684" t="s">
        <v>5702</v>
      </c>
    </row>
    <row r="2685" spans="1:17" x14ac:dyDescent="0.3">
      <c r="A2685" t="s">
        <v>4664</v>
      </c>
      <c r="B2685" t="str">
        <f>"002001"</f>
        <v>002001</v>
      </c>
      <c r="C2685" t="s">
        <v>5703</v>
      </c>
      <c r="D2685" t="s">
        <v>496</v>
      </c>
      <c r="F2685">
        <v>198.8605</v>
      </c>
      <c r="G2685">
        <v>260.22109999999998</v>
      </c>
      <c r="H2685">
        <v>168.36510000000001</v>
      </c>
      <c r="I2685">
        <v>194.51329999999999</v>
      </c>
      <c r="J2685">
        <v>193.69800000000001</v>
      </c>
      <c r="K2685">
        <v>206.2422</v>
      </c>
      <c r="L2685">
        <v>211.75579999999999</v>
      </c>
      <c r="M2685">
        <v>247.88460000000001</v>
      </c>
      <c r="N2685">
        <v>254.74010000000001</v>
      </c>
      <c r="O2685">
        <v>275.59570000000002</v>
      </c>
      <c r="P2685">
        <v>1984</v>
      </c>
      <c r="Q2685" t="s">
        <v>5704</v>
      </c>
    </row>
    <row r="2686" spans="1:17" x14ac:dyDescent="0.3">
      <c r="A2686" t="s">
        <v>4664</v>
      </c>
      <c r="B2686" t="str">
        <f>"002002"</f>
        <v>002002</v>
      </c>
      <c r="C2686" t="s">
        <v>5705</v>
      </c>
      <c r="D2686" t="s">
        <v>175</v>
      </c>
      <c r="F2686">
        <v>79.442400000000006</v>
      </c>
      <c r="G2686">
        <v>91.874700000000004</v>
      </c>
      <c r="H2686">
        <v>7.4539</v>
      </c>
      <c r="I2686">
        <v>100.9727</v>
      </c>
      <c r="J2686">
        <v>76.5685</v>
      </c>
      <c r="K2686">
        <v>60.177700000000002</v>
      </c>
      <c r="L2686">
        <v>64.041399999999996</v>
      </c>
      <c r="M2686">
        <v>54.151400000000002</v>
      </c>
      <c r="N2686">
        <v>27.2759</v>
      </c>
      <c r="O2686">
        <v>57.106499999999997</v>
      </c>
      <c r="P2686">
        <v>451</v>
      </c>
      <c r="Q2686" t="s">
        <v>5706</v>
      </c>
    </row>
    <row r="2687" spans="1:17" x14ac:dyDescent="0.3">
      <c r="A2687" t="s">
        <v>4664</v>
      </c>
      <c r="B2687" t="str">
        <f>"002003"</f>
        <v>002003</v>
      </c>
      <c r="C2687" t="s">
        <v>5707</v>
      </c>
      <c r="D2687" t="s">
        <v>2929</v>
      </c>
      <c r="F2687">
        <v>112.02760000000001</v>
      </c>
      <c r="G2687">
        <v>121.4455</v>
      </c>
      <c r="H2687">
        <v>99.894199999999998</v>
      </c>
      <c r="I2687">
        <v>100.4983</v>
      </c>
      <c r="J2687">
        <v>100.4003</v>
      </c>
      <c r="K2687">
        <v>100.0033</v>
      </c>
      <c r="L2687">
        <v>93.7898</v>
      </c>
      <c r="M2687">
        <v>85.779799999999994</v>
      </c>
      <c r="N2687">
        <v>86.522999999999996</v>
      </c>
      <c r="O2687">
        <v>100.1842</v>
      </c>
      <c r="P2687">
        <v>761</v>
      </c>
      <c r="Q2687" t="s">
        <v>5708</v>
      </c>
    </row>
    <row r="2688" spans="1:17" x14ac:dyDescent="0.3">
      <c r="A2688" t="s">
        <v>4664</v>
      </c>
      <c r="B2688" t="str">
        <f>"002004"</f>
        <v>002004</v>
      </c>
      <c r="C2688" t="s">
        <v>5709</v>
      </c>
      <c r="D2688" t="s">
        <v>143</v>
      </c>
      <c r="F2688">
        <v>149.68629999999999</v>
      </c>
      <c r="G2688">
        <v>162.3759</v>
      </c>
      <c r="H2688">
        <v>177.18809999999999</v>
      </c>
      <c r="I2688">
        <v>152.45140000000001</v>
      </c>
      <c r="J2688">
        <v>134.93950000000001</v>
      </c>
      <c r="K2688">
        <v>141.88720000000001</v>
      </c>
      <c r="L2688">
        <v>111.9864</v>
      </c>
      <c r="M2688">
        <v>106.54389999999999</v>
      </c>
      <c r="N2688">
        <v>88.765600000000006</v>
      </c>
      <c r="O2688">
        <v>83.215299999999999</v>
      </c>
      <c r="P2688">
        <v>328</v>
      </c>
      <c r="Q2688" t="s">
        <v>5710</v>
      </c>
    </row>
    <row r="2689" spans="1:17" x14ac:dyDescent="0.3">
      <c r="A2689" t="s">
        <v>4664</v>
      </c>
      <c r="B2689" t="str">
        <f>"002005"</f>
        <v>002005</v>
      </c>
      <c r="C2689" t="s">
        <v>5711</v>
      </c>
      <c r="D2689" t="s">
        <v>5712</v>
      </c>
      <c r="F2689">
        <v>90.278800000000004</v>
      </c>
      <c r="G2689">
        <v>95.721100000000007</v>
      </c>
      <c r="H2689">
        <v>102.0025</v>
      </c>
      <c r="I2689">
        <v>123.6665</v>
      </c>
      <c r="J2689">
        <v>134.0222</v>
      </c>
      <c r="K2689">
        <v>175.1035</v>
      </c>
      <c r="L2689">
        <v>176.26480000000001</v>
      </c>
      <c r="M2689">
        <v>180.2458</v>
      </c>
      <c r="N2689">
        <v>198.9229</v>
      </c>
      <c r="O2689">
        <v>203.52860000000001</v>
      </c>
      <c r="P2689">
        <v>74</v>
      </c>
      <c r="Q2689" t="s">
        <v>5713</v>
      </c>
    </row>
    <row r="2690" spans="1:17" x14ac:dyDescent="0.3">
      <c r="A2690" t="s">
        <v>4664</v>
      </c>
      <c r="B2690" t="str">
        <f>"002006"</f>
        <v>002006</v>
      </c>
      <c r="C2690" t="s">
        <v>5714</v>
      </c>
      <c r="D2690" t="s">
        <v>741</v>
      </c>
      <c r="F2690">
        <v>202.6404</v>
      </c>
      <c r="G2690">
        <v>275.48689999999999</v>
      </c>
      <c r="H2690">
        <v>278.87200000000001</v>
      </c>
      <c r="I2690">
        <v>196.7389</v>
      </c>
      <c r="J2690">
        <v>245.4606</v>
      </c>
      <c r="K2690">
        <v>216.57149999999999</v>
      </c>
      <c r="L2690">
        <v>426.41629999999998</v>
      </c>
      <c r="M2690">
        <v>245.9607</v>
      </c>
      <c r="N2690">
        <v>368.05849999999998</v>
      </c>
      <c r="O2690">
        <v>458.96859999999998</v>
      </c>
      <c r="P2690">
        <v>127</v>
      </c>
      <c r="Q2690" t="s">
        <v>5715</v>
      </c>
    </row>
    <row r="2691" spans="1:17" x14ac:dyDescent="0.3">
      <c r="A2691" t="s">
        <v>4664</v>
      </c>
      <c r="B2691" t="str">
        <f>"002007"</f>
        <v>002007</v>
      </c>
      <c r="C2691" t="s">
        <v>5716</v>
      </c>
      <c r="D2691" t="s">
        <v>378</v>
      </c>
      <c r="F2691">
        <v>452.6626</v>
      </c>
      <c r="G2691">
        <v>428.35520000000002</v>
      </c>
      <c r="H2691">
        <v>446.61059999999998</v>
      </c>
      <c r="I2691">
        <v>562.54669999999999</v>
      </c>
      <c r="J2691">
        <v>614.39329999999995</v>
      </c>
      <c r="K2691">
        <v>478.5172</v>
      </c>
      <c r="L2691">
        <v>429.84179999999998</v>
      </c>
      <c r="M2691">
        <v>382.00569999999999</v>
      </c>
      <c r="N2691">
        <v>358.54840000000002</v>
      </c>
      <c r="O2691">
        <v>533.41359999999997</v>
      </c>
      <c r="P2691">
        <v>13194</v>
      </c>
      <c r="Q2691" t="s">
        <v>5717</v>
      </c>
    </row>
    <row r="2692" spans="1:17" x14ac:dyDescent="0.3">
      <c r="A2692" t="s">
        <v>4664</v>
      </c>
      <c r="B2692" t="str">
        <f>"002008"</f>
        <v>002008</v>
      </c>
      <c r="C2692" t="s">
        <v>5718</v>
      </c>
      <c r="D2692" t="s">
        <v>3784</v>
      </c>
      <c r="F2692">
        <v>223.61330000000001</v>
      </c>
      <c r="G2692">
        <v>213.3603</v>
      </c>
      <c r="H2692">
        <v>226.9032</v>
      </c>
      <c r="I2692">
        <v>177.27199999999999</v>
      </c>
      <c r="J2692">
        <v>172.62100000000001</v>
      </c>
      <c r="K2692">
        <v>227.7191</v>
      </c>
      <c r="L2692">
        <v>231.11930000000001</v>
      </c>
      <c r="M2692">
        <v>239.6234</v>
      </c>
      <c r="N2692">
        <v>280.37630000000001</v>
      </c>
      <c r="O2692">
        <v>291.70710000000003</v>
      </c>
      <c r="P2692">
        <v>4830</v>
      </c>
      <c r="Q2692" t="s">
        <v>5719</v>
      </c>
    </row>
    <row r="2693" spans="1:17" x14ac:dyDescent="0.3">
      <c r="A2693" t="s">
        <v>4664</v>
      </c>
      <c r="B2693" t="str">
        <f>"002009"</f>
        <v>002009</v>
      </c>
      <c r="C2693" t="s">
        <v>5720</v>
      </c>
      <c r="D2693" t="s">
        <v>741</v>
      </c>
      <c r="F2693">
        <v>141.4753</v>
      </c>
      <c r="G2693">
        <v>177.18389999999999</v>
      </c>
      <c r="H2693">
        <v>211.88929999999999</v>
      </c>
      <c r="I2693">
        <v>191.21960000000001</v>
      </c>
      <c r="J2693">
        <v>191.2302</v>
      </c>
      <c r="K2693">
        <v>208.37950000000001</v>
      </c>
      <c r="L2693">
        <v>288.16899999999998</v>
      </c>
      <c r="M2693">
        <v>379.77789999999999</v>
      </c>
      <c r="N2693">
        <v>366.52379999999999</v>
      </c>
      <c r="O2693">
        <v>347.26</v>
      </c>
      <c r="P2693">
        <v>148</v>
      </c>
      <c r="Q2693" t="s">
        <v>5721</v>
      </c>
    </row>
    <row r="2694" spans="1:17" x14ac:dyDescent="0.3">
      <c r="A2694" t="s">
        <v>4664</v>
      </c>
      <c r="B2694" t="str">
        <f>"002010"</f>
        <v>002010</v>
      </c>
      <c r="C2694" t="s">
        <v>5722</v>
      </c>
      <c r="D2694" t="s">
        <v>2492</v>
      </c>
      <c r="F2694">
        <v>24.260999999999999</v>
      </c>
      <c r="G2694">
        <v>41.266500000000001</v>
      </c>
      <c r="H2694">
        <v>53.680900000000001</v>
      </c>
      <c r="I2694">
        <v>40.554600000000001</v>
      </c>
      <c r="J2694">
        <v>29.8779</v>
      </c>
      <c r="K2694">
        <v>68.600300000000004</v>
      </c>
      <c r="L2694">
        <v>57.2</v>
      </c>
      <c r="M2694">
        <v>59.8932</v>
      </c>
      <c r="N2694">
        <v>55.840299999999999</v>
      </c>
      <c r="O2694">
        <v>63.339599999999997</v>
      </c>
      <c r="P2694">
        <v>279</v>
      </c>
      <c r="Q2694" t="s">
        <v>5723</v>
      </c>
    </row>
    <row r="2695" spans="1:17" x14ac:dyDescent="0.3">
      <c r="A2695" t="s">
        <v>4664</v>
      </c>
      <c r="B2695" t="str">
        <f>"002011"</f>
        <v>002011</v>
      </c>
      <c r="C2695" t="s">
        <v>5724</v>
      </c>
      <c r="D2695" t="s">
        <v>1253</v>
      </c>
      <c r="F2695">
        <v>75.828900000000004</v>
      </c>
      <c r="G2695">
        <v>85.096599999999995</v>
      </c>
      <c r="H2695">
        <v>69.692499999999995</v>
      </c>
      <c r="I2695">
        <v>91.289699999999996</v>
      </c>
      <c r="J2695">
        <v>100.3749</v>
      </c>
      <c r="K2695">
        <v>112.6816</v>
      </c>
      <c r="L2695">
        <v>99.103499999999997</v>
      </c>
      <c r="M2695">
        <v>99.2239</v>
      </c>
      <c r="N2695">
        <v>104.2269</v>
      </c>
      <c r="O2695">
        <v>75.009200000000007</v>
      </c>
      <c r="P2695">
        <v>201</v>
      </c>
      <c r="Q2695" t="s">
        <v>5725</v>
      </c>
    </row>
    <row r="2696" spans="1:17" x14ac:dyDescent="0.3">
      <c r="A2696" t="s">
        <v>4664</v>
      </c>
      <c r="B2696" t="str">
        <f>"002012"</f>
        <v>002012</v>
      </c>
      <c r="C2696" t="s">
        <v>5726</v>
      </c>
      <c r="D2696" t="s">
        <v>244</v>
      </c>
      <c r="F2696">
        <v>134.08779999999999</v>
      </c>
      <c r="G2696">
        <v>171.03469999999999</v>
      </c>
      <c r="H2696">
        <v>156.1465</v>
      </c>
      <c r="I2696">
        <v>151.6429</v>
      </c>
      <c r="J2696">
        <v>163.56020000000001</v>
      </c>
      <c r="K2696">
        <v>190.2927</v>
      </c>
      <c r="L2696">
        <v>169.30760000000001</v>
      </c>
      <c r="M2696">
        <v>165.9058</v>
      </c>
      <c r="N2696">
        <v>225.04939999999999</v>
      </c>
      <c r="O2696">
        <v>273.46949999999998</v>
      </c>
      <c r="P2696">
        <v>131</v>
      </c>
      <c r="Q2696" t="s">
        <v>5727</v>
      </c>
    </row>
    <row r="2697" spans="1:17" x14ac:dyDescent="0.3">
      <c r="A2697" t="s">
        <v>4664</v>
      </c>
      <c r="B2697" t="str">
        <f>"002013"</f>
        <v>002013</v>
      </c>
      <c r="C2697" t="s">
        <v>5728</v>
      </c>
      <c r="D2697" t="s">
        <v>98</v>
      </c>
      <c r="F2697">
        <v>219.3638</v>
      </c>
      <c r="G2697">
        <v>269.18279999999999</v>
      </c>
      <c r="H2697">
        <v>264.23090000000002</v>
      </c>
      <c r="I2697">
        <v>237.90350000000001</v>
      </c>
      <c r="J2697">
        <v>262.096</v>
      </c>
      <c r="K2697">
        <v>304.2346</v>
      </c>
      <c r="L2697">
        <v>305.0849</v>
      </c>
      <c r="M2697">
        <v>232.91370000000001</v>
      </c>
      <c r="N2697">
        <v>236.32599999999999</v>
      </c>
      <c r="O2697">
        <v>97.351500000000001</v>
      </c>
      <c r="P2697">
        <v>656</v>
      </c>
      <c r="Q2697" t="s">
        <v>5729</v>
      </c>
    </row>
    <row r="2698" spans="1:17" x14ac:dyDescent="0.3">
      <c r="A2698" t="s">
        <v>4664</v>
      </c>
      <c r="B2698" t="str">
        <f>"002014"</f>
        <v>002014</v>
      </c>
      <c r="C2698" t="s">
        <v>5730</v>
      </c>
      <c r="D2698" t="s">
        <v>485</v>
      </c>
      <c r="F2698">
        <v>62.372599999999998</v>
      </c>
      <c r="G2698">
        <v>59.2485</v>
      </c>
      <c r="H2698">
        <v>76.9773</v>
      </c>
      <c r="I2698">
        <v>93.494299999999996</v>
      </c>
      <c r="J2698">
        <v>91.6464</v>
      </c>
      <c r="K2698">
        <v>80.458100000000002</v>
      </c>
      <c r="L2698">
        <v>88.601799999999997</v>
      </c>
      <c r="M2698">
        <v>93.234300000000005</v>
      </c>
      <c r="N2698">
        <v>86.031899999999993</v>
      </c>
      <c r="O2698">
        <v>85.143900000000002</v>
      </c>
      <c r="P2698">
        <v>467</v>
      </c>
      <c r="Q2698" t="s">
        <v>5731</v>
      </c>
    </row>
    <row r="2699" spans="1:17" x14ac:dyDescent="0.3">
      <c r="A2699" t="s">
        <v>4664</v>
      </c>
      <c r="B2699" t="str">
        <f>"002015"</f>
        <v>002015</v>
      </c>
      <c r="C2699" t="s">
        <v>5732</v>
      </c>
      <c r="D2699" t="s">
        <v>351</v>
      </c>
      <c r="F2699">
        <v>10.8148</v>
      </c>
      <c r="G2699">
        <v>10.0845</v>
      </c>
      <c r="H2699">
        <v>10.019299999999999</v>
      </c>
      <c r="I2699">
        <v>156.614</v>
      </c>
      <c r="J2699">
        <v>176.2927</v>
      </c>
      <c r="K2699">
        <v>85.118399999999994</v>
      </c>
      <c r="L2699">
        <v>77.581100000000006</v>
      </c>
      <c r="M2699">
        <v>100.6707</v>
      </c>
      <c r="N2699">
        <v>206.16759999999999</v>
      </c>
      <c r="O2699">
        <v>230.9435</v>
      </c>
      <c r="P2699">
        <v>239</v>
      </c>
      <c r="Q2699" t="s">
        <v>5733</v>
      </c>
    </row>
    <row r="2700" spans="1:17" x14ac:dyDescent="0.3">
      <c r="A2700" t="s">
        <v>4664</v>
      </c>
      <c r="B2700" t="str">
        <f>"002016"</f>
        <v>002016</v>
      </c>
      <c r="C2700" t="s">
        <v>5734</v>
      </c>
      <c r="D2700" t="s">
        <v>104</v>
      </c>
      <c r="F2700">
        <v>3274.7022999999999</v>
      </c>
      <c r="G2700">
        <v>2203.8615</v>
      </c>
      <c r="H2700">
        <v>2191.9229</v>
      </c>
      <c r="I2700">
        <v>3105.3771999999999</v>
      </c>
      <c r="J2700">
        <v>1973.6912</v>
      </c>
      <c r="K2700">
        <v>1788.3008</v>
      </c>
      <c r="L2700">
        <v>1866.6618000000001</v>
      </c>
      <c r="M2700">
        <v>3435.7871</v>
      </c>
      <c r="N2700">
        <v>1939.4555</v>
      </c>
      <c r="O2700">
        <v>7279.3517000000002</v>
      </c>
      <c r="P2700">
        <v>457</v>
      </c>
      <c r="Q2700" t="s">
        <v>5735</v>
      </c>
    </row>
    <row r="2701" spans="1:17" x14ac:dyDescent="0.3">
      <c r="A2701" t="s">
        <v>4664</v>
      </c>
      <c r="B2701" t="str">
        <f>"002017"</f>
        <v>002017</v>
      </c>
      <c r="C2701" t="s">
        <v>5736</v>
      </c>
      <c r="D2701" t="s">
        <v>786</v>
      </c>
      <c r="F2701">
        <v>242.45939999999999</v>
      </c>
      <c r="G2701">
        <v>314.61869999999999</v>
      </c>
      <c r="H2701">
        <v>270.93720000000002</v>
      </c>
      <c r="I2701">
        <v>250.0034</v>
      </c>
      <c r="J2701">
        <v>239.64930000000001</v>
      </c>
      <c r="K2701">
        <v>259.23739999999998</v>
      </c>
      <c r="L2701">
        <v>266.27249999999998</v>
      </c>
      <c r="M2701">
        <v>248.71039999999999</v>
      </c>
      <c r="N2701">
        <v>254.85560000000001</v>
      </c>
      <c r="O2701">
        <v>290.358</v>
      </c>
      <c r="P2701">
        <v>216</v>
      </c>
      <c r="Q2701" t="s">
        <v>5737</v>
      </c>
    </row>
    <row r="2702" spans="1:17" x14ac:dyDescent="0.3">
      <c r="A2702" t="s">
        <v>4664</v>
      </c>
      <c r="B2702" t="str">
        <f>"002018"</f>
        <v>002018</v>
      </c>
      <c r="C2702" t="s">
        <v>5738</v>
      </c>
      <c r="H2702">
        <v>11.666700000000001</v>
      </c>
      <c r="I2702">
        <v>1.8081</v>
      </c>
      <c r="J2702">
        <v>2.1436000000000002</v>
      </c>
      <c r="K2702">
        <v>7.7200000000000005E-2</v>
      </c>
      <c r="L2702">
        <v>35.619599999999998</v>
      </c>
      <c r="M2702">
        <v>23.312100000000001</v>
      </c>
      <c r="N2702">
        <v>33.097700000000003</v>
      </c>
      <c r="O2702">
        <v>256.12740000000002</v>
      </c>
      <c r="P2702">
        <v>40</v>
      </c>
      <c r="Q2702" t="s">
        <v>5739</v>
      </c>
    </row>
    <row r="2703" spans="1:17" x14ac:dyDescent="0.3">
      <c r="A2703" t="s">
        <v>4664</v>
      </c>
      <c r="B2703" t="str">
        <f>"002019"</f>
        <v>002019</v>
      </c>
      <c r="C2703" t="s">
        <v>5740</v>
      </c>
      <c r="D2703" t="s">
        <v>143</v>
      </c>
      <c r="F2703">
        <v>110.11369999999999</v>
      </c>
      <c r="G2703">
        <v>100.60299999999999</v>
      </c>
      <c r="H2703">
        <v>92.634500000000003</v>
      </c>
      <c r="I2703">
        <v>76.401399999999995</v>
      </c>
      <c r="J2703">
        <v>102.77079999999999</v>
      </c>
      <c r="K2703">
        <v>100.273</v>
      </c>
      <c r="L2703">
        <v>102.3623</v>
      </c>
      <c r="M2703">
        <v>113.9448</v>
      </c>
      <c r="N2703">
        <v>155.93610000000001</v>
      </c>
      <c r="O2703">
        <v>158.233</v>
      </c>
      <c r="P2703">
        <v>974</v>
      </c>
      <c r="Q2703" t="s">
        <v>5741</v>
      </c>
    </row>
    <row r="2704" spans="1:17" x14ac:dyDescent="0.3">
      <c r="A2704" t="s">
        <v>4664</v>
      </c>
      <c r="B2704" t="str">
        <f>"002020"</f>
        <v>002020</v>
      </c>
      <c r="C2704" t="s">
        <v>5742</v>
      </c>
      <c r="D2704" t="s">
        <v>143</v>
      </c>
      <c r="F2704">
        <v>177.149</v>
      </c>
      <c r="G2704">
        <v>181.3741</v>
      </c>
      <c r="H2704">
        <v>131.66849999999999</v>
      </c>
      <c r="I2704">
        <v>140.2646</v>
      </c>
      <c r="J2704">
        <v>151.05590000000001</v>
      </c>
      <c r="K2704">
        <v>134.68340000000001</v>
      </c>
      <c r="L2704">
        <v>130.81739999999999</v>
      </c>
      <c r="M2704">
        <v>113.4847</v>
      </c>
      <c r="N2704">
        <v>133.64940000000001</v>
      </c>
      <c r="O2704">
        <v>112.9516</v>
      </c>
      <c r="P2704">
        <v>619</v>
      </c>
      <c r="Q2704" t="s">
        <v>5743</v>
      </c>
    </row>
    <row r="2705" spans="1:17" x14ac:dyDescent="0.3">
      <c r="A2705" t="s">
        <v>4664</v>
      </c>
      <c r="B2705" t="str">
        <f>"002021"</f>
        <v>002021</v>
      </c>
      <c r="C2705" t="s">
        <v>5744</v>
      </c>
      <c r="D2705" t="s">
        <v>534</v>
      </c>
      <c r="F2705">
        <v>182.45099999999999</v>
      </c>
      <c r="G2705">
        <v>236.39519999999999</v>
      </c>
      <c r="H2705">
        <v>232.25890000000001</v>
      </c>
      <c r="I2705">
        <v>143.0162</v>
      </c>
      <c r="J2705">
        <v>138.4598</v>
      </c>
      <c r="K2705">
        <v>200.97839999999999</v>
      </c>
      <c r="L2705">
        <v>258.85910000000001</v>
      </c>
      <c r="M2705">
        <v>255.56469999999999</v>
      </c>
      <c r="N2705">
        <v>206.68979999999999</v>
      </c>
      <c r="O2705">
        <v>269.83909999999997</v>
      </c>
      <c r="P2705">
        <v>57</v>
      </c>
      <c r="Q2705" t="s">
        <v>5745</v>
      </c>
    </row>
    <row r="2706" spans="1:17" x14ac:dyDescent="0.3">
      <c r="A2706" t="s">
        <v>4664</v>
      </c>
      <c r="B2706" t="str">
        <f>"002022"</f>
        <v>002022</v>
      </c>
      <c r="C2706" t="s">
        <v>5746</v>
      </c>
      <c r="D2706" t="s">
        <v>1305</v>
      </c>
      <c r="F2706">
        <v>184.9751</v>
      </c>
      <c r="G2706">
        <v>215.7122</v>
      </c>
      <c r="H2706">
        <v>195.60480000000001</v>
      </c>
      <c r="I2706">
        <v>189.32380000000001</v>
      </c>
      <c r="J2706">
        <v>177.4126</v>
      </c>
      <c r="K2706">
        <v>177.20580000000001</v>
      </c>
      <c r="L2706">
        <v>201.41550000000001</v>
      </c>
      <c r="M2706">
        <v>188.00700000000001</v>
      </c>
      <c r="N2706">
        <v>172.8776</v>
      </c>
      <c r="O2706">
        <v>122.99850000000001</v>
      </c>
      <c r="P2706">
        <v>1024</v>
      </c>
      <c r="Q2706" t="s">
        <v>5747</v>
      </c>
    </row>
    <row r="2707" spans="1:17" x14ac:dyDescent="0.3">
      <c r="A2707" t="s">
        <v>4664</v>
      </c>
      <c r="B2707" t="str">
        <f>"002023"</f>
        <v>002023</v>
      </c>
      <c r="C2707" t="s">
        <v>5748</v>
      </c>
      <c r="D2707" t="s">
        <v>98</v>
      </c>
      <c r="F2707">
        <v>312.57380000000001</v>
      </c>
      <c r="G2707">
        <v>299.50869999999998</v>
      </c>
      <c r="H2707">
        <v>381.05070000000001</v>
      </c>
      <c r="I2707">
        <v>544.44529999999997</v>
      </c>
      <c r="J2707">
        <v>644.92319999999995</v>
      </c>
      <c r="K2707">
        <v>563.81420000000003</v>
      </c>
      <c r="L2707">
        <v>447.68900000000002</v>
      </c>
      <c r="M2707">
        <v>368.88630000000001</v>
      </c>
      <c r="N2707">
        <v>356.25700000000001</v>
      </c>
      <c r="O2707">
        <v>465.81290000000001</v>
      </c>
      <c r="P2707">
        <v>580</v>
      </c>
      <c r="Q2707" t="s">
        <v>5749</v>
      </c>
    </row>
    <row r="2708" spans="1:17" x14ac:dyDescent="0.3">
      <c r="A2708" t="s">
        <v>4664</v>
      </c>
      <c r="B2708" t="str">
        <f>"002024"</f>
        <v>002024</v>
      </c>
      <c r="C2708" t="s">
        <v>5750</v>
      </c>
      <c r="D2708" t="s">
        <v>3066</v>
      </c>
      <c r="F2708">
        <v>64.863600000000005</v>
      </c>
      <c r="G2708">
        <v>59.767299999999999</v>
      </c>
      <c r="H2708">
        <v>48.863</v>
      </c>
      <c r="I2708">
        <v>47.310200000000002</v>
      </c>
      <c r="J2708">
        <v>50.777099999999997</v>
      </c>
      <c r="K2708">
        <v>59.936100000000003</v>
      </c>
      <c r="L2708">
        <v>77.529600000000002</v>
      </c>
      <c r="M2708">
        <v>97.759100000000004</v>
      </c>
      <c r="N2708">
        <v>101.11750000000001</v>
      </c>
      <c r="O2708">
        <v>91.108500000000006</v>
      </c>
      <c r="P2708">
        <v>1902</v>
      </c>
      <c r="Q2708" t="s">
        <v>5751</v>
      </c>
    </row>
    <row r="2709" spans="1:17" x14ac:dyDescent="0.3">
      <c r="A2709" t="s">
        <v>4664</v>
      </c>
      <c r="B2709" t="str">
        <f>"002025"</f>
        <v>002025</v>
      </c>
      <c r="C2709" t="s">
        <v>5752</v>
      </c>
      <c r="D2709" t="s">
        <v>1136</v>
      </c>
      <c r="F2709">
        <v>122.4135</v>
      </c>
      <c r="G2709">
        <v>103.0008</v>
      </c>
      <c r="H2709">
        <v>100.7809</v>
      </c>
      <c r="I2709">
        <v>116.4825</v>
      </c>
      <c r="J2709">
        <v>105.399</v>
      </c>
      <c r="K2709">
        <v>115.2996</v>
      </c>
      <c r="L2709">
        <v>159.31909999999999</v>
      </c>
      <c r="M2709">
        <v>181.1773</v>
      </c>
      <c r="N2709">
        <v>256.8639</v>
      </c>
      <c r="O2709">
        <v>277.85169999999999</v>
      </c>
      <c r="P2709">
        <v>468</v>
      </c>
      <c r="Q2709" t="s">
        <v>5753</v>
      </c>
    </row>
    <row r="2710" spans="1:17" x14ac:dyDescent="0.3">
      <c r="A2710" t="s">
        <v>4664</v>
      </c>
      <c r="B2710" t="str">
        <f>"002026"</f>
        <v>002026</v>
      </c>
      <c r="C2710" t="s">
        <v>5754</v>
      </c>
      <c r="D2710" t="s">
        <v>274</v>
      </c>
      <c r="F2710">
        <v>109.3395</v>
      </c>
      <c r="G2710">
        <v>172.42850000000001</v>
      </c>
      <c r="H2710">
        <v>256.81240000000003</v>
      </c>
      <c r="I2710">
        <v>217.4761</v>
      </c>
      <c r="J2710">
        <v>223.65690000000001</v>
      </c>
      <c r="K2710">
        <v>227.89789999999999</v>
      </c>
      <c r="L2710">
        <v>248.79259999999999</v>
      </c>
      <c r="M2710">
        <v>212.9982</v>
      </c>
      <c r="N2710">
        <v>217.67179999999999</v>
      </c>
      <c r="O2710">
        <v>195.6302</v>
      </c>
      <c r="P2710">
        <v>208</v>
      </c>
      <c r="Q2710" t="s">
        <v>5755</v>
      </c>
    </row>
    <row r="2711" spans="1:17" x14ac:dyDescent="0.3">
      <c r="A2711" t="s">
        <v>4664</v>
      </c>
      <c r="B2711" t="str">
        <f>"002027"</f>
        <v>002027</v>
      </c>
      <c r="C2711" t="s">
        <v>5756</v>
      </c>
      <c r="D2711" t="s">
        <v>5063</v>
      </c>
      <c r="F2711">
        <v>0.75270000000000004</v>
      </c>
      <c r="G2711">
        <v>0.50249999999999995</v>
      </c>
      <c r="H2711">
        <v>0.38469999999999999</v>
      </c>
      <c r="I2711">
        <v>1.1336999999999999</v>
      </c>
      <c r="J2711">
        <v>0.2001</v>
      </c>
      <c r="K2711">
        <v>0</v>
      </c>
      <c r="L2711">
        <v>15.122199999999999</v>
      </c>
      <c r="M2711">
        <v>24.6297</v>
      </c>
      <c r="N2711">
        <v>44.229399999999998</v>
      </c>
      <c r="O2711">
        <v>80.633899999999997</v>
      </c>
      <c r="P2711">
        <v>5236</v>
      </c>
      <c r="Q2711" t="s">
        <v>5757</v>
      </c>
    </row>
    <row r="2712" spans="1:17" x14ac:dyDescent="0.3">
      <c r="A2712" t="s">
        <v>4664</v>
      </c>
      <c r="B2712" t="str">
        <f>"002028"</f>
        <v>002028</v>
      </c>
      <c r="C2712" t="s">
        <v>5758</v>
      </c>
      <c r="D2712" t="s">
        <v>210</v>
      </c>
      <c r="F2712">
        <v>177.14850000000001</v>
      </c>
      <c r="G2712">
        <v>185.4547</v>
      </c>
      <c r="H2712">
        <v>158.43389999999999</v>
      </c>
      <c r="I2712">
        <v>169.84880000000001</v>
      </c>
      <c r="J2712">
        <v>194.64320000000001</v>
      </c>
      <c r="K2712">
        <v>202.52379999999999</v>
      </c>
      <c r="L2712">
        <v>202.66390000000001</v>
      </c>
      <c r="M2712">
        <v>202.11580000000001</v>
      </c>
      <c r="N2712">
        <v>219.3261</v>
      </c>
      <c r="O2712">
        <v>269.66609999999997</v>
      </c>
      <c r="P2712">
        <v>603</v>
      </c>
      <c r="Q2712" t="s">
        <v>5759</v>
      </c>
    </row>
    <row r="2713" spans="1:17" x14ac:dyDescent="0.3">
      <c r="A2713" t="s">
        <v>4664</v>
      </c>
      <c r="B2713" t="str">
        <f>"002029"</f>
        <v>002029</v>
      </c>
      <c r="C2713" t="s">
        <v>5760</v>
      </c>
      <c r="D2713" t="s">
        <v>255</v>
      </c>
      <c r="F2713">
        <v>291.31099999999998</v>
      </c>
      <c r="G2713">
        <v>309.15449999999998</v>
      </c>
      <c r="H2713">
        <v>272.87599999999998</v>
      </c>
      <c r="I2713">
        <v>257.3621</v>
      </c>
      <c r="J2713">
        <v>280.94040000000001</v>
      </c>
      <c r="K2713">
        <v>308.71280000000002</v>
      </c>
      <c r="L2713">
        <v>287.7731</v>
      </c>
      <c r="M2713">
        <v>283.76639999999998</v>
      </c>
      <c r="N2713">
        <v>178.5284</v>
      </c>
      <c r="O2713">
        <v>175.42789999999999</v>
      </c>
      <c r="P2713">
        <v>217</v>
      </c>
      <c r="Q2713" t="s">
        <v>5761</v>
      </c>
    </row>
    <row r="2714" spans="1:17" x14ac:dyDescent="0.3">
      <c r="A2714" t="s">
        <v>4664</v>
      </c>
      <c r="B2714" t="str">
        <f>"002030"</f>
        <v>002030</v>
      </c>
      <c r="C2714" t="s">
        <v>5762</v>
      </c>
      <c r="D2714" t="s">
        <v>1305</v>
      </c>
      <c r="F2714">
        <v>94.455600000000004</v>
      </c>
      <c r="G2714">
        <v>77.652100000000004</v>
      </c>
      <c r="H2714">
        <v>176.82390000000001</v>
      </c>
      <c r="I2714">
        <v>110.46550000000001</v>
      </c>
      <c r="J2714">
        <v>116.6626</v>
      </c>
      <c r="K2714">
        <v>92.457899999999995</v>
      </c>
      <c r="L2714">
        <v>96.788300000000007</v>
      </c>
      <c r="M2714">
        <v>110.4464</v>
      </c>
      <c r="N2714">
        <v>121.74420000000001</v>
      </c>
      <c r="O2714">
        <v>132.8698</v>
      </c>
      <c r="P2714">
        <v>1177</v>
      </c>
      <c r="Q2714" t="s">
        <v>5763</v>
      </c>
    </row>
    <row r="2715" spans="1:17" x14ac:dyDescent="0.3">
      <c r="A2715" t="s">
        <v>4664</v>
      </c>
      <c r="B2715" t="str">
        <f>"002031"</f>
        <v>002031</v>
      </c>
      <c r="C2715" t="s">
        <v>5764</v>
      </c>
      <c r="D2715" t="s">
        <v>741</v>
      </c>
      <c r="F2715">
        <v>195.36439999999999</v>
      </c>
      <c r="G2715">
        <v>292.529</v>
      </c>
      <c r="H2715">
        <v>377.7199</v>
      </c>
      <c r="I2715">
        <v>383.64490000000001</v>
      </c>
      <c r="J2715">
        <v>399.09199999999998</v>
      </c>
      <c r="K2715">
        <v>543.54870000000005</v>
      </c>
      <c r="L2715">
        <v>370.78960000000001</v>
      </c>
      <c r="M2715">
        <v>382.30040000000002</v>
      </c>
      <c r="N2715">
        <v>292.47160000000002</v>
      </c>
      <c r="O2715">
        <v>258.40280000000001</v>
      </c>
      <c r="P2715">
        <v>137</v>
      </c>
      <c r="Q2715" t="s">
        <v>5765</v>
      </c>
    </row>
    <row r="2716" spans="1:17" x14ac:dyDescent="0.3">
      <c r="A2716" t="s">
        <v>4664</v>
      </c>
      <c r="B2716" t="str">
        <f>"002032"</f>
        <v>002032</v>
      </c>
      <c r="C2716" t="s">
        <v>5766</v>
      </c>
      <c r="D2716" t="s">
        <v>5712</v>
      </c>
      <c r="F2716">
        <v>73.4709</v>
      </c>
      <c r="G2716">
        <v>73.269900000000007</v>
      </c>
      <c r="H2716">
        <v>67.4893</v>
      </c>
      <c r="I2716">
        <v>79.038600000000002</v>
      </c>
      <c r="J2716">
        <v>77.108999999999995</v>
      </c>
      <c r="K2716">
        <v>69.709000000000003</v>
      </c>
      <c r="L2716">
        <v>78.458200000000005</v>
      </c>
      <c r="M2716">
        <v>81.219099999999997</v>
      </c>
      <c r="N2716">
        <v>77.3078</v>
      </c>
      <c r="O2716">
        <v>86.504499999999993</v>
      </c>
      <c r="P2716">
        <v>52892</v>
      </c>
      <c r="Q2716" t="s">
        <v>5767</v>
      </c>
    </row>
    <row r="2717" spans="1:17" x14ac:dyDescent="0.3">
      <c r="A2717" t="s">
        <v>4664</v>
      </c>
      <c r="B2717" t="str">
        <f>"002033"</f>
        <v>002033</v>
      </c>
      <c r="C2717" t="s">
        <v>5768</v>
      </c>
      <c r="D2717" t="s">
        <v>119</v>
      </c>
      <c r="F2717">
        <v>41.0503</v>
      </c>
      <c r="G2717">
        <v>41.263800000000003</v>
      </c>
      <c r="H2717">
        <v>36.082900000000002</v>
      </c>
      <c r="I2717">
        <v>39.616399999999999</v>
      </c>
      <c r="J2717">
        <v>42.461100000000002</v>
      </c>
      <c r="K2717">
        <v>39.089100000000002</v>
      </c>
      <c r="L2717">
        <v>39.943800000000003</v>
      </c>
      <c r="M2717">
        <v>46.738799999999998</v>
      </c>
      <c r="N2717">
        <v>46.64</v>
      </c>
      <c r="O2717">
        <v>24.056799999999999</v>
      </c>
      <c r="P2717">
        <v>278</v>
      </c>
      <c r="Q2717" t="s">
        <v>5769</v>
      </c>
    </row>
    <row r="2718" spans="1:17" x14ac:dyDescent="0.3">
      <c r="A2718" t="s">
        <v>4664</v>
      </c>
      <c r="B2718" t="str">
        <f>"002034"</f>
        <v>002034</v>
      </c>
      <c r="C2718" t="s">
        <v>5770</v>
      </c>
      <c r="D2718" t="s">
        <v>499</v>
      </c>
      <c r="F2718">
        <v>2.4489999999999998</v>
      </c>
      <c r="G2718">
        <v>22.119</v>
      </c>
      <c r="H2718">
        <v>17.903300000000002</v>
      </c>
      <c r="I2718">
        <v>5.9596</v>
      </c>
      <c r="J2718">
        <v>57.406300000000002</v>
      </c>
      <c r="K2718">
        <v>49.571300000000001</v>
      </c>
      <c r="L2718">
        <v>83.518000000000001</v>
      </c>
      <c r="M2718">
        <v>92.605999999999995</v>
      </c>
      <c r="N2718">
        <v>106.003</v>
      </c>
      <c r="O2718">
        <v>125.06010000000001</v>
      </c>
      <c r="P2718">
        <v>244</v>
      </c>
      <c r="Q2718" t="s">
        <v>5771</v>
      </c>
    </row>
    <row r="2719" spans="1:17" x14ac:dyDescent="0.3">
      <c r="A2719" t="s">
        <v>4664</v>
      </c>
      <c r="B2719" t="str">
        <f>"002035"</f>
        <v>002035</v>
      </c>
      <c r="C2719" t="s">
        <v>5772</v>
      </c>
      <c r="D2719" t="s">
        <v>3680</v>
      </c>
      <c r="F2719">
        <v>127.6905</v>
      </c>
      <c r="G2719">
        <v>132.13820000000001</v>
      </c>
      <c r="H2719">
        <v>83.992800000000003</v>
      </c>
      <c r="I2719">
        <v>58.636699999999998</v>
      </c>
      <c r="J2719">
        <v>58.741599999999998</v>
      </c>
      <c r="K2719">
        <v>58.773899999999998</v>
      </c>
      <c r="L2719">
        <v>59.468800000000002</v>
      </c>
      <c r="M2719">
        <v>57.395400000000002</v>
      </c>
      <c r="N2719">
        <v>39.725299999999997</v>
      </c>
      <c r="O2719">
        <v>39.552100000000003</v>
      </c>
      <c r="P2719">
        <v>1344</v>
      </c>
      <c r="Q2719" t="s">
        <v>5773</v>
      </c>
    </row>
    <row r="2720" spans="1:17" x14ac:dyDescent="0.3">
      <c r="A2720" t="s">
        <v>4664</v>
      </c>
      <c r="B2720" t="str">
        <f>"002036"</f>
        <v>002036</v>
      </c>
      <c r="C2720" t="s">
        <v>5774</v>
      </c>
      <c r="D2720" t="s">
        <v>164</v>
      </c>
      <c r="F2720">
        <v>132.92920000000001</v>
      </c>
      <c r="G2720">
        <v>148.26669999999999</v>
      </c>
      <c r="H2720">
        <v>146.1174</v>
      </c>
      <c r="I2720">
        <v>108.2325</v>
      </c>
      <c r="J2720">
        <v>80.415000000000006</v>
      </c>
      <c r="K2720">
        <v>171.68369999999999</v>
      </c>
      <c r="L2720">
        <v>190.5848</v>
      </c>
      <c r="M2720">
        <v>255.8039</v>
      </c>
      <c r="N2720">
        <v>215.7166</v>
      </c>
      <c r="O2720">
        <v>227.2193</v>
      </c>
      <c r="P2720">
        <v>548</v>
      </c>
      <c r="Q2720" t="s">
        <v>5775</v>
      </c>
    </row>
    <row r="2721" spans="1:17" x14ac:dyDescent="0.3">
      <c r="A2721" t="s">
        <v>4664</v>
      </c>
      <c r="B2721" t="str">
        <f>"002037"</f>
        <v>002037</v>
      </c>
      <c r="C2721" t="s">
        <v>5776</v>
      </c>
      <c r="D2721" t="s">
        <v>2713</v>
      </c>
      <c r="F2721">
        <v>41.666899999999998</v>
      </c>
      <c r="G2721">
        <v>44.169499999999999</v>
      </c>
      <c r="H2721">
        <v>64.006500000000003</v>
      </c>
      <c r="I2721">
        <v>35.9163</v>
      </c>
      <c r="J2721">
        <v>43.724600000000002</v>
      </c>
      <c r="K2721">
        <v>87.526799999999994</v>
      </c>
      <c r="L2721">
        <v>42.651600000000002</v>
      </c>
      <c r="M2721">
        <v>37.351599999999998</v>
      </c>
      <c r="N2721">
        <v>37.330100000000002</v>
      </c>
      <c r="O2721">
        <v>26.886500000000002</v>
      </c>
      <c r="P2721">
        <v>81</v>
      </c>
      <c r="Q2721" t="s">
        <v>5777</v>
      </c>
    </row>
    <row r="2722" spans="1:17" x14ac:dyDescent="0.3">
      <c r="A2722" t="s">
        <v>4664</v>
      </c>
      <c r="B2722" t="str">
        <f>"002038"</f>
        <v>002038</v>
      </c>
      <c r="C2722" t="s">
        <v>5778</v>
      </c>
      <c r="D2722" t="s">
        <v>1379</v>
      </c>
      <c r="F2722">
        <v>304.98289999999997</v>
      </c>
      <c r="G2722">
        <v>334.197</v>
      </c>
      <c r="H2722">
        <v>228.6583</v>
      </c>
      <c r="I2722">
        <v>421.44900000000001</v>
      </c>
      <c r="J2722">
        <v>480.40359999999998</v>
      </c>
      <c r="K2722">
        <v>295.1902</v>
      </c>
      <c r="L2722">
        <v>171.167</v>
      </c>
      <c r="M2722">
        <v>160.11779999999999</v>
      </c>
      <c r="N2722">
        <v>157.92349999999999</v>
      </c>
      <c r="O2722">
        <v>134.65440000000001</v>
      </c>
      <c r="P2722">
        <v>5163</v>
      </c>
      <c r="Q2722" t="s">
        <v>5779</v>
      </c>
    </row>
    <row r="2723" spans="1:17" x14ac:dyDescent="0.3">
      <c r="A2723" t="s">
        <v>4664</v>
      </c>
      <c r="B2723" t="str">
        <f>"002039"</f>
        <v>002039</v>
      </c>
      <c r="C2723" t="s">
        <v>5780</v>
      </c>
      <c r="D2723" t="s">
        <v>66</v>
      </c>
      <c r="F2723">
        <v>0.57820000000000005</v>
      </c>
      <c r="G2723">
        <v>6.7299999999999999E-2</v>
      </c>
      <c r="H2723">
        <v>0.13719999999999999</v>
      </c>
      <c r="I2723">
        <v>0.32490000000000002</v>
      </c>
      <c r="J2723">
        <v>0.45079999999999998</v>
      </c>
      <c r="K2723">
        <v>0.57420000000000004</v>
      </c>
      <c r="L2723">
        <v>3.7000000000000002E-3</v>
      </c>
      <c r="M2723">
        <v>5.6599999999999998E-2</v>
      </c>
      <c r="N2723">
        <v>0.3538</v>
      </c>
      <c r="O2723">
        <v>1.5451999999999999</v>
      </c>
      <c r="P2723">
        <v>431</v>
      </c>
      <c r="Q2723" t="s">
        <v>5781</v>
      </c>
    </row>
    <row r="2724" spans="1:17" x14ac:dyDescent="0.3">
      <c r="A2724" t="s">
        <v>4664</v>
      </c>
      <c r="B2724" t="str">
        <f>"002040"</f>
        <v>002040</v>
      </c>
      <c r="C2724" t="s">
        <v>5782</v>
      </c>
      <c r="D2724" t="s">
        <v>51</v>
      </c>
      <c r="F2724">
        <v>6.1653000000000002</v>
      </c>
      <c r="G2724">
        <v>8.2097999999999995</v>
      </c>
      <c r="H2724">
        <v>7.5308999999999999</v>
      </c>
      <c r="I2724">
        <v>6.9840999999999998</v>
      </c>
      <c r="J2724">
        <v>6.9760999999999997</v>
      </c>
      <c r="K2724">
        <v>10.5227</v>
      </c>
      <c r="L2724">
        <v>10.722799999999999</v>
      </c>
      <c r="M2724">
        <v>10.9476</v>
      </c>
      <c r="N2724">
        <v>12.6378</v>
      </c>
      <c r="O2724">
        <v>16.285799999999998</v>
      </c>
      <c r="P2724">
        <v>100</v>
      </c>
      <c r="Q2724" t="s">
        <v>5783</v>
      </c>
    </row>
    <row r="2725" spans="1:17" x14ac:dyDescent="0.3">
      <c r="A2725" t="s">
        <v>4664</v>
      </c>
      <c r="B2725" t="str">
        <f>"002041"</f>
        <v>002041</v>
      </c>
      <c r="C2725" t="s">
        <v>5784</v>
      </c>
      <c r="D2725" t="s">
        <v>706</v>
      </c>
      <c r="F2725">
        <v>402.49209999999999</v>
      </c>
      <c r="G2725">
        <v>654.35090000000002</v>
      </c>
      <c r="H2725">
        <v>1017.64</v>
      </c>
      <c r="I2725">
        <v>1391.0438999999999</v>
      </c>
      <c r="J2725">
        <v>878.13850000000002</v>
      </c>
      <c r="K2725">
        <v>492.00880000000001</v>
      </c>
      <c r="L2725">
        <v>739.82749999999999</v>
      </c>
      <c r="M2725">
        <v>832.33950000000004</v>
      </c>
      <c r="N2725">
        <v>765.66120000000001</v>
      </c>
      <c r="O2725">
        <v>939.46500000000003</v>
      </c>
      <c r="P2725">
        <v>446</v>
      </c>
      <c r="Q2725" t="s">
        <v>5785</v>
      </c>
    </row>
    <row r="2726" spans="1:17" x14ac:dyDescent="0.3">
      <c r="A2726" t="s">
        <v>4664</v>
      </c>
      <c r="B2726" t="str">
        <f>"002042"</f>
        <v>002042</v>
      </c>
      <c r="C2726" t="s">
        <v>5786</v>
      </c>
      <c r="D2726" t="s">
        <v>1009</v>
      </c>
      <c r="F2726">
        <v>135.4188</v>
      </c>
      <c r="G2726">
        <v>194.1524</v>
      </c>
      <c r="H2726">
        <v>175.46080000000001</v>
      </c>
      <c r="I2726">
        <v>176.83269999999999</v>
      </c>
      <c r="J2726">
        <v>139.43539999999999</v>
      </c>
      <c r="K2726">
        <v>141.1267</v>
      </c>
      <c r="L2726">
        <v>164.12389999999999</v>
      </c>
      <c r="M2726">
        <v>170.75489999999999</v>
      </c>
      <c r="N2726">
        <v>182.83840000000001</v>
      </c>
      <c r="O2726">
        <v>241.83080000000001</v>
      </c>
      <c r="P2726">
        <v>196</v>
      </c>
      <c r="Q2726" t="s">
        <v>5787</v>
      </c>
    </row>
    <row r="2727" spans="1:17" x14ac:dyDescent="0.3">
      <c r="A2727" t="s">
        <v>4664</v>
      </c>
      <c r="B2727" t="str">
        <f>"002043"</f>
        <v>002043</v>
      </c>
      <c r="C2727" t="s">
        <v>5788</v>
      </c>
      <c r="D2727" t="s">
        <v>722</v>
      </c>
      <c r="F2727">
        <v>61.8568</v>
      </c>
      <c r="G2727">
        <v>71.985100000000003</v>
      </c>
      <c r="H2727">
        <v>43.328099999999999</v>
      </c>
      <c r="I2727">
        <v>48.200099999999999</v>
      </c>
      <c r="J2727">
        <v>40.854900000000001</v>
      </c>
      <c r="K2727">
        <v>66.387500000000003</v>
      </c>
      <c r="L2727">
        <v>110.4997</v>
      </c>
      <c r="M2727">
        <v>129.6798</v>
      </c>
      <c r="N2727">
        <v>153.3707</v>
      </c>
      <c r="O2727">
        <v>185.8432</v>
      </c>
      <c r="P2727">
        <v>665</v>
      </c>
      <c r="Q2727" t="s">
        <v>5789</v>
      </c>
    </row>
    <row r="2728" spans="1:17" x14ac:dyDescent="0.3">
      <c r="A2728" t="s">
        <v>4664</v>
      </c>
      <c r="B2728" t="str">
        <f>"002044"</f>
        <v>002044</v>
      </c>
      <c r="C2728" t="s">
        <v>5790</v>
      </c>
      <c r="D2728" t="s">
        <v>1147</v>
      </c>
      <c r="F2728">
        <v>12.354900000000001</v>
      </c>
      <c r="G2728">
        <v>14.4305</v>
      </c>
      <c r="H2728">
        <v>13.9924</v>
      </c>
      <c r="I2728">
        <v>11.499599999999999</v>
      </c>
      <c r="J2728">
        <v>11.444800000000001</v>
      </c>
      <c r="K2728">
        <v>10.291</v>
      </c>
      <c r="L2728">
        <v>21.127800000000001</v>
      </c>
      <c r="M2728">
        <v>71.348600000000005</v>
      </c>
      <c r="N2728">
        <v>101.3192</v>
      </c>
      <c r="O2728">
        <v>75.028800000000004</v>
      </c>
      <c r="P2728">
        <v>1237</v>
      </c>
      <c r="Q2728" t="s">
        <v>5791</v>
      </c>
    </row>
    <row r="2729" spans="1:17" x14ac:dyDescent="0.3">
      <c r="A2729" t="s">
        <v>4664</v>
      </c>
      <c r="B2729" t="str">
        <f>"002045"</f>
        <v>002045</v>
      </c>
      <c r="C2729" t="s">
        <v>5792</v>
      </c>
      <c r="D2729" t="s">
        <v>3499</v>
      </c>
      <c r="F2729">
        <v>99.269499999999994</v>
      </c>
      <c r="G2729">
        <v>76.17</v>
      </c>
      <c r="H2729">
        <v>66.210499999999996</v>
      </c>
      <c r="I2729">
        <v>93.269599999999997</v>
      </c>
      <c r="J2729">
        <v>67.0642</v>
      </c>
      <c r="K2729">
        <v>85.302999999999997</v>
      </c>
      <c r="L2729">
        <v>98.837900000000005</v>
      </c>
      <c r="M2729">
        <v>100.2169</v>
      </c>
      <c r="N2729">
        <v>96.133899999999997</v>
      </c>
      <c r="O2729">
        <v>134.3056</v>
      </c>
      <c r="P2729">
        <v>216</v>
      </c>
      <c r="Q2729" t="s">
        <v>5793</v>
      </c>
    </row>
    <row r="2730" spans="1:17" x14ac:dyDescent="0.3">
      <c r="A2730" t="s">
        <v>4664</v>
      </c>
      <c r="B2730" t="str">
        <f>"002046"</f>
        <v>002046</v>
      </c>
      <c r="C2730" t="s">
        <v>5794</v>
      </c>
      <c r="D2730" t="s">
        <v>274</v>
      </c>
      <c r="F2730">
        <v>90.934399999999997</v>
      </c>
      <c r="G2730">
        <v>164.364</v>
      </c>
      <c r="H2730">
        <v>153.71270000000001</v>
      </c>
      <c r="I2730">
        <v>141.82990000000001</v>
      </c>
      <c r="J2730">
        <v>461.16669999999999</v>
      </c>
      <c r="K2730">
        <v>525.84900000000005</v>
      </c>
      <c r="L2730">
        <v>710.62990000000002</v>
      </c>
      <c r="M2730">
        <v>612.24649999999997</v>
      </c>
      <c r="N2730">
        <v>423.42140000000001</v>
      </c>
      <c r="O2730">
        <v>261.02510000000001</v>
      </c>
      <c r="P2730">
        <v>148</v>
      </c>
      <c r="Q2730" t="s">
        <v>5795</v>
      </c>
    </row>
    <row r="2731" spans="1:17" x14ac:dyDescent="0.3">
      <c r="A2731" t="s">
        <v>4664</v>
      </c>
      <c r="B2731" t="str">
        <f>"002047"</f>
        <v>002047</v>
      </c>
      <c r="C2731" t="s">
        <v>5796</v>
      </c>
      <c r="D2731" t="s">
        <v>450</v>
      </c>
      <c r="F2731">
        <v>7.71</v>
      </c>
      <c r="G2731">
        <v>22.197299999999998</v>
      </c>
      <c r="H2731">
        <v>33.814700000000002</v>
      </c>
      <c r="I2731">
        <v>25.620799999999999</v>
      </c>
      <c r="J2731">
        <v>53.091200000000001</v>
      </c>
      <c r="K2731">
        <v>37.854799999999997</v>
      </c>
      <c r="L2731">
        <v>20.482600000000001</v>
      </c>
      <c r="M2731">
        <v>19.096</v>
      </c>
      <c r="N2731">
        <v>79.159000000000006</v>
      </c>
      <c r="O2731">
        <v>90.661500000000004</v>
      </c>
      <c r="P2731">
        <v>103</v>
      </c>
      <c r="Q2731" t="s">
        <v>5797</v>
      </c>
    </row>
    <row r="2732" spans="1:17" x14ac:dyDescent="0.3">
      <c r="A2732" t="s">
        <v>4664</v>
      </c>
      <c r="B2732" t="str">
        <f>"002048"</f>
        <v>002048</v>
      </c>
      <c r="C2732" t="s">
        <v>5798</v>
      </c>
      <c r="D2732" t="s">
        <v>191</v>
      </c>
      <c r="F2732">
        <v>75.888999999999996</v>
      </c>
      <c r="G2732">
        <v>82.177300000000002</v>
      </c>
      <c r="H2732">
        <v>91.121099999999998</v>
      </c>
      <c r="I2732">
        <v>92.975300000000004</v>
      </c>
      <c r="J2732">
        <v>84.599599999999995</v>
      </c>
      <c r="K2732">
        <v>77.231399999999994</v>
      </c>
      <c r="L2732">
        <v>84.967600000000004</v>
      </c>
      <c r="M2732">
        <v>82.694699999999997</v>
      </c>
      <c r="N2732">
        <v>78.148899999999998</v>
      </c>
      <c r="O2732">
        <v>93.419300000000007</v>
      </c>
      <c r="P2732">
        <v>645</v>
      </c>
      <c r="Q2732" t="s">
        <v>5799</v>
      </c>
    </row>
    <row r="2733" spans="1:17" x14ac:dyDescent="0.3">
      <c r="A2733" t="s">
        <v>4664</v>
      </c>
      <c r="B2733" t="str">
        <f>"002049"</f>
        <v>002049</v>
      </c>
      <c r="C2733" t="s">
        <v>5800</v>
      </c>
      <c r="D2733" t="s">
        <v>461</v>
      </c>
      <c r="F2733">
        <v>247.44540000000001</v>
      </c>
      <c r="G2733">
        <v>294.19499999999999</v>
      </c>
      <c r="H2733">
        <v>175.85329999999999</v>
      </c>
      <c r="I2733">
        <v>199.04130000000001</v>
      </c>
      <c r="J2733">
        <v>221.66050000000001</v>
      </c>
      <c r="K2733">
        <v>318.3528</v>
      </c>
      <c r="L2733">
        <v>282.49160000000001</v>
      </c>
      <c r="M2733">
        <v>196.90440000000001</v>
      </c>
      <c r="N2733">
        <v>190.96719999999999</v>
      </c>
      <c r="O2733">
        <v>120.4653</v>
      </c>
      <c r="P2733">
        <v>4605</v>
      </c>
      <c r="Q2733" t="s">
        <v>5801</v>
      </c>
    </row>
    <row r="2734" spans="1:17" x14ac:dyDescent="0.3">
      <c r="A2734" t="s">
        <v>4664</v>
      </c>
      <c r="B2734" t="str">
        <f>"002050"</f>
        <v>002050</v>
      </c>
      <c r="C2734" t="s">
        <v>5802</v>
      </c>
      <c r="D2734" t="s">
        <v>1253</v>
      </c>
      <c r="F2734">
        <v>114.71080000000001</v>
      </c>
      <c r="G2734">
        <v>120.497</v>
      </c>
      <c r="H2734">
        <v>113.45310000000001</v>
      </c>
      <c r="I2734">
        <v>114.9011</v>
      </c>
      <c r="J2734">
        <v>99.292599999999993</v>
      </c>
      <c r="K2734">
        <v>111.4722</v>
      </c>
      <c r="L2734">
        <v>121.3092</v>
      </c>
      <c r="M2734">
        <v>109.188</v>
      </c>
      <c r="N2734">
        <v>111.473</v>
      </c>
      <c r="O2734">
        <v>134.10489999999999</v>
      </c>
      <c r="P2734">
        <v>2043</v>
      </c>
      <c r="Q2734" t="s">
        <v>5803</v>
      </c>
    </row>
    <row r="2735" spans="1:17" x14ac:dyDescent="0.3">
      <c r="A2735" t="s">
        <v>4664</v>
      </c>
      <c r="B2735" t="str">
        <f>"002051"</f>
        <v>002051</v>
      </c>
      <c r="C2735" t="s">
        <v>5804</v>
      </c>
      <c r="D2735" t="s">
        <v>1887</v>
      </c>
      <c r="F2735">
        <v>265.26819999999998</v>
      </c>
      <c r="G2735">
        <v>344.45400000000001</v>
      </c>
      <c r="H2735">
        <v>199.9889</v>
      </c>
      <c r="I2735">
        <v>145.65199999999999</v>
      </c>
      <c r="J2735">
        <v>170.9657</v>
      </c>
      <c r="K2735">
        <v>226.63220000000001</v>
      </c>
      <c r="L2735">
        <v>155.22190000000001</v>
      </c>
      <c r="M2735">
        <v>149.99119999999999</v>
      </c>
      <c r="N2735">
        <v>181.17920000000001</v>
      </c>
      <c r="O2735">
        <v>52.421700000000001</v>
      </c>
      <c r="P2735">
        <v>556</v>
      </c>
      <c r="Q2735" t="s">
        <v>5805</v>
      </c>
    </row>
    <row r="2736" spans="1:17" x14ac:dyDescent="0.3">
      <c r="A2736" t="s">
        <v>4664</v>
      </c>
      <c r="B2736" t="str">
        <f>"002052"</f>
        <v>002052</v>
      </c>
      <c r="C2736" t="s">
        <v>5806</v>
      </c>
      <c r="D2736" t="s">
        <v>4404</v>
      </c>
      <c r="F2736">
        <v>147.19220000000001</v>
      </c>
      <c r="G2736">
        <v>88.868499999999997</v>
      </c>
      <c r="H2736">
        <v>58.268700000000003</v>
      </c>
      <c r="I2736">
        <v>119.9128</v>
      </c>
      <c r="J2736">
        <v>117.4203</v>
      </c>
      <c r="K2736">
        <v>216.2</v>
      </c>
      <c r="L2736">
        <v>255.3211</v>
      </c>
      <c r="M2736">
        <v>162.6413</v>
      </c>
      <c r="N2736">
        <v>134.4385</v>
      </c>
      <c r="O2736">
        <v>132.298</v>
      </c>
      <c r="P2736">
        <v>76</v>
      </c>
      <c r="Q2736" t="s">
        <v>5807</v>
      </c>
    </row>
    <row r="2737" spans="1:17" x14ac:dyDescent="0.3">
      <c r="A2737" t="s">
        <v>4664</v>
      </c>
      <c r="B2737" t="str">
        <f>"002053"</f>
        <v>002053</v>
      </c>
      <c r="C2737" t="s">
        <v>5808</v>
      </c>
      <c r="D2737" t="s">
        <v>736</v>
      </c>
      <c r="F2737">
        <v>34.865699999999997</v>
      </c>
      <c r="G2737">
        <v>62.7453</v>
      </c>
      <c r="H2737">
        <v>73.945499999999996</v>
      </c>
      <c r="I2737">
        <v>97.865899999999996</v>
      </c>
      <c r="J2737">
        <v>79.294600000000003</v>
      </c>
      <c r="K2737">
        <v>121.3138</v>
      </c>
      <c r="L2737">
        <v>105.0125</v>
      </c>
      <c r="M2737">
        <v>84.3566</v>
      </c>
      <c r="N2737">
        <v>68.035499999999999</v>
      </c>
      <c r="O2737">
        <v>73.9238</v>
      </c>
      <c r="P2737">
        <v>105</v>
      </c>
      <c r="Q2737" t="s">
        <v>5809</v>
      </c>
    </row>
    <row r="2738" spans="1:17" x14ac:dyDescent="0.3">
      <c r="A2738" t="s">
        <v>4664</v>
      </c>
      <c r="B2738" t="str">
        <f>"002054"</f>
        <v>002054</v>
      </c>
      <c r="C2738" t="s">
        <v>5810</v>
      </c>
      <c r="D2738" t="s">
        <v>779</v>
      </c>
      <c r="F2738">
        <v>92.741699999999994</v>
      </c>
      <c r="G2738">
        <v>112.1183</v>
      </c>
      <c r="H2738">
        <v>102.5689</v>
      </c>
      <c r="I2738">
        <v>93.231099999999998</v>
      </c>
      <c r="J2738">
        <v>57.239600000000003</v>
      </c>
      <c r="K2738">
        <v>59.909500000000001</v>
      </c>
      <c r="L2738">
        <v>63.153599999999997</v>
      </c>
      <c r="M2738">
        <v>106.4746</v>
      </c>
      <c r="N2738">
        <v>90.711500000000001</v>
      </c>
      <c r="O2738">
        <v>100.71120000000001</v>
      </c>
      <c r="P2738">
        <v>110</v>
      </c>
      <c r="Q2738" t="s">
        <v>5811</v>
      </c>
    </row>
    <row r="2739" spans="1:17" x14ac:dyDescent="0.3">
      <c r="A2739" t="s">
        <v>4664</v>
      </c>
      <c r="B2739" t="str">
        <f>"002055"</f>
        <v>002055</v>
      </c>
      <c r="C2739" t="s">
        <v>5812</v>
      </c>
      <c r="D2739" t="s">
        <v>313</v>
      </c>
      <c r="F2739">
        <v>128.18559999999999</v>
      </c>
      <c r="G2739">
        <v>160.27860000000001</v>
      </c>
      <c r="H2739">
        <v>163.37430000000001</v>
      </c>
      <c r="I2739">
        <v>145.76159999999999</v>
      </c>
      <c r="J2739">
        <v>166.29079999999999</v>
      </c>
      <c r="K2739">
        <v>152.53319999999999</v>
      </c>
      <c r="L2739">
        <v>131.69049999999999</v>
      </c>
      <c r="M2739">
        <v>130.72149999999999</v>
      </c>
      <c r="N2739">
        <v>141.2347</v>
      </c>
      <c r="O2739">
        <v>129.02330000000001</v>
      </c>
      <c r="P2739">
        <v>245</v>
      </c>
      <c r="Q2739" t="s">
        <v>5813</v>
      </c>
    </row>
    <row r="2740" spans="1:17" x14ac:dyDescent="0.3">
      <c r="A2740" t="s">
        <v>4664</v>
      </c>
      <c r="B2740" t="str">
        <f>"002056"</f>
        <v>002056</v>
      </c>
      <c r="C2740" t="s">
        <v>5814</v>
      </c>
      <c r="D2740" t="s">
        <v>808</v>
      </c>
      <c r="F2740">
        <v>62.989400000000003</v>
      </c>
      <c r="G2740">
        <v>63.057600000000001</v>
      </c>
      <c r="H2740">
        <v>70.878</v>
      </c>
      <c r="I2740">
        <v>76.066400000000002</v>
      </c>
      <c r="J2740">
        <v>58.497700000000002</v>
      </c>
      <c r="K2740">
        <v>55.165199999999999</v>
      </c>
      <c r="L2740">
        <v>75.144499999999994</v>
      </c>
      <c r="M2740">
        <v>86.535499999999999</v>
      </c>
      <c r="N2740">
        <v>102.79600000000001</v>
      </c>
      <c r="O2740">
        <v>93.970799999999997</v>
      </c>
      <c r="P2740">
        <v>783</v>
      </c>
      <c r="Q2740" t="s">
        <v>5815</v>
      </c>
    </row>
    <row r="2741" spans="1:17" x14ac:dyDescent="0.3">
      <c r="A2741" t="s">
        <v>4664</v>
      </c>
      <c r="B2741" t="str">
        <f>"002057"</f>
        <v>002057</v>
      </c>
      <c r="C2741" t="s">
        <v>5816</v>
      </c>
      <c r="D2741" t="s">
        <v>808</v>
      </c>
      <c r="F2741">
        <v>71.875</v>
      </c>
      <c r="G2741">
        <v>80.877499999999998</v>
      </c>
      <c r="H2741">
        <v>81.345500000000001</v>
      </c>
      <c r="I2741">
        <v>82.9178</v>
      </c>
      <c r="J2741">
        <v>62.033000000000001</v>
      </c>
      <c r="K2741">
        <v>107.1743</v>
      </c>
      <c r="L2741">
        <v>120.0947</v>
      </c>
      <c r="M2741">
        <v>97.299400000000006</v>
      </c>
      <c r="N2741">
        <v>96.630899999999997</v>
      </c>
      <c r="O2741">
        <v>130.05279999999999</v>
      </c>
      <c r="P2741">
        <v>126</v>
      </c>
      <c r="Q2741" t="s">
        <v>5817</v>
      </c>
    </row>
    <row r="2742" spans="1:17" x14ac:dyDescent="0.3">
      <c r="A2742" t="s">
        <v>4664</v>
      </c>
      <c r="B2742" t="str">
        <f>"002058"</f>
        <v>002058</v>
      </c>
      <c r="C2742" t="s">
        <v>5818</v>
      </c>
      <c r="D2742" t="s">
        <v>2171</v>
      </c>
      <c r="F2742">
        <v>362.7869</v>
      </c>
      <c r="G2742">
        <v>496.97</v>
      </c>
      <c r="H2742">
        <v>444.85989999999998</v>
      </c>
      <c r="I2742">
        <v>363.51710000000003</v>
      </c>
      <c r="J2742">
        <v>347.09390000000002</v>
      </c>
      <c r="K2742">
        <v>385.94600000000003</v>
      </c>
      <c r="L2742">
        <v>421.77030000000002</v>
      </c>
      <c r="M2742">
        <v>326.19569999999999</v>
      </c>
      <c r="N2742">
        <v>304.79939999999999</v>
      </c>
      <c r="O2742">
        <v>304.67059999999998</v>
      </c>
      <c r="P2742">
        <v>55</v>
      </c>
      <c r="Q2742" t="s">
        <v>5819</v>
      </c>
    </row>
    <row r="2743" spans="1:17" x14ac:dyDescent="0.3">
      <c r="A2743" t="s">
        <v>4664</v>
      </c>
      <c r="B2743" t="str">
        <f>"002059"</f>
        <v>002059</v>
      </c>
      <c r="C2743" t="s">
        <v>5820</v>
      </c>
      <c r="D2743" t="s">
        <v>333</v>
      </c>
      <c r="F2743">
        <v>23.884599999999999</v>
      </c>
      <c r="G2743">
        <v>369.24189999999999</v>
      </c>
      <c r="H2743">
        <v>208.61660000000001</v>
      </c>
      <c r="I2743">
        <v>821.87599999999998</v>
      </c>
      <c r="J2743">
        <v>1045.3181999999999</v>
      </c>
      <c r="K2743">
        <v>764.04870000000005</v>
      </c>
      <c r="L2743">
        <v>797.40319999999997</v>
      </c>
      <c r="M2743">
        <v>730.66930000000002</v>
      </c>
      <c r="N2743">
        <v>1044.4530999999999</v>
      </c>
      <c r="O2743">
        <v>813.22360000000003</v>
      </c>
      <c r="P2743">
        <v>160</v>
      </c>
      <c r="Q2743" t="s">
        <v>5821</v>
      </c>
    </row>
    <row r="2744" spans="1:17" x14ac:dyDescent="0.3">
      <c r="A2744" t="s">
        <v>4664</v>
      </c>
      <c r="B2744" t="str">
        <f>"002060"</f>
        <v>002060</v>
      </c>
      <c r="C2744" t="s">
        <v>5822</v>
      </c>
      <c r="D2744" t="s">
        <v>101</v>
      </c>
      <c r="F2744">
        <v>23.0549</v>
      </c>
      <c r="G2744">
        <v>98.016099999999994</v>
      </c>
      <c r="H2744">
        <v>151.1558</v>
      </c>
      <c r="I2744">
        <v>181.38849999999999</v>
      </c>
      <c r="J2744">
        <v>156.63200000000001</v>
      </c>
      <c r="K2744">
        <v>183.1395</v>
      </c>
      <c r="L2744">
        <v>170.1687</v>
      </c>
      <c r="M2744">
        <v>163.8784</v>
      </c>
      <c r="N2744">
        <v>237.4486</v>
      </c>
      <c r="O2744">
        <v>226.9855</v>
      </c>
      <c r="P2744">
        <v>169</v>
      </c>
      <c r="Q2744" t="s">
        <v>5823</v>
      </c>
    </row>
    <row r="2745" spans="1:17" x14ac:dyDescent="0.3">
      <c r="A2745" t="s">
        <v>4664</v>
      </c>
      <c r="B2745" t="str">
        <f>"002061"</f>
        <v>002061</v>
      </c>
      <c r="C2745" t="s">
        <v>5824</v>
      </c>
      <c r="D2745" t="s">
        <v>101</v>
      </c>
      <c r="F2745">
        <v>22.600100000000001</v>
      </c>
      <c r="G2745">
        <v>103.7383</v>
      </c>
      <c r="H2745">
        <v>206.14699999999999</v>
      </c>
      <c r="I2745">
        <v>193.54830000000001</v>
      </c>
      <c r="J2745">
        <v>22.450399999999998</v>
      </c>
      <c r="K2745">
        <v>22.7029</v>
      </c>
      <c r="L2745">
        <v>27.159800000000001</v>
      </c>
      <c r="M2745">
        <v>32.705399999999997</v>
      </c>
      <c r="N2745">
        <v>39.867899999999999</v>
      </c>
      <c r="O2745">
        <v>44.632100000000001</v>
      </c>
      <c r="P2745">
        <v>215</v>
      </c>
      <c r="Q2745" t="s">
        <v>5825</v>
      </c>
    </row>
    <row r="2746" spans="1:17" x14ac:dyDescent="0.3">
      <c r="A2746" t="s">
        <v>4664</v>
      </c>
      <c r="B2746" t="str">
        <f>"002062"</f>
        <v>002062</v>
      </c>
      <c r="C2746" t="s">
        <v>5826</v>
      </c>
      <c r="D2746" t="s">
        <v>101</v>
      </c>
      <c r="F2746">
        <v>195.21510000000001</v>
      </c>
      <c r="G2746">
        <v>298.52999999999997</v>
      </c>
      <c r="H2746">
        <v>427.3064</v>
      </c>
      <c r="I2746">
        <v>403.4975</v>
      </c>
      <c r="J2746">
        <v>478.35219999999998</v>
      </c>
      <c r="K2746">
        <v>640.90210000000002</v>
      </c>
      <c r="L2746">
        <v>615.7056</v>
      </c>
      <c r="M2746">
        <v>607.64819999999997</v>
      </c>
      <c r="N2746">
        <v>592.17849999999999</v>
      </c>
      <c r="O2746">
        <v>607.28650000000005</v>
      </c>
      <c r="P2746">
        <v>145</v>
      </c>
      <c r="Q2746" t="s">
        <v>5827</v>
      </c>
    </row>
    <row r="2747" spans="1:17" x14ac:dyDescent="0.3">
      <c r="A2747" t="s">
        <v>4664</v>
      </c>
      <c r="B2747" t="str">
        <f>"002063"</f>
        <v>002063</v>
      </c>
      <c r="C2747" t="s">
        <v>5828</v>
      </c>
      <c r="D2747" t="s">
        <v>945</v>
      </c>
      <c r="F2747">
        <v>45.673699999999997</v>
      </c>
      <c r="G2747">
        <v>58.5886</v>
      </c>
      <c r="H2747">
        <v>68.601900000000001</v>
      </c>
      <c r="I2747">
        <v>62.228900000000003</v>
      </c>
      <c r="J2747">
        <v>47.952800000000003</v>
      </c>
      <c r="K2747">
        <v>45.894500000000001</v>
      </c>
      <c r="L2747">
        <v>23.5748</v>
      </c>
      <c r="M2747">
        <v>13.1341</v>
      </c>
      <c r="N2747">
        <v>0</v>
      </c>
      <c r="O2747">
        <v>16.591000000000001</v>
      </c>
      <c r="P2747">
        <v>489</v>
      </c>
      <c r="Q2747" t="s">
        <v>5829</v>
      </c>
    </row>
    <row r="2748" spans="1:17" x14ac:dyDescent="0.3">
      <c r="A2748" t="s">
        <v>4664</v>
      </c>
      <c r="B2748" t="str">
        <f>"002064"</f>
        <v>002064</v>
      </c>
      <c r="C2748" t="s">
        <v>5830</v>
      </c>
      <c r="D2748" t="s">
        <v>5558</v>
      </c>
      <c r="F2748">
        <v>70.687899999999999</v>
      </c>
      <c r="G2748">
        <v>89.788499999999999</v>
      </c>
      <c r="H2748">
        <v>94.136099999999999</v>
      </c>
      <c r="I2748">
        <v>85.343999999999994</v>
      </c>
      <c r="J2748">
        <v>79.938999999999993</v>
      </c>
      <c r="K2748">
        <v>114.2984</v>
      </c>
      <c r="L2748">
        <v>137.7216</v>
      </c>
      <c r="M2748">
        <v>86.757900000000006</v>
      </c>
      <c r="N2748">
        <v>73.119600000000005</v>
      </c>
      <c r="O2748">
        <v>108.63460000000001</v>
      </c>
      <c r="P2748">
        <v>686</v>
      </c>
      <c r="Q2748" t="s">
        <v>5831</v>
      </c>
    </row>
    <row r="2749" spans="1:17" x14ac:dyDescent="0.3">
      <c r="A2749" t="s">
        <v>4664</v>
      </c>
      <c r="B2749" t="str">
        <f>"002065"</f>
        <v>002065</v>
      </c>
      <c r="C2749" t="s">
        <v>5832</v>
      </c>
      <c r="D2749" t="s">
        <v>316</v>
      </c>
      <c r="F2749">
        <v>545.84929999999997</v>
      </c>
      <c r="G2749">
        <v>563.7405</v>
      </c>
      <c r="H2749">
        <v>490.41669999999999</v>
      </c>
      <c r="I2749">
        <v>458.14980000000003</v>
      </c>
      <c r="J2749">
        <v>430.42970000000003</v>
      </c>
      <c r="K2749">
        <v>414.39420000000001</v>
      </c>
      <c r="L2749">
        <v>266.59679999999997</v>
      </c>
      <c r="M2749">
        <v>224.3432</v>
      </c>
      <c r="N2749">
        <v>319.05950000000001</v>
      </c>
      <c r="O2749">
        <v>331.69900000000001</v>
      </c>
      <c r="P2749">
        <v>942</v>
      </c>
      <c r="Q2749" t="s">
        <v>5833</v>
      </c>
    </row>
    <row r="2750" spans="1:17" x14ac:dyDescent="0.3">
      <c r="A2750" t="s">
        <v>4664</v>
      </c>
      <c r="B2750" t="str">
        <f>"002066"</f>
        <v>002066</v>
      </c>
      <c r="C2750" t="s">
        <v>5834</v>
      </c>
      <c r="D2750" t="s">
        <v>5835</v>
      </c>
      <c r="F2750">
        <v>121.6036</v>
      </c>
      <c r="G2750">
        <v>143.0455</v>
      </c>
      <c r="H2750">
        <v>156.0926</v>
      </c>
      <c r="I2750">
        <v>144.0137</v>
      </c>
      <c r="J2750">
        <v>240.60230000000001</v>
      </c>
      <c r="K2750">
        <v>247.91</v>
      </c>
      <c r="L2750">
        <v>229.11500000000001</v>
      </c>
      <c r="M2750">
        <v>198.87620000000001</v>
      </c>
      <c r="N2750">
        <v>227.3974</v>
      </c>
      <c r="O2750">
        <v>240.8031</v>
      </c>
      <c r="P2750">
        <v>74</v>
      </c>
      <c r="Q2750" t="s">
        <v>5836</v>
      </c>
    </row>
    <row r="2751" spans="1:17" x14ac:dyDescent="0.3">
      <c r="A2751" t="s">
        <v>4664</v>
      </c>
      <c r="B2751" t="str">
        <f>"002067"</f>
        <v>002067</v>
      </c>
      <c r="C2751" t="s">
        <v>5837</v>
      </c>
      <c r="D2751" t="s">
        <v>694</v>
      </c>
      <c r="F2751">
        <v>55.1798</v>
      </c>
      <c r="G2751">
        <v>54.224499999999999</v>
      </c>
      <c r="H2751">
        <v>51.766599999999997</v>
      </c>
      <c r="I2751">
        <v>55.245199999999997</v>
      </c>
      <c r="J2751">
        <v>40.796799999999998</v>
      </c>
      <c r="K2751">
        <v>60.6</v>
      </c>
      <c r="L2751">
        <v>95.104799999999997</v>
      </c>
      <c r="M2751">
        <v>80.150999999999996</v>
      </c>
      <c r="N2751">
        <v>91.248599999999996</v>
      </c>
      <c r="O2751">
        <v>87.458399999999997</v>
      </c>
      <c r="P2751">
        <v>173</v>
      </c>
      <c r="Q2751" t="s">
        <v>5838</v>
      </c>
    </row>
    <row r="2752" spans="1:17" x14ac:dyDescent="0.3">
      <c r="A2752" t="s">
        <v>4664</v>
      </c>
      <c r="B2752" t="str">
        <f>"002068"</f>
        <v>002068</v>
      </c>
      <c r="C2752" t="s">
        <v>5839</v>
      </c>
      <c r="D2752" t="s">
        <v>3619</v>
      </c>
      <c r="F2752">
        <v>53.9133</v>
      </c>
      <c r="G2752">
        <v>81.498000000000005</v>
      </c>
      <c r="H2752">
        <v>63.175600000000003</v>
      </c>
      <c r="I2752">
        <v>68.108999999999995</v>
      </c>
      <c r="J2752">
        <v>63.297600000000003</v>
      </c>
      <c r="K2752">
        <v>78.283000000000001</v>
      </c>
      <c r="L2752">
        <v>82.389700000000005</v>
      </c>
      <c r="M2752">
        <v>75.470500000000001</v>
      </c>
      <c r="N2752">
        <v>71.537700000000001</v>
      </c>
      <c r="O2752">
        <v>91.718299999999999</v>
      </c>
      <c r="P2752">
        <v>300</v>
      </c>
      <c r="Q2752" t="s">
        <v>5840</v>
      </c>
    </row>
    <row r="2753" spans="1:17" x14ac:dyDescent="0.3">
      <c r="A2753" t="s">
        <v>4664</v>
      </c>
      <c r="B2753" t="str">
        <f>"002069"</f>
        <v>002069</v>
      </c>
      <c r="C2753" t="s">
        <v>5841</v>
      </c>
      <c r="D2753" t="s">
        <v>587</v>
      </c>
      <c r="F2753">
        <v>159.41130000000001</v>
      </c>
      <c r="G2753">
        <v>183.33029999999999</v>
      </c>
      <c r="H2753">
        <v>233.37870000000001</v>
      </c>
      <c r="I2753">
        <v>232.98859999999999</v>
      </c>
      <c r="J2753">
        <v>304.18009999999998</v>
      </c>
      <c r="K2753">
        <v>294.64460000000003</v>
      </c>
      <c r="L2753">
        <v>336.36750000000001</v>
      </c>
      <c r="M2753">
        <v>475.77760000000001</v>
      </c>
      <c r="N2753">
        <v>609.15200000000004</v>
      </c>
      <c r="O2753">
        <v>703.09929999999997</v>
      </c>
      <c r="P2753">
        <v>406</v>
      </c>
      <c r="Q2753" t="s">
        <v>5842</v>
      </c>
    </row>
    <row r="2754" spans="1:17" x14ac:dyDescent="0.3">
      <c r="A2754" t="s">
        <v>4664</v>
      </c>
      <c r="B2754" t="str">
        <f>"002070"</f>
        <v>002070</v>
      </c>
      <c r="C2754" t="s">
        <v>5843</v>
      </c>
      <c r="H2754">
        <v>224.5771</v>
      </c>
      <c r="I2754">
        <v>665.2355</v>
      </c>
      <c r="J2754">
        <v>366.61180000000002</v>
      </c>
      <c r="K2754">
        <v>284.64589999999998</v>
      </c>
      <c r="L2754">
        <v>493.79599999999999</v>
      </c>
      <c r="M2754">
        <v>234.06049999999999</v>
      </c>
      <c r="N2754">
        <v>225.7</v>
      </c>
      <c r="O2754">
        <v>241.876</v>
      </c>
      <c r="P2754">
        <v>27</v>
      </c>
      <c r="Q2754" t="s">
        <v>5844</v>
      </c>
    </row>
    <row r="2755" spans="1:17" x14ac:dyDescent="0.3">
      <c r="A2755" t="s">
        <v>4664</v>
      </c>
      <c r="B2755" t="str">
        <f>"002071"</f>
        <v>002071</v>
      </c>
      <c r="C2755" t="s">
        <v>5845</v>
      </c>
      <c r="G2755">
        <v>521.90679999999998</v>
      </c>
      <c r="H2755">
        <v>233.86009999999999</v>
      </c>
      <c r="I2755">
        <v>107.6763</v>
      </c>
      <c r="J2755">
        <v>154.02430000000001</v>
      </c>
      <c r="K2755">
        <v>217.34819999999999</v>
      </c>
      <c r="L2755">
        <v>507.22989999999999</v>
      </c>
      <c r="M2755">
        <v>824.72850000000005</v>
      </c>
      <c r="N2755">
        <v>154.44569999999999</v>
      </c>
      <c r="O2755">
        <v>166.69820000000001</v>
      </c>
      <c r="P2755">
        <v>97</v>
      </c>
      <c r="Q2755" t="s">
        <v>5846</v>
      </c>
    </row>
    <row r="2756" spans="1:17" x14ac:dyDescent="0.3">
      <c r="A2756" t="s">
        <v>4664</v>
      </c>
      <c r="B2756" t="str">
        <f>"002072"</f>
        <v>002072</v>
      </c>
      <c r="C2756" t="s">
        <v>5847</v>
      </c>
      <c r="D2756" t="s">
        <v>110</v>
      </c>
      <c r="G2756">
        <v>0</v>
      </c>
      <c r="H2756">
        <v>0</v>
      </c>
      <c r="I2756">
        <v>2.6575000000000002</v>
      </c>
      <c r="J2756">
        <v>1.7968999999999999</v>
      </c>
      <c r="K2756">
        <v>3686.7865000000002</v>
      </c>
      <c r="L2756">
        <v>924.56029999999998</v>
      </c>
      <c r="M2756">
        <v>172.2996</v>
      </c>
      <c r="N2756">
        <v>129.97290000000001</v>
      </c>
      <c r="O2756">
        <v>96.823099999999997</v>
      </c>
      <c r="P2756">
        <v>64</v>
      </c>
      <c r="Q2756" t="s">
        <v>5848</v>
      </c>
    </row>
    <row r="2757" spans="1:17" x14ac:dyDescent="0.3">
      <c r="A2757" t="s">
        <v>4664</v>
      </c>
      <c r="B2757" t="str">
        <f>"002073"</f>
        <v>002073</v>
      </c>
      <c r="C2757" t="s">
        <v>5849</v>
      </c>
      <c r="D2757" t="s">
        <v>741</v>
      </c>
      <c r="F2757">
        <v>348.76420000000002</v>
      </c>
      <c r="G2757">
        <v>385.6814</v>
      </c>
      <c r="H2757">
        <v>252.77330000000001</v>
      </c>
      <c r="I2757">
        <v>353.1814</v>
      </c>
      <c r="J2757">
        <v>364.47789999999998</v>
      </c>
      <c r="K2757">
        <v>508.70389999999998</v>
      </c>
      <c r="L2757">
        <v>397.17689999999999</v>
      </c>
      <c r="M2757">
        <v>332.98590000000002</v>
      </c>
      <c r="N2757">
        <v>369.27420000000001</v>
      </c>
      <c r="O2757">
        <v>447.38659999999999</v>
      </c>
      <c r="P2757">
        <v>150</v>
      </c>
      <c r="Q2757" t="s">
        <v>5850</v>
      </c>
    </row>
    <row r="2758" spans="1:17" x14ac:dyDescent="0.3">
      <c r="A2758" t="s">
        <v>4664</v>
      </c>
      <c r="B2758" t="str">
        <f>"002074"</f>
        <v>002074</v>
      </c>
      <c r="C2758" t="s">
        <v>5851</v>
      </c>
      <c r="D2758" t="s">
        <v>359</v>
      </c>
      <c r="F2758">
        <v>303.36860000000001</v>
      </c>
      <c r="G2758">
        <v>475.29750000000001</v>
      </c>
      <c r="H2758">
        <v>240.6113</v>
      </c>
      <c r="I2758">
        <v>208.07550000000001</v>
      </c>
      <c r="J2758">
        <v>134.42400000000001</v>
      </c>
      <c r="K2758">
        <v>113.47029999999999</v>
      </c>
      <c r="L2758">
        <v>142.53809999999999</v>
      </c>
      <c r="M2758">
        <v>171.3604</v>
      </c>
      <c r="N2758">
        <v>144.2688</v>
      </c>
      <c r="O2758">
        <v>127.64019999999999</v>
      </c>
      <c r="P2758">
        <v>1003</v>
      </c>
      <c r="Q2758" t="s">
        <v>5852</v>
      </c>
    </row>
    <row r="2759" spans="1:17" x14ac:dyDescent="0.3">
      <c r="A2759" t="s">
        <v>4664</v>
      </c>
      <c r="B2759" t="str">
        <f>"002075"</f>
        <v>002075</v>
      </c>
      <c r="C2759" t="s">
        <v>5853</v>
      </c>
      <c r="D2759" t="s">
        <v>281</v>
      </c>
      <c r="F2759">
        <v>61.289499999999997</v>
      </c>
      <c r="G2759">
        <v>61.541699999999999</v>
      </c>
      <c r="H2759">
        <v>64.840999999999994</v>
      </c>
      <c r="I2759">
        <v>68.991</v>
      </c>
      <c r="J2759">
        <v>75.225300000000004</v>
      </c>
      <c r="K2759">
        <v>74.528999999999996</v>
      </c>
      <c r="L2759">
        <v>73.0749</v>
      </c>
      <c r="M2759">
        <v>89.840599999999995</v>
      </c>
      <c r="N2759">
        <v>82.415400000000005</v>
      </c>
      <c r="O2759">
        <v>78.082999999999998</v>
      </c>
      <c r="P2759">
        <v>281</v>
      </c>
      <c r="Q2759" t="s">
        <v>5854</v>
      </c>
    </row>
    <row r="2760" spans="1:17" x14ac:dyDescent="0.3">
      <c r="A2760" t="s">
        <v>4664</v>
      </c>
      <c r="B2760" t="str">
        <f>"002076"</f>
        <v>002076</v>
      </c>
      <c r="C2760" t="s">
        <v>5855</v>
      </c>
      <c r="D2760" t="s">
        <v>598</v>
      </c>
      <c r="F2760">
        <v>254.38249999999999</v>
      </c>
      <c r="G2760">
        <v>169.87719999999999</v>
      </c>
      <c r="H2760">
        <v>763.96630000000005</v>
      </c>
      <c r="I2760">
        <v>443.76229999999998</v>
      </c>
      <c r="J2760">
        <v>288.98129999999998</v>
      </c>
      <c r="K2760">
        <v>167.8494</v>
      </c>
      <c r="L2760">
        <v>137.81219999999999</v>
      </c>
      <c r="M2760">
        <v>175.07839999999999</v>
      </c>
      <c r="N2760">
        <v>189.4469</v>
      </c>
      <c r="O2760">
        <v>209.53270000000001</v>
      </c>
      <c r="P2760">
        <v>100</v>
      </c>
      <c r="Q2760" t="s">
        <v>5856</v>
      </c>
    </row>
    <row r="2761" spans="1:17" x14ac:dyDescent="0.3">
      <c r="A2761" t="s">
        <v>4664</v>
      </c>
      <c r="B2761" t="str">
        <f>"002077"</f>
        <v>002077</v>
      </c>
      <c r="C2761" t="s">
        <v>5857</v>
      </c>
      <c r="D2761" t="s">
        <v>1180</v>
      </c>
      <c r="F2761">
        <v>253.51320000000001</v>
      </c>
      <c r="G2761">
        <v>355.88900000000001</v>
      </c>
      <c r="H2761">
        <v>696.43709999999999</v>
      </c>
      <c r="I2761">
        <v>778.0086</v>
      </c>
      <c r="J2761">
        <v>868.07539999999995</v>
      </c>
      <c r="K2761">
        <v>683.91679999999997</v>
      </c>
      <c r="L2761">
        <v>806.05330000000004</v>
      </c>
      <c r="M2761">
        <v>398.38049999999998</v>
      </c>
      <c r="N2761">
        <v>595.55899999999997</v>
      </c>
      <c r="O2761">
        <v>248.9838</v>
      </c>
      <c r="P2761">
        <v>125</v>
      </c>
      <c r="Q2761" t="s">
        <v>5858</v>
      </c>
    </row>
    <row r="2762" spans="1:17" x14ac:dyDescent="0.3">
      <c r="A2762" t="s">
        <v>4664</v>
      </c>
      <c r="B2762" t="str">
        <f>"002078"</f>
        <v>002078</v>
      </c>
      <c r="C2762" t="s">
        <v>5859</v>
      </c>
      <c r="D2762" t="s">
        <v>694</v>
      </c>
      <c r="F2762">
        <v>60.817399999999999</v>
      </c>
      <c r="G2762">
        <v>80.447400000000002</v>
      </c>
      <c r="H2762">
        <v>68.898700000000005</v>
      </c>
      <c r="I2762">
        <v>55.323900000000002</v>
      </c>
      <c r="J2762">
        <v>44.4407</v>
      </c>
      <c r="K2762">
        <v>56.5077</v>
      </c>
      <c r="L2762">
        <v>72.923100000000005</v>
      </c>
      <c r="M2762">
        <v>75.181399999999996</v>
      </c>
      <c r="N2762">
        <v>62.166800000000002</v>
      </c>
      <c r="O2762">
        <v>69.123900000000006</v>
      </c>
      <c r="P2762">
        <v>1103</v>
      </c>
      <c r="Q2762" t="s">
        <v>5860</v>
      </c>
    </row>
    <row r="2763" spans="1:17" x14ac:dyDescent="0.3">
      <c r="A2763" t="s">
        <v>4664</v>
      </c>
      <c r="B2763" t="str">
        <f>"002079"</f>
        <v>002079</v>
      </c>
      <c r="C2763" t="s">
        <v>5861</v>
      </c>
      <c r="D2763" t="s">
        <v>795</v>
      </c>
      <c r="F2763">
        <v>60.534999999999997</v>
      </c>
      <c r="G2763">
        <v>69.343900000000005</v>
      </c>
      <c r="H2763">
        <v>56.271299999999997</v>
      </c>
      <c r="I2763">
        <v>65.605500000000006</v>
      </c>
      <c r="J2763">
        <v>62.392800000000001</v>
      </c>
      <c r="K2763">
        <v>77.467500000000001</v>
      </c>
      <c r="L2763">
        <v>97.852599999999995</v>
      </c>
      <c r="M2763">
        <v>91.45</v>
      </c>
      <c r="N2763">
        <v>97.898399999999995</v>
      </c>
      <c r="O2763">
        <v>94.927300000000002</v>
      </c>
      <c r="P2763">
        <v>372</v>
      </c>
      <c r="Q2763" t="s">
        <v>5862</v>
      </c>
    </row>
    <row r="2764" spans="1:17" x14ac:dyDescent="0.3">
      <c r="A2764" t="s">
        <v>4664</v>
      </c>
      <c r="B2764" t="str">
        <f>"002080"</f>
        <v>002080</v>
      </c>
      <c r="C2764" t="s">
        <v>5863</v>
      </c>
      <c r="D2764" t="s">
        <v>411</v>
      </c>
      <c r="F2764">
        <v>82.676500000000004</v>
      </c>
      <c r="G2764">
        <v>86.2667</v>
      </c>
      <c r="H2764">
        <v>105.30670000000001</v>
      </c>
      <c r="I2764">
        <v>128.77459999999999</v>
      </c>
      <c r="J2764">
        <v>123.3181</v>
      </c>
      <c r="K2764">
        <v>113.6276</v>
      </c>
      <c r="L2764">
        <v>134.08199999999999</v>
      </c>
      <c r="M2764">
        <v>160.97839999999999</v>
      </c>
      <c r="N2764">
        <v>198.4716</v>
      </c>
      <c r="O2764">
        <v>202.94900000000001</v>
      </c>
      <c r="P2764">
        <v>913</v>
      </c>
      <c r="Q2764" t="s">
        <v>5864</v>
      </c>
    </row>
    <row r="2765" spans="1:17" x14ac:dyDescent="0.3">
      <c r="A2765" t="s">
        <v>4664</v>
      </c>
      <c r="B2765" t="str">
        <f>"002081"</f>
        <v>002081</v>
      </c>
      <c r="C2765" t="s">
        <v>5865</v>
      </c>
      <c r="D2765" t="s">
        <v>450</v>
      </c>
      <c r="F2765">
        <v>1.2542</v>
      </c>
      <c r="G2765">
        <v>1.7322</v>
      </c>
      <c r="H2765">
        <v>3.0838000000000001</v>
      </c>
      <c r="I2765">
        <v>5.0350000000000001</v>
      </c>
      <c r="J2765">
        <v>5.9409000000000001</v>
      </c>
      <c r="K2765">
        <v>5.1757</v>
      </c>
      <c r="L2765">
        <v>3.6736</v>
      </c>
      <c r="M2765">
        <v>2.9868000000000001</v>
      </c>
      <c r="N2765">
        <v>2.6493000000000002</v>
      </c>
      <c r="O2765">
        <v>2.6979000000000002</v>
      </c>
      <c r="P2765">
        <v>18140</v>
      </c>
      <c r="Q2765" t="s">
        <v>5866</v>
      </c>
    </row>
    <row r="2766" spans="1:17" x14ac:dyDescent="0.3">
      <c r="A2766" t="s">
        <v>4664</v>
      </c>
      <c r="B2766" t="str">
        <f>"002082"</f>
        <v>002082</v>
      </c>
      <c r="C2766" t="s">
        <v>5867</v>
      </c>
      <c r="D2766" t="s">
        <v>504</v>
      </c>
      <c r="F2766">
        <v>315.24889999999999</v>
      </c>
      <c r="G2766">
        <v>26.557600000000001</v>
      </c>
      <c r="H2766">
        <v>17.768899999999999</v>
      </c>
      <c r="I2766">
        <v>17.6934</v>
      </c>
      <c r="J2766">
        <v>10.135899999999999</v>
      </c>
      <c r="K2766">
        <v>17.035</v>
      </c>
      <c r="L2766">
        <v>15.5823</v>
      </c>
      <c r="M2766">
        <v>13.236000000000001</v>
      </c>
      <c r="N2766">
        <v>12.6181</v>
      </c>
      <c r="O2766">
        <v>14.293100000000001</v>
      </c>
      <c r="P2766">
        <v>135</v>
      </c>
      <c r="Q2766" t="s">
        <v>5868</v>
      </c>
    </row>
    <row r="2767" spans="1:17" x14ac:dyDescent="0.3">
      <c r="A2767" t="s">
        <v>4664</v>
      </c>
      <c r="B2767" t="str">
        <f>"002083"</f>
        <v>002083</v>
      </c>
      <c r="C2767" t="s">
        <v>5869</v>
      </c>
      <c r="D2767" t="s">
        <v>1009</v>
      </c>
      <c r="F2767">
        <v>143.9332</v>
      </c>
      <c r="G2767">
        <v>168.7576</v>
      </c>
      <c r="H2767">
        <v>167.1361</v>
      </c>
      <c r="I2767">
        <v>239.65459999999999</v>
      </c>
      <c r="J2767">
        <v>270.61200000000002</v>
      </c>
      <c r="K2767">
        <v>278.68889999999999</v>
      </c>
      <c r="L2767">
        <v>285.0926</v>
      </c>
      <c r="M2767">
        <v>274.36950000000002</v>
      </c>
      <c r="N2767">
        <v>267.13220000000001</v>
      </c>
      <c r="O2767">
        <v>233.25360000000001</v>
      </c>
      <c r="P2767">
        <v>283</v>
      </c>
      <c r="Q2767" t="s">
        <v>5870</v>
      </c>
    </row>
    <row r="2768" spans="1:17" x14ac:dyDescent="0.3">
      <c r="A2768" t="s">
        <v>4664</v>
      </c>
      <c r="B2768" t="str">
        <f>"002084"</f>
        <v>002084</v>
      </c>
      <c r="C2768" t="s">
        <v>5871</v>
      </c>
      <c r="D2768" t="s">
        <v>2885</v>
      </c>
      <c r="F2768">
        <v>160.3518</v>
      </c>
      <c r="G2768">
        <v>144.1985</v>
      </c>
      <c r="H2768">
        <v>118.8464</v>
      </c>
      <c r="I2768">
        <v>121.15940000000001</v>
      </c>
      <c r="J2768">
        <v>111.27460000000001</v>
      </c>
      <c r="K2768">
        <v>125.3295</v>
      </c>
      <c r="L2768">
        <v>137.2971</v>
      </c>
      <c r="M2768">
        <v>151.90899999999999</v>
      </c>
      <c r="N2768">
        <v>129.624</v>
      </c>
      <c r="O2768">
        <v>127.0282</v>
      </c>
      <c r="P2768">
        <v>148</v>
      </c>
      <c r="Q2768" t="s">
        <v>5872</v>
      </c>
    </row>
    <row r="2769" spans="1:17" x14ac:dyDescent="0.3">
      <c r="A2769" t="s">
        <v>4664</v>
      </c>
      <c r="B2769" t="str">
        <f>"002085"</f>
        <v>002085</v>
      </c>
      <c r="C2769" t="s">
        <v>5873</v>
      </c>
      <c r="D2769" t="s">
        <v>422</v>
      </c>
      <c r="F2769">
        <v>126.8171</v>
      </c>
      <c r="G2769">
        <v>116.48350000000001</v>
      </c>
      <c r="H2769">
        <v>84.192400000000006</v>
      </c>
      <c r="I2769">
        <v>70.298000000000002</v>
      </c>
      <c r="J2769">
        <v>69.055999999999997</v>
      </c>
      <c r="K2769">
        <v>65.613200000000006</v>
      </c>
      <c r="L2769">
        <v>50.420499999999997</v>
      </c>
      <c r="M2769">
        <v>44.358899999999998</v>
      </c>
      <c r="N2769">
        <v>45.718400000000003</v>
      </c>
      <c r="O2769">
        <v>43.803899999999999</v>
      </c>
      <c r="P2769">
        <v>1527</v>
      </c>
      <c r="Q2769" t="s">
        <v>5874</v>
      </c>
    </row>
    <row r="2770" spans="1:17" x14ac:dyDescent="0.3">
      <c r="A2770" t="s">
        <v>4664</v>
      </c>
      <c r="B2770" t="str">
        <f>"002086"</f>
        <v>002086</v>
      </c>
      <c r="C2770" t="s">
        <v>5875</v>
      </c>
      <c r="D2770" t="s">
        <v>587</v>
      </c>
      <c r="F2770">
        <v>681.25969999999995</v>
      </c>
      <c r="G2770">
        <v>643.7355</v>
      </c>
      <c r="H2770">
        <v>919.80280000000005</v>
      </c>
      <c r="I2770">
        <v>938.20609999999999</v>
      </c>
      <c r="J2770">
        <v>827.3229</v>
      </c>
      <c r="K2770">
        <v>935.50340000000006</v>
      </c>
      <c r="L2770">
        <v>925.49379999999996</v>
      </c>
      <c r="M2770">
        <v>925.67430000000002</v>
      </c>
      <c r="N2770">
        <v>707.13599999999997</v>
      </c>
      <c r="O2770">
        <v>640.53219999999999</v>
      </c>
      <c r="P2770">
        <v>70</v>
      </c>
      <c r="Q2770" t="s">
        <v>5876</v>
      </c>
    </row>
    <row r="2771" spans="1:17" x14ac:dyDescent="0.3">
      <c r="A2771" t="s">
        <v>4664</v>
      </c>
      <c r="B2771" t="str">
        <f>"002087"</f>
        <v>002087</v>
      </c>
      <c r="C2771" t="s">
        <v>5877</v>
      </c>
      <c r="D2771" t="s">
        <v>1009</v>
      </c>
      <c r="F2771">
        <v>299.90710000000001</v>
      </c>
      <c r="G2771">
        <v>273.8691</v>
      </c>
      <c r="H2771">
        <v>284.85629999999998</v>
      </c>
      <c r="I2771">
        <v>193.24359999999999</v>
      </c>
      <c r="J2771">
        <v>155.55629999999999</v>
      </c>
      <c r="K2771">
        <v>200.82810000000001</v>
      </c>
      <c r="L2771">
        <v>216.03980000000001</v>
      </c>
      <c r="M2771">
        <v>160.60310000000001</v>
      </c>
      <c r="N2771">
        <v>145.99270000000001</v>
      </c>
      <c r="O2771">
        <v>137.58340000000001</v>
      </c>
      <c r="P2771">
        <v>208</v>
      </c>
      <c r="Q2771" t="s">
        <v>5878</v>
      </c>
    </row>
    <row r="2772" spans="1:17" x14ac:dyDescent="0.3">
      <c r="A2772" t="s">
        <v>4664</v>
      </c>
      <c r="B2772" t="str">
        <f>"002088"</f>
        <v>002088</v>
      </c>
      <c r="C2772" t="s">
        <v>5879</v>
      </c>
      <c r="D2772" t="s">
        <v>5835</v>
      </c>
      <c r="F2772">
        <v>86.783000000000001</v>
      </c>
      <c r="G2772">
        <v>142.541</v>
      </c>
      <c r="H2772">
        <v>133.71289999999999</v>
      </c>
      <c r="I2772">
        <v>125.8165</v>
      </c>
      <c r="J2772">
        <v>96.950299999999999</v>
      </c>
      <c r="K2772">
        <v>144.989</v>
      </c>
      <c r="L2772">
        <v>149.19280000000001</v>
      </c>
      <c r="M2772">
        <v>127.666</v>
      </c>
      <c r="N2772">
        <v>141.53149999999999</v>
      </c>
      <c r="O2772">
        <v>138.1927</v>
      </c>
      <c r="P2772">
        <v>407</v>
      </c>
      <c r="Q2772" t="s">
        <v>5880</v>
      </c>
    </row>
    <row r="2773" spans="1:17" x14ac:dyDescent="0.3">
      <c r="A2773" t="s">
        <v>4664</v>
      </c>
      <c r="B2773" t="str">
        <f>"002089"</f>
        <v>002089</v>
      </c>
      <c r="C2773" t="s">
        <v>5881</v>
      </c>
      <c r="D2773" t="s">
        <v>1019</v>
      </c>
      <c r="F2773">
        <v>49.903399999999998</v>
      </c>
      <c r="G2773">
        <v>93.321899999999999</v>
      </c>
      <c r="H2773">
        <v>46.6434</v>
      </c>
      <c r="I2773">
        <v>291.49369999999999</v>
      </c>
      <c r="J2773">
        <v>84.179400000000001</v>
      </c>
      <c r="K2773">
        <v>67.349000000000004</v>
      </c>
      <c r="L2773">
        <v>103.4932</v>
      </c>
      <c r="M2773">
        <v>232.7217</v>
      </c>
      <c r="N2773">
        <v>221.91839999999999</v>
      </c>
      <c r="O2773">
        <v>179.51570000000001</v>
      </c>
      <c r="P2773">
        <v>175</v>
      </c>
      <c r="Q2773" t="s">
        <v>5882</v>
      </c>
    </row>
    <row r="2774" spans="1:17" x14ac:dyDescent="0.3">
      <c r="A2774" t="s">
        <v>4664</v>
      </c>
      <c r="B2774" t="str">
        <f>"002090"</f>
        <v>002090</v>
      </c>
      <c r="C2774" t="s">
        <v>5883</v>
      </c>
      <c r="D2774" t="s">
        <v>610</v>
      </c>
      <c r="F2774">
        <v>134.64109999999999</v>
      </c>
      <c r="G2774">
        <v>248.5984</v>
      </c>
      <c r="H2774">
        <v>203.15860000000001</v>
      </c>
      <c r="I2774">
        <v>257.2235</v>
      </c>
      <c r="J2774">
        <v>131.06</v>
      </c>
      <c r="K2774">
        <v>183.6557</v>
      </c>
      <c r="L2774">
        <v>188.94489999999999</v>
      </c>
      <c r="M2774">
        <v>157.56710000000001</v>
      </c>
      <c r="N2774">
        <v>127.3704</v>
      </c>
      <c r="O2774">
        <v>113.1799</v>
      </c>
      <c r="P2774">
        <v>229</v>
      </c>
      <c r="Q2774" t="s">
        <v>5884</v>
      </c>
    </row>
    <row r="2775" spans="1:17" x14ac:dyDescent="0.3">
      <c r="A2775" t="s">
        <v>4664</v>
      </c>
      <c r="B2775" t="str">
        <f>"002091"</f>
        <v>002091</v>
      </c>
      <c r="C2775" t="s">
        <v>5885</v>
      </c>
      <c r="D2775" t="s">
        <v>131</v>
      </c>
      <c r="F2775">
        <v>35.5749</v>
      </c>
      <c r="G2775">
        <v>73.382999999999996</v>
      </c>
      <c r="H2775">
        <v>40.464599999999997</v>
      </c>
      <c r="I2775">
        <v>25.552</v>
      </c>
      <c r="J2775">
        <v>25.5749</v>
      </c>
      <c r="K2775">
        <v>38.602899999999998</v>
      </c>
      <c r="L2775">
        <v>36.110799999999998</v>
      </c>
      <c r="M2775">
        <v>21.703399999999998</v>
      </c>
      <c r="N2775">
        <v>16.6191</v>
      </c>
      <c r="O2775">
        <v>21.011700000000001</v>
      </c>
      <c r="P2775">
        <v>509</v>
      </c>
      <c r="Q2775" t="s">
        <v>5886</v>
      </c>
    </row>
    <row r="2776" spans="1:17" x14ac:dyDescent="0.3">
      <c r="A2776" t="s">
        <v>4664</v>
      </c>
      <c r="B2776" t="str">
        <f>"002092"</f>
        <v>002092</v>
      </c>
      <c r="C2776" t="s">
        <v>5887</v>
      </c>
      <c r="D2776" t="s">
        <v>175</v>
      </c>
      <c r="F2776">
        <v>23.947199999999999</v>
      </c>
      <c r="G2776">
        <v>19.6509</v>
      </c>
      <c r="H2776">
        <v>22.253</v>
      </c>
      <c r="I2776">
        <v>29.493400000000001</v>
      </c>
      <c r="J2776">
        <v>38.5441</v>
      </c>
      <c r="K2776">
        <v>46.735999999999997</v>
      </c>
      <c r="L2776">
        <v>52.919699999999999</v>
      </c>
      <c r="M2776">
        <v>40.589700000000001</v>
      </c>
      <c r="N2776">
        <v>28.0547</v>
      </c>
      <c r="O2776">
        <v>27.5685</v>
      </c>
      <c r="P2776">
        <v>521</v>
      </c>
      <c r="Q2776" t="s">
        <v>5888</v>
      </c>
    </row>
    <row r="2777" spans="1:17" x14ac:dyDescent="0.3">
      <c r="A2777" t="s">
        <v>4664</v>
      </c>
      <c r="B2777" t="str">
        <f>"002093"</f>
        <v>002093</v>
      </c>
      <c r="C2777" t="s">
        <v>5889</v>
      </c>
      <c r="D2777" t="s">
        <v>654</v>
      </c>
      <c r="F2777">
        <v>4193.2343000000001</v>
      </c>
      <c r="G2777">
        <v>4017.489</v>
      </c>
      <c r="H2777">
        <v>2678.5373</v>
      </c>
      <c r="I2777">
        <v>793.07759999999996</v>
      </c>
      <c r="J2777">
        <v>599.85749999999996</v>
      </c>
      <c r="K2777">
        <v>624.35379999999998</v>
      </c>
      <c r="L2777">
        <v>2610.5300999999999</v>
      </c>
      <c r="M2777">
        <v>2700.3384000000001</v>
      </c>
      <c r="N2777">
        <v>1739.1859999999999</v>
      </c>
      <c r="O2777">
        <v>358.91149999999999</v>
      </c>
      <c r="P2777">
        <v>288</v>
      </c>
      <c r="Q2777" t="s">
        <v>5890</v>
      </c>
    </row>
    <row r="2778" spans="1:17" x14ac:dyDescent="0.3">
      <c r="A2778" t="s">
        <v>4664</v>
      </c>
      <c r="B2778" t="str">
        <f>"002094"</f>
        <v>002094</v>
      </c>
      <c r="C2778" t="s">
        <v>5891</v>
      </c>
      <c r="D2778" t="s">
        <v>5892</v>
      </c>
      <c r="F2778">
        <v>117.7101</v>
      </c>
      <c r="G2778">
        <v>118.04600000000001</v>
      </c>
      <c r="H2778">
        <v>99.6357</v>
      </c>
      <c r="I2778">
        <v>104.70440000000001</v>
      </c>
      <c r="J2778">
        <v>79.852199999999996</v>
      </c>
      <c r="K2778">
        <v>82.432299999999998</v>
      </c>
      <c r="L2778">
        <v>114.563</v>
      </c>
      <c r="M2778">
        <v>114.77809999999999</v>
      </c>
      <c r="N2778">
        <v>110.2204</v>
      </c>
      <c r="O2778">
        <v>143.12270000000001</v>
      </c>
      <c r="P2778">
        <v>183</v>
      </c>
      <c r="Q2778" t="s">
        <v>5893</v>
      </c>
    </row>
    <row r="2779" spans="1:17" x14ac:dyDescent="0.3">
      <c r="A2779" t="s">
        <v>4664</v>
      </c>
      <c r="B2779" t="str">
        <f>"002095"</f>
        <v>002095</v>
      </c>
      <c r="C2779" t="s">
        <v>5894</v>
      </c>
      <c r="D2779" t="s">
        <v>522</v>
      </c>
      <c r="F2779">
        <v>6.4180999999999999</v>
      </c>
      <c r="G2779">
        <v>6.7629999999999999</v>
      </c>
      <c r="H2779">
        <v>8.3393999999999995</v>
      </c>
      <c r="I2779">
        <v>7.4120999999999997</v>
      </c>
      <c r="J2779">
        <v>6.9023000000000003</v>
      </c>
      <c r="K2779">
        <v>2.6265999999999998</v>
      </c>
      <c r="L2779">
        <v>2.0158</v>
      </c>
      <c r="M2779">
        <v>0</v>
      </c>
      <c r="N2779">
        <v>0</v>
      </c>
      <c r="O2779">
        <v>0</v>
      </c>
      <c r="P2779">
        <v>97</v>
      </c>
      <c r="Q2779" t="s">
        <v>5895</v>
      </c>
    </row>
    <row r="2780" spans="1:17" x14ac:dyDescent="0.3">
      <c r="A2780" t="s">
        <v>4664</v>
      </c>
      <c r="B2780" t="str">
        <f>"002096"</f>
        <v>002096</v>
      </c>
      <c r="C2780" t="s">
        <v>5896</v>
      </c>
      <c r="D2780" t="s">
        <v>2713</v>
      </c>
      <c r="F2780">
        <v>108.0796</v>
      </c>
      <c r="G2780">
        <v>87.459599999999995</v>
      </c>
      <c r="H2780">
        <v>54.813299999999998</v>
      </c>
      <c r="I2780">
        <v>66.994100000000003</v>
      </c>
      <c r="J2780">
        <v>57.790100000000002</v>
      </c>
      <c r="K2780">
        <v>48.480699999999999</v>
      </c>
      <c r="L2780">
        <v>86.043000000000006</v>
      </c>
      <c r="M2780">
        <v>93.982399999999998</v>
      </c>
      <c r="N2780">
        <v>86.503399999999999</v>
      </c>
      <c r="O2780">
        <v>49.114199999999997</v>
      </c>
      <c r="P2780">
        <v>79</v>
      </c>
      <c r="Q2780" t="s">
        <v>5897</v>
      </c>
    </row>
    <row r="2781" spans="1:17" x14ac:dyDescent="0.3">
      <c r="A2781" t="s">
        <v>4664</v>
      </c>
      <c r="B2781" t="str">
        <f>"002097"</f>
        <v>002097</v>
      </c>
      <c r="C2781" t="s">
        <v>5898</v>
      </c>
      <c r="D2781" t="s">
        <v>83</v>
      </c>
      <c r="F2781">
        <v>150.87979999999999</v>
      </c>
      <c r="G2781">
        <v>201.1191</v>
      </c>
      <c r="H2781">
        <v>251.31180000000001</v>
      </c>
      <c r="I2781">
        <v>290.84440000000001</v>
      </c>
      <c r="J2781">
        <v>372.2208</v>
      </c>
      <c r="K2781">
        <v>509.67959999999999</v>
      </c>
      <c r="L2781">
        <v>519.99680000000001</v>
      </c>
      <c r="M2781">
        <v>426.61079999999998</v>
      </c>
      <c r="N2781">
        <v>383.72559999999999</v>
      </c>
      <c r="O2781">
        <v>406.25380000000001</v>
      </c>
      <c r="P2781">
        <v>217</v>
      </c>
      <c r="Q2781" t="s">
        <v>5899</v>
      </c>
    </row>
    <row r="2782" spans="1:17" x14ac:dyDescent="0.3">
      <c r="A2782" t="s">
        <v>4664</v>
      </c>
      <c r="B2782" t="str">
        <f>"002098"</f>
        <v>002098</v>
      </c>
      <c r="C2782" t="s">
        <v>5900</v>
      </c>
      <c r="D2782" t="s">
        <v>2929</v>
      </c>
      <c r="F2782">
        <v>128.5737</v>
      </c>
      <c r="G2782">
        <v>122.9798</v>
      </c>
      <c r="H2782">
        <v>162.3416</v>
      </c>
      <c r="I2782">
        <v>216.54900000000001</v>
      </c>
      <c r="J2782">
        <v>198.35390000000001</v>
      </c>
      <c r="K2782">
        <v>139.17259999999999</v>
      </c>
      <c r="L2782">
        <v>149.9683</v>
      </c>
      <c r="M2782">
        <v>149.6891</v>
      </c>
      <c r="N2782">
        <v>146.71860000000001</v>
      </c>
      <c r="O2782">
        <v>155.03120000000001</v>
      </c>
      <c r="P2782">
        <v>111</v>
      </c>
      <c r="Q2782" t="s">
        <v>5901</v>
      </c>
    </row>
    <row r="2783" spans="1:17" x14ac:dyDescent="0.3">
      <c r="A2783" t="s">
        <v>4664</v>
      </c>
      <c r="B2783" t="str">
        <f>"002099"</f>
        <v>002099</v>
      </c>
      <c r="C2783" t="s">
        <v>5902</v>
      </c>
      <c r="D2783" t="s">
        <v>496</v>
      </c>
      <c r="F2783">
        <v>263.12650000000002</v>
      </c>
      <c r="G2783">
        <v>285.60579999999999</v>
      </c>
      <c r="H2783">
        <v>276.69650000000001</v>
      </c>
      <c r="I2783">
        <v>256.18439999999998</v>
      </c>
      <c r="J2783">
        <v>256.45150000000001</v>
      </c>
      <c r="K2783">
        <v>211.66139999999999</v>
      </c>
      <c r="L2783">
        <v>221.14699999999999</v>
      </c>
      <c r="M2783">
        <v>173.15020000000001</v>
      </c>
      <c r="N2783">
        <v>154.40190000000001</v>
      </c>
      <c r="O2783">
        <v>170.29750000000001</v>
      </c>
      <c r="P2783">
        <v>298</v>
      </c>
      <c r="Q2783" t="s">
        <v>5903</v>
      </c>
    </row>
    <row r="2784" spans="1:17" x14ac:dyDescent="0.3">
      <c r="A2784" t="s">
        <v>4664</v>
      </c>
      <c r="B2784" t="str">
        <f>"002100"</f>
        <v>002100</v>
      </c>
      <c r="C2784" t="s">
        <v>5904</v>
      </c>
      <c r="D2784" t="s">
        <v>2859</v>
      </c>
      <c r="F2784">
        <v>150.35419999999999</v>
      </c>
      <c r="G2784">
        <v>174.99850000000001</v>
      </c>
      <c r="H2784">
        <v>170.39019999999999</v>
      </c>
      <c r="I2784">
        <v>104.624</v>
      </c>
      <c r="J2784">
        <v>96.411100000000005</v>
      </c>
      <c r="K2784">
        <v>91.174499999999995</v>
      </c>
      <c r="L2784">
        <v>96.046700000000001</v>
      </c>
      <c r="M2784">
        <v>95.256900000000002</v>
      </c>
      <c r="N2784">
        <v>71.985900000000001</v>
      </c>
      <c r="O2784">
        <v>83.975999999999999</v>
      </c>
      <c r="P2784">
        <v>737</v>
      </c>
      <c r="Q2784" t="s">
        <v>5905</v>
      </c>
    </row>
    <row r="2785" spans="1:17" x14ac:dyDescent="0.3">
      <c r="A2785" t="s">
        <v>4664</v>
      </c>
      <c r="B2785" t="str">
        <f>"002101"</f>
        <v>002101</v>
      </c>
      <c r="C2785" t="s">
        <v>5906</v>
      </c>
      <c r="D2785" t="s">
        <v>985</v>
      </c>
      <c r="F2785">
        <v>96.980599999999995</v>
      </c>
      <c r="G2785">
        <v>105.1541</v>
      </c>
      <c r="H2785">
        <v>90.158299999999997</v>
      </c>
      <c r="I2785">
        <v>93.707499999999996</v>
      </c>
      <c r="J2785">
        <v>78.739099999999993</v>
      </c>
      <c r="K2785">
        <v>89.163300000000007</v>
      </c>
      <c r="L2785">
        <v>111.97799999999999</v>
      </c>
      <c r="M2785">
        <v>89.189400000000006</v>
      </c>
      <c r="N2785">
        <v>86.5702</v>
      </c>
      <c r="O2785">
        <v>91.813900000000004</v>
      </c>
      <c r="P2785">
        <v>267</v>
      </c>
      <c r="Q2785" t="s">
        <v>5907</v>
      </c>
    </row>
    <row r="2786" spans="1:17" x14ac:dyDescent="0.3">
      <c r="A2786" t="s">
        <v>4664</v>
      </c>
      <c r="B2786" t="str">
        <f>"002102"</f>
        <v>002102</v>
      </c>
      <c r="C2786" t="s">
        <v>5908</v>
      </c>
      <c r="D2786" t="s">
        <v>496</v>
      </c>
      <c r="F2786">
        <v>50.617800000000003</v>
      </c>
      <c r="G2786">
        <v>59.130899999999997</v>
      </c>
      <c r="H2786">
        <v>43.5563</v>
      </c>
      <c r="I2786">
        <v>33.634599999999999</v>
      </c>
      <c r="J2786">
        <v>29.7088</v>
      </c>
      <c r="K2786">
        <v>88.262100000000004</v>
      </c>
      <c r="L2786">
        <v>230.57249999999999</v>
      </c>
      <c r="M2786">
        <v>111.84780000000001</v>
      </c>
      <c r="N2786">
        <v>122.8396</v>
      </c>
      <c r="O2786">
        <v>605.30909999999994</v>
      </c>
      <c r="P2786">
        <v>119</v>
      </c>
      <c r="Q2786" t="s">
        <v>5909</v>
      </c>
    </row>
    <row r="2787" spans="1:17" x14ac:dyDescent="0.3">
      <c r="A2787" t="s">
        <v>4664</v>
      </c>
      <c r="B2787" t="str">
        <f>"002103"</f>
        <v>002103</v>
      </c>
      <c r="C2787" t="s">
        <v>5910</v>
      </c>
      <c r="D2787" t="s">
        <v>207</v>
      </c>
      <c r="F2787">
        <v>35.842599999999997</v>
      </c>
      <c r="G2787">
        <v>50.052799999999998</v>
      </c>
      <c r="H2787">
        <v>62.683199999999999</v>
      </c>
      <c r="I2787">
        <v>65.260999999999996</v>
      </c>
      <c r="J2787">
        <v>55.686100000000003</v>
      </c>
      <c r="K2787">
        <v>91.531199999999998</v>
      </c>
      <c r="L2787">
        <v>91.696700000000007</v>
      </c>
      <c r="M2787">
        <v>124.9425</v>
      </c>
      <c r="N2787">
        <v>120.7128</v>
      </c>
      <c r="O2787">
        <v>100.5467</v>
      </c>
      <c r="P2787">
        <v>108</v>
      </c>
      <c r="Q2787" t="s">
        <v>5911</v>
      </c>
    </row>
    <row r="2788" spans="1:17" x14ac:dyDescent="0.3">
      <c r="A2788" t="s">
        <v>4664</v>
      </c>
      <c r="B2788" t="str">
        <f>"002104"</f>
        <v>002104</v>
      </c>
      <c r="C2788" t="s">
        <v>5912</v>
      </c>
      <c r="D2788" t="s">
        <v>786</v>
      </c>
      <c r="F2788">
        <v>178.1095</v>
      </c>
      <c r="G2788">
        <v>175.60589999999999</v>
      </c>
      <c r="H2788">
        <v>103.1091</v>
      </c>
      <c r="I2788">
        <v>76.488900000000001</v>
      </c>
      <c r="J2788">
        <v>145.70439999999999</v>
      </c>
      <c r="K2788">
        <v>195.333</v>
      </c>
      <c r="L2788">
        <v>133.7312</v>
      </c>
      <c r="M2788">
        <v>173.17320000000001</v>
      </c>
      <c r="N2788">
        <v>225.364</v>
      </c>
      <c r="O2788">
        <v>195.15729999999999</v>
      </c>
      <c r="P2788">
        <v>416</v>
      </c>
      <c r="Q2788" t="s">
        <v>5913</v>
      </c>
    </row>
    <row r="2789" spans="1:17" x14ac:dyDescent="0.3">
      <c r="A2789" t="s">
        <v>4664</v>
      </c>
      <c r="B2789" t="str">
        <f>"002105"</f>
        <v>002105</v>
      </c>
      <c r="C2789" t="s">
        <v>5914</v>
      </c>
      <c r="D2789" t="s">
        <v>233</v>
      </c>
      <c r="F2789">
        <v>84.879099999999994</v>
      </c>
      <c r="G2789">
        <v>78.394900000000007</v>
      </c>
      <c r="H2789">
        <v>77.574200000000005</v>
      </c>
      <c r="I2789">
        <v>97.501199999999997</v>
      </c>
      <c r="J2789">
        <v>70.277299999999997</v>
      </c>
      <c r="K2789">
        <v>86.8673</v>
      </c>
      <c r="L2789">
        <v>96.738200000000006</v>
      </c>
      <c r="M2789">
        <v>77.319100000000006</v>
      </c>
      <c r="N2789">
        <v>77.134600000000006</v>
      </c>
      <c r="O2789">
        <v>69.236500000000007</v>
      </c>
      <c r="P2789">
        <v>217</v>
      </c>
      <c r="Q2789" t="s">
        <v>5915</v>
      </c>
    </row>
    <row r="2790" spans="1:17" x14ac:dyDescent="0.3">
      <c r="A2790" t="s">
        <v>4664</v>
      </c>
      <c r="B2790" t="str">
        <f>"002106"</f>
        <v>002106</v>
      </c>
      <c r="C2790" t="s">
        <v>5916</v>
      </c>
      <c r="D2790" t="s">
        <v>1117</v>
      </c>
      <c r="F2790">
        <v>59.485700000000001</v>
      </c>
      <c r="G2790">
        <v>60.336300000000001</v>
      </c>
      <c r="H2790">
        <v>67.452799999999996</v>
      </c>
      <c r="I2790">
        <v>67.661199999999994</v>
      </c>
      <c r="J2790">
        <v>61.912500000000001</v>
      </c>
      <c r="K2790">
        <v>65.749799999999993</v>
      </c>
      <c r="L2790">
        <v>98.288300000000007</v>
      </c>
      <c r="M2790">
        <v>87.385099999999994</v>
      </c>
      <c r="N2790">
        <v>82.537999999999997</v>
      </c>
      <c r="O2790">
        <v>91.6297</v>
      </c>
      <c r="P2790">
        <v>296</v>
      </c>
      <c r="Q2790" t="s">
        <v>5917</v>
      </c>
    </row>
    <row r="2791" spans="1:17" x14ac:dyDescent="0.3">
      <c r="A2791" t="s">
        <v>4664</v>
      </c>
      <c r="B2791" t="str">
        <f>"002107"</f>
        <v>002107</v>
      </c>
      <c r="C2791" t="s">
        <v>5918</v>
      </c>
      <c r="D2791" t="s">
        <v>188</v>
      </c>
      <c r="F2791">
        <v>312.95190000000002</v>
      </c>
      <c r="G2791">
        <v>218.31790000000001</v>
      </c>
      <c r="H2791">
        <v>211.46019999999999</v>
      </c>
      <c r="I2791">
        <v>219.5547</v>
      </c>
      <c r="J2791">
        <v>191.93389999999999</v>
      </c>
      <c r="K2791">
        <v>184.1705</v>
      </c>
      <c r="L2791">
        <v>145.65029999999999</v>
      </c>
      <c r="M2791">
        <v>152.7852</v>
      </c>
      <c r="N2791">
        <v>230.92169999999999</v>
      </c>
      <c r="O2791">
        <v>248.33709999999999</v>
      </c>
      <c r="P2791">
        <v>350</v>
      </c>
      <c r="Q2791" t="s">
        <v>5919</v>
      </c>
    </row>
    <row r="2792" spans="1:17" x14ac:dyDescent="0.3">
      <c r="A2792" t="s">
        <v>4664</v>
      </c>
      <c r="B2792" t="str">
        <f>"002108"</f>
        <v>002108</v>
      </c>
      <c r="C2792" t="s">
        <v>5920</v>
      </c>
      <c r="D2792" t="s">
        <v>1192</v>
      </c>
      <c r="F2792">
        <v>104.5337</v>
      </c>
      <c r="G2792">
        <v>68.321200000000005</v>
      </c>
      <c r="H2792">
        <v>75.968699999999998</v>
      </c>
      <c r="I2792">
        <v>61.1738</v>
      </c>
      <c r="J2792">
        <v>54.471499999999999</v>
      </c>
      <c r="K2792">
        <v>60.992400000000004</v>
      </c>
      <c r="L2792">
        <v>67.017499999999998</v>
      </c>
      <c r="M2792">
        <v>64.488600000000005</v>
      </c>
      <c r="N2792">
        <v>65.938100000000006</v>
      </c>
      <c r="O2792">
        <v>54.326500000000003</v>
      </c>
      <c r="P2792">
        <v>345</v>
      </c>
      <c r="Q2792" t="s">
        <v>5921</v>
      </c>
    </row>
    <row r="2793" spans="1:17" x14ac:dyDescent="0.3">
      <c r="A2793" t="s">
        <v>4664</v>
      </c>
      <c r="B2793" t="str">
        <f>"002109"</f>
        <v>002109</v>
      </c>
      <c r="C2793" t="s">
        <v>5922</v>
      </c>
      <c r="D2793" t="s">
        <v>1233</v>
      </c>
      <c r="F2793">
        <v>13.2341</v>
      </c>
      <c r="G2793">
        <v>22.516300000000001</v>
      </c>
      <c r="H2793">
        <v>25.962299999999999</v>
      </c>
      <c r="I2793">
        <v>26.854399999999998</v>
      </c>
      <c r="J2793">
        <v>23.903600000000001</v>
      </c>
      <c r="K2793">
        <v>42.858699999999999</v>
      </c>
      <c r="L2793">
        <v>45.139699999999998</v>
      </c>
      <c r="M2793">
        <v>44.739600000000003</v>
      </c>
      <c r="N2793">
        <v>41.279499999999999</v>
      </c>
      <c r="O2793">
        <v>55.385100000000001</v>
      </c>
      <c r="P2793">
        <v>138</v>
      </c>
      <c r="Q2793" t="s">
        <v>5923</v>
      </c>
    </row>
    <row r="2794" spans="1:17" x14ac:dyDescent="0.3">
      <c r="A2794" t="s">
        <v>4664</v>
      </c>
      <c r="B2794" t="str">
        <f>"002110"</f>
        <v>002110</v>
      </c>
      <c r="C2794" t="s">
        <v>5924</v>
      </c>
      <c r="D2794" t="s">
        <v>531</v>
      </c>
      <c r="F2794">
        <v>37.120899999999999</v>
      </c>
      <c r="G2794">
        <v>44.4694</v>
      </c>
      <c r="H2794">
        <v>38.197299999999998</v>
      </c>
      <c r="I2794">
        <v>37.586199999999998</v>
      </c>
      <c r="J2794">
        <v>47.505499999999998</v>
      </c>
      <c r="K2794">
        <v>45.898200000000003</v>
      </c>
      <c r="L2794">
        <v>45.102899999999998</v>
      </c>
      <c r="M2794">
        <v>54.711100000000002</v>
      </c>
      <c r="N2794">
        <v>53.906399999999998</v>
      </c>
      <c r="O2794">
        <v>54.278700000000001</v>
      </c>
      <c r="P2794">
        <v>1174</v>
      </c>
      <c r="Q2794" t="s">
        <v>5925</v>
      </c>
    </row>
    <row r="2795" spans="1:17" x14ac:dyDescent="0.3">
      <c r="A2795" t="s">
        <v>4664</v>
      </c>
      <c r="B2795" t="str">
        <f>"002111"</f>
        <v>002111</v>
      </c>
      <c r="C2795" t="s">
        <v>5926</v>
      </c>
      <c r="D2795" t="s">
        <v>741</v>
      </c>
      <c r="F2795">
        <v>318.43729999999999</v>
      </c>
      <c r="G2795">
        <v>412.57960000000003</v>
      </c>
      <c r="H2795">
        <v>374.34699999999998</v>
      </c>
      <c r="I2795">
        <v>392.19929999999999</v>
      </c>
      <c r="J2795">
        <v>431.12329999999997</v>
      </c>
      <c r="K2795">
        <v>422.2749</v>
      </c>
      <c r="L2795">
        <v>381.72359999999998</v>
      </c>
      <c r="M2795">
        <v>441.63260000000002</v>
      </c>
      <c r="N2795">
        <v>365.16879999999998</v>
      </c>
      <c r="O2795">
        <v>324.90719999999999</v>
      </c>
      <c r="P2795">
        <v>214</v>
      </c>
      <c r="Q2795" t="s">
        <v>5927</v>
      </c>
    </row>
    <row r="2796" spans="1:17" x14ac:dyDescent="0.3">
      <c r="A2796" t="s">
        <v>4664</v>
      </c>
      <c r="B2796" t="str">
        <f>"002112"</f>
        <v>002112</v>
      </c>
      <c r="C2796" t="s">
        <v>5928</v>
      </c>
      <c r="D2796" t="s">
        <v>210</v>
      </c>
      <c r="F2796">
        <v>176.01390000000001</v>
      </c>
      <c r="G2796">
        <v>194.0335</v>
      </c>
      <c r="H2796">
        <v>200.07239999999999</v>
      </c>
      <c r="I2796">
        <v>233.03790000000001</v>
      </c>
      <c r="J2796">
        <v>260.20920000000001</v>
      </c>
      <c r="K2796">
        <v>191.36080000000001</v>
      </c>
      <c r="L2796">
        <v>181.03960000000001</v>
      </c>
      <c r="M2796">
        <v>222.4102</v>
      </c>
      <c r="N2796">
        <v>200.5925</v>
      </c>
      <c r="O2796">
        <v>195.38570000000001</v>
      </c>
      <c r="P2796">
        <v>76</v>
      </c>
      <c r="Q2796" t="s">
        <v>5929</v>
      </c>
    </row>
    <row r="2797" spans="1:17" x14ac:dyDescent="0.3">
      <c r="A2797" t="s">
        <v>4664</v>
      </c>
      <c r="B2797" t="str">
        <f>"002113"</f>
        <v>002113</v>
      </c>
      <c r="C2797" t="s">
        <v>5930</v>
      </c>
      <c r="D2797" t="s">
        <v>517</v>
      </c>
      <c r="F2797">
        <v>2.0146999999999999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369.40309999999999</v>
      </c>
      <c r="O2797">
        <v>382.14550000000003</v>
      </c>
      <c r="P2797">
        <v>77</v>
      </c>
      <c r="Q2797" t="s">
        <v>5931</v>
      </c>
    </row>
    <row r="2798" spans="1:17" x14ac:dyDescent="0.3">
      <c r="A2798" t="s">
        <v>4664</v>
      </c>
      <c r="B2798" t="str">
        <f>"002114"</f>
        <v>002114</v>
      </c>
      <c r="C2798" t="s">
        <v>5932</v>
      </c>
      <c r="D2798" t="s">
        <v>744</v>
      </c>
      <c r="F2798">
        <v>68.781400000000005</v>
      </c>
      <c r="G2798">
        <v>96.936300000000003</v>
      </c>
      <c r="H2798">
        <v>82.65</v>
      </c>
      <c r="I2798">
        <v>185.1679</v>
      </c>
      <c r="J2798">
        <v>114.92449999999999</v>
      </c>
      <c r="K2798">
        <v>152.70750000000001</v>
      </c>
      <c r="L2798">
        <v>164.21639999999999</v>
      </c>
      <c r="M2798">
        <v>213.42609999999999</v>
      </c>
      <c r="N2798">
        <v>272.87889999999999</v>
      </c>
      <c r="O2798">
        <v>179.00129999999999</v>
      </c>
      <c r="P2798">
        <v>73</v>
      </c>
      <c r="Q2798" t="s">
        <v>5933</v>
      </c>
    </row>
    <row r="2799" spans="1:17" x14ac:dyDescent="0.3">
      <c r="A2799" t="s">
        <v>4664</v>
      </c>
      <c r="B2799" t="str">
        <f>"002115"</f>
        <v>002115</v>
      </c>
      <c r="C2799" t="s">
        <v>5934</v>
      </c>
      <c r="D2799" t="s">
        <v>654</v>
      </c>
      <c r="F2799">
        <v>16.413699999999999</v>
      </c>
      <c r="G2799">
        <v>15.606299999999999</v>
      </c>
      <c r="H2799">
        <v>35.444499999999998</v>
      </c>
      <c r="I2799">
        <v>70.836200000000005</v>
      </c>
      <c r="J2799">
        <v>263.23399999999998</v>
      </c>
      <c r="K2799">
        <v>351.99610000000001</v>
      </c>
      <c r="L2799">
        <v>370.1952</v>
      </c>
      <c r="M2799">
        <v>488.17680000000001</v>
      </c>
      <c r="N2799">
        <v>513.23080000000004</v>
      </c>
      <c r="O2799">
        <v>483.91860000000003</v>
      </c>
      <c r="P2799">
        <v>239</v>
      </c>
      <c r="Q2799" t="s">
        <v>5935</v>
      </c>
    </row>
    <row r="2800" spans="1:17" x14ac:dyDescent="0.3">
      <c r="A2800" t="s">
        <v>4664</v>
      </c>
      <c r="B2800" t="str">
        <f>"002116"</f>
        <v>002116</v>
      </c>
      <c r="C2800" t="s">
        <v>5936</v>
      </c>
      <c r="D2800" t="s">
        <v>1986</v>
      </c>
      <c r="F2800">
        <v>5.8038999999999996</v>
      </c>
      <c r="G2800">
        <v>26.784099999999999</v>
      </c>
      <c r="H2800">
        <v>58.530900000000003</v>
      </c>
      <c r="I2800">
        <v>64.083399999999997</v>
      </c>
      <c r="J2800">
        <v>91.390799999999999</v>
      </c>
      <c r="K2800">
        <v>67.508799999999994</v>
      </c>
      <c r="L2800">
        <v>74.761300000000006</v>
      </c>
      <c r="M2800">
        <v>59.553899999999999</v>
      </c>
      <c r="N2800">
        <v>47.592700000000001</v>
      </c>
      <c r="O2800">
        <v>18.867799999999999</v>
      </c>
      <c r="P2800">
        <v>176</v>
      </c>
      <c r="Q2800" t="s">
        <v>5937</v>
      </c>
    </row>
    <row r="2801" spans="1:17" x14ac:dyDescent="0.3">
      <c r="A2801" t="s">
        <v>4664</v>
      </c>
      <c r="B2801" t="str">
        <f>"002117"</f>
        <v>002117</v>
      </c>
      <c r="C2801" t="s">
        <v>5938</v>
      </c>
      <c r="D2801" t="s">
        <v>1692</v>
      </c>
      <c r="F2801">
        <v>68.843299999999999</v>
      </c>
      <c r="G2801">
        <v>76.002700000000004</v>
      </c>
      <c r="H2801">
        <v>41.660600000000002</v>
      </c>
      <c r="I2801">
        <v>56.613900000000001</v>
      </c>
      <c r="J2801">
        <v>57.655000000000001</v>
      </c>
      <c r="K2801">
        <v>72.139200000000002</v>
      </c>
      <c r="L2801">
        <v>65.524900000000002</v>
      </c>
      <c r="M2801">
        <v>74.857299999999995</v>
      </c>
      <c r="N2801">
        <v>61.8123</v>
      </c>
      <c r="O2801">
        <v>73.446399999999997</v>
      </c>
      <c r="P2801">
        <v>392</v>
      </c>
      <c r="Q2801" t="s">
        <v>5939</v>
      </c>
    </row>
    <row r="2802" spans="1:17" x14ac:dyDescent="0.3">
      <c r="A2802" t="s">
        <v>4664</v>
      </c>
      <c r="B2802" t="str">
        <f>"002118"</f>
        <v>002118</v>
      </c>
      <c r="C2802" t="s">
        <v>5940</v>
      </c>
      <c r="D2802" t="s">
        <v>188</v>
      </c>
      <c r="F2802">
        <v>34701.5645</v>
      </c>
      <c r="G2802">
        <v>30251.695400000001</v>
      </c>
      <c r="H2802">
        <v>13113.4854</v>
      </c>
      <c r="I2802">
        <v>4341.9326000000001</v>
      </c>
      <c r="J2802">
        <v>5917.3139000000001</v>
      </c>
      <c r="K2802">
        <v>4527.6382000000003</v>
      </c>
      <c r="L2802">
        <v>8137.2699000000002</v>
      </c>
      <c r="M2802">
        <v>3510.6415000000002</v>
      </c>
      <c r="N2802">
        <v>4968.4422999999997</v>
      </c>
      <c r="O2802">
        <v>2799.3924999999999</v>
      </c>
      <c r="P2802">
        <v>226</v>
      </c>
      <c r="Q2802" t="s">
        <v>5941</v>
      </c>
    </row>
    <row r="2803" spans="1:17" x14ac:dyDescent="0.3">
      <c r="A2803" t="s">
        <v>4664</v>
      </c>
      <c r="B2803" t="str">
        <f>"002119"</f>
        <v>002119</v>
      </c>
      <c r="C2803" t="s">
        <v>5942</v>
      </c>
      <c r="D2803" t="s">
        <v>475</v>
      </c>
      <c r="F2803">
        <v>96.424499999999995</v>
      </c>
      <c r="G2803">
        <v>136.76079999999999</v>
      </c>
      <c r="H2803">
        <v>133.7654</v>
      </c>
      <c r="I2803">
        <v>121.1065</v>
      </c>
      <c r="J2803">
        <v>126.98990000000001</v>
      </c>
      <c r="K2803">
        <v>107.3725</v>
      </c>
      <c r="L2803">
        <v>144.11099999999999</v>
      </c>
      <c r="M2803">
        <v>128.4967</v>
      </c>
      <c r="N2803">
        <v>124.0967</v>
      </c>
      <c r="O2803">
        <v>117.499</v>
      </c>
      <c r="P2803">
        <v>214</v>
      </c>
      <c r="Q2803" t="s">
        <v>5943</v>
      </c>
    </row>
    <row r="2804" spans="1:17" x14ac:dyDescent="0.3">
      <c r="A2804" t="s">
        <v>4664</v>
      </c>
      <c r="B2804" t="str">
        <f>"002120"</f>
        <v>002120</v>
      </c>
      <c r="C2804" t="s">
        <v>5944</v>
      </c>
      <c r="D2804" t="s">
        <v>537</v>
      </c>
      <c r="F2804">
        <v>1.5434000000000001</v>
      </c>
      <c r="G2804">
        <v>2.0438999999999998</v>
      </c>
      <c r="H2804">
        <v>0.94130000000000003</v>
      </c>
      <c r="I2804">
        <v>4.9955999999999996</v>
      </c>
      <c r="J2804">
        <v>1.9508000000000001</v>
      </c>
      <c r="K2804">
        <v>77.392899999999997</v>
      </c>
      <c r="L2804">
        <v>70.7898</v>
      </c>
      <c r="M2804">
        <v>72.495000000000005</v>
      </c>
      <c r="N2804">
        <v>83.796499999999995</v>
      </c>
      <c r="O2804">
        <v>129.1078</v>
      </c>
      <c r="P2804">
        <v>1163</v>
      </c>
      <c r="Q2804" t="s">
        <v>5945</v>
      </c>
    </row>
    <row r="2805" spans="1:17" x14ac:dyDescent="0.3">
      <c r="A2805" t="s">
        <v>4664</v>
      </c>
      <c r="B2805" t="str">
        <f>"002121"</f>
        <v>002121</v>
      </c>
      <c r="C2805" t="s">
        <v>5946</v>
      </c>
      <c r="D2805" t="s">
        <v>2171</v>
      </c>
      <c r="F2805">
        <v>203.13229999999999</v>
      </c>
      <c r="G2805">
        <v>240.03829999999999</v>
      </c>
      <c r="H2805">
        <v>266.29079999999999</v>
      </c>
      <c r="I2805">
        <v>243.2696</v>
      </c>
      <c r="J2805">
        <v>261.51670000000001</v>
      </c>
      <c r="K2805">
        <v>222.67830000000001</v>
      </c>
      <c r="L2805">
        <v>190.95</v>
      </c>
      <c r="M2805">
        <v>250.46440000000001</v>
      </c>
      <c r="N2805">
        <v>290.27019999999999</v>
      </c>
      <c r="O2805">
        <v>332.82690000000002</v>
      </c>
      <c r="P2805">
        <v>234</v>
      </c>
      <c r="Q2805" t="s">
        <v>5947</v>
      </c>
    </row>
    <row r="2806" spans="1:17" x14ac:dyDescent="0.3">
      <c r="A2806" t="s">
        <v>4664</v>
      </c>
      <c r="B2806" t="str">
        <f>"002122"</f>
        <v>002122</v>
      </c>
      <c r="C2806" t="s">
        <v>5948</v>
      </c>
      <c r="D2806" t="s">
        <v>274</v>
      </c>
      <c r="F2806">
        <v>402.8057</v>
      </c>
      <c r="G2806">
        <v>368.9153</v>
      </c>
      <c r="H2806">
        <v>423.3</v>
      </c>
      <c r="I2806">
        <v>309.23090000000002</v>
      </c>
      <c r="J2806">
        <v>338.03359999999998</v>
      </c>
      <c r="K2806">
        <v>467.2099</v>
      </c>
      <c r="L2806">
        <v>504.57479999999998</v>
      </c>
      <c r="M2806">
        <v>572.70069999999998</v>
      </c>
      <c r="N2806">
        <v>642.11249999999995</v>
      </c>
      <c r="O2806">
        <v>593.70889999999997</v>
      </c>
      <c r="P2806">
        <v>69</v>
      </c>
      <c r="Q2806" t="s">
        <v>5949</v>
      </c>
    </row>
    <row r="2807" spans="1:17" x14ac:dyDescent="0.3">
      <c r="A2807" t="s">
        <v>4664</v>
      </c>
      <c r="B2807" t="str">
        <f>"002123"</f>
        <v>002123</v>
      </c>
      <c r="C2807" t="s">
        <v>5950</v>
      </c>
      <c r="D2807" t="s">
        <v>5597</v>
      </c>
      <c r="F2807">
        <v>0.2389</v>
      </c>
      <c r="G2807">
        <v>0.68240000000000001</v>
      </c>
      <c r="H2807">
        <v>78.301199999999994</v>
      </c>
      <c r="I2807">
        <v>106.31659999999999</v>
      </c>
      <c r="J2807">
        <v>127.9007</v>
      </c>
      <c r="K2807">
        <v>157.86080000000001</v>
      </c>
      <c r="L2807">
        <v>306.3338</v>
      </c>
      <c r="M2807">
        <v>589.63250000000005</v>
      </c>
      <c r="N2807">
        <v>308.80630000000002</v>
      </c>
      <c r="O2807">
        <v>317.87900000000002</v>
      </c>
      <c r="P2807">
        <v>364</v>
      </c>
      <c r="Q2807" t="s">
        <v>5951</v>
      </c>
    </row>
    <row r="2808" spans="1:17" x14ac:dyDescent="0.3">
      <c r="A2808" t="s">
        <v>4664</v>
      </c>
      <c r="B2808" t="str">
        <f>"002124"</f>
        <v>002124</v>
      </c>
      <c r="C2808" t="s">
        <v>5952</v>
      </c>
      <c r="D2808" t="s">
        <v>1894</v>
      </c>
      <c r="F2808">
        <v>108.7595</v>
      </c>
      <c r="G2808">
        <v>105.86750000000001</v>
      </c>
      <c r="H2808">
        <v>109.8968</v>
      </c>
      <c r="I2808">
        <v>168.3751</v>
      </c>
      <c r="J2808">
        <v>131.13800000000001</v>
      </c>
      <c r="K2808">
        <v>115.62179999999999</v>
      </c>
      <c r="L2808">
        <v>104.2569</v>
      </c>
      <c r="M2808">
        <v>62.290799999999997</v>
      </c>
      <c r="N2808">
        <v>64.937600000000003</v>
      </c>
      <c r="O2808">
        <v>70.159400000000005</v>
      </c>
      <c r="P2808">
        <v>922</v>
      </c>
      <c r="Q2808" t="s">
        <v>5953</v>
      </c>
    </row>
    <row r="2809" spans="1:17" x14ac:dyDescent="0.3">
      <c r="A2809" t="s">
        <v>4664</v>
      </c>
      <c r="B2809" t="str">
        <f>"002125"</f>
        <v>002125</v>
      </c>
      <c r="C2809" t="s">
        <v>5954</v>
      </c>
      <c r="D2809" t="s">
        <v>736</v>
      </c>
      <c r="F2809">
        <v>198.81180000000001</v>
      </c>
      <c r="G2809">
        <v>255.56540000000001</v>
      </c>
      <c r="H2809">
        <v>204.94200000000001</v>
      </c>
      <c r="I2809">
        <v>208.54320000000001</v>
      </c>
      <c r="J2809">
        <v>236.38720000000001</v>
      </c>
      <c r="K2809">
        <v>254.89920000000001</v>
      </c>
      <c r="L2809">
        <v>234.3049</v>
      </c>
      <c r="M2809">
        <v>185.91050000000001</v>
      </c>
      <c r="N2809">
        <v>185.03550000000001</v>
      </c>
      <c r="O2809">
        <v>206.93700000000001</v>
      </c>
      <c r="P2809">
        <v>157</v>
      </c>
      <c r="Q2809" t="s">
        <v>5955</v>
      </c>
    </row>
    <row r="2810" spans="1:17" x14ac:dyDescent="0.3">
      <c r="A2810" t="s">
        <v>4664</v>
      </c>
      <c r="B2810" t="str">
        <f>"002126"</f>
        <v>002126</v>
      </c>
      <c r="C2810" t="s">
        <v>5956</v>
      </c>
      <c r="D2810" t="s">
        <v>348</v>
      </c>
      <c r="F2810">
        <v>92.8</v>
      </c>
      <c r="G2810">
        <v>99.874799999999993</v>
      </c>
      <c r="H2810">
        <v>114.4335</v>
      </c>
      <c r="I2810">
        <v>101.42959999999999</v>
      </c>
      <c r="J2810">
        <v>98.718199999999996</v>
      </c>
      <c r="K2810">
        <v>109.0227</v>
      </c>
      <c r="L2810">
        <v>113.9425</v>
      </c>
      <c r="M2810">
        <v>113.2388</v>
      </c>
      <c r="N2810">
        <v>118.6442</v>
      </c>
      <c r="O2810">
        <v>106.42010000000001</v>
      </c>
      <c r="P2810">
        <v>450</v>
      </c>
      <c r="Q2810" t="s">
        <v>5957</v>
      </c>
    </row>
    <row r="2811" spans="1:17" x14ac:dyDescent="0.3">
      <c r="A2811" t="s">
        <v>4664</v>
      </c>
      <c r="B2811" t="str">
        <f>"002127"</f>
        <v>002127</v>
      </c>
      <c r="C2811" t="s">
        <v>5958</v>
      </c>
      <c r="D2811" t="s">
        <v>3590</v>
      </c>
      <c r="F2811">
        <v>0.4909</v>
      </c>
      <c r="G2811">
        <v>0.8115</v>
      </c>
      <c r="H2811">
        <v>0.84289999999999998</v>
      </c>
      <c r="I2811">
        <v>2.3938999999999999</v>
      </c>
      <c r="J2811">
        <v>219.09630000000001</v>
      </c>
      <c r="K2811">
        <v>620.2242</v>
      </c>
      <c r="L2811">
        <v>157.13640000000001</v>
      </c>
      <c r="M2811">
        <v>56.244900000000001</v>
      </c>
      <c r="N2811">
        <v>59.401800000000001</v>
      </c>
      <c r="O2811">
        <v>62.288400000000003</v>
      </c>
      <c r="P2811">
        <v>1745</v>
      </c>
      <c r="Q2811" t="s">
        <v>5959</v>
      </c>
    </row>
    <row r="2812" spans="1:17" x14ac:dyDescent="0.3">
      <c r="A2812" t="s">
        <v>4664</v>
      </c>
      <c r="B2812" t="str">
        <f>"002128"</f>
        <v>002128</v>
      </c>
      <c r="C2812" t="s">
        <v>5960</v>
      </c>
      <c r="D2812" t="s">
        <v>292</v>
      </c>
      <c r="F2812">
        <v>40.598300000000002</v>
      </c>
      <c r="G2812">
        <v>46.264499999999998</v>
      </c>
      <c r="H2812">
        <v>29.588999999999999</v>
      </c>
      <c r="I2812">
        <v>40.240200000000002</v>
      </c>
      <c r="J2812">
        <v>42.4024</v>
      </c>
      <c r="K2812">
        <v>54.337600000000002</v>
      </c>
      <c r="L2812">
        <v>48.940800000000003</v>
      </c>
      <c r="M2812">
        <v>39.9726</v>
      </c>
      <c r="N2812">
        <v>39.5122</v>
      </c>
      <c r="O2812">
        <v>34.018500000000003</v>
      </c>
      <c r="P2812">
        <v>1050</v>
      </c>
      <c r="Q2812" t="s">
        <v>5961</v>
      </c>
    </row>
    <row r="2813" spans="1:17" x14ac:dyDescent="0.3">
      <c r="A2813" t="s">
        <v>4664</v>
      </c>
      <c r="B2813" t="str">
        <f>"002129"</f>
        <v>002129</v>
      </c>
      <c r="C2813" t="s">
        <v>5962</v>
      </c>
      <c r="D2813" t="s">
        <v>929</v>
      </c>
      <c r="F2813">
        <v>45.203499999999998</v>
      </c>
      <c r="G2813">
        <v>59.259900000000002</v>
      </c>
      <c r="H2813">
        <v>67.989599999999996</v>
      </c>
      <c r="I2813">
        <v>90.5471</v>
      </c>
      <c r="J2813">
        <v>89.560699999999997</v>
      </c>
      <c r="K2813">
        <v>115.39019999999999</v>
      </c>
      <c r="L2813">
        <v>181.08699999999999</v>
      </c>
      <c r="M2813">
        <v>176.77029999999999</v>
      </c>
      <c r="N2813">
        <v>216.3664</v>
      </c>
      <c r="O2813">
        <v>253.79580000000001</v>
      </c>
      <c r="P2813">
        <v>1522</v>
      </c>
      <c r="Q2813" t="s">
        <v>5963</v>
      </c>
    </row>
    <row r="2814" spans="1:17" x14ac:dyDescent="0.3">
      <c r="A2814" t="s">
        <v>4664</v>
      </c>
      <c r="B2814" t="str">
        <f>"002130"</f>
        <v>002130</v>
      </c>
      <c r="C2814" t="s">
        <v>5964</v>
      </c>
      <c r="D2814" t="s">
        <v>651</v>
      </c>
      <c r="F2814">
        <v>81.028800000000004</v>
      </c>
      <c r="G2814">
        <v>98.991200000000006</v>
      </c>
      <c r="H2814">
        <v>93.9358</v>
      </c>
      <c r="I2814">
        <v>110.1305</v>
      </c>
      <c r="J2814">
        <v>114.3172</v>
      </c>
      <c r="K2814">
        <v>114.15</v>
      </c>
      <c r="L2814">
        <v>118.113</v>
      </c>
      <c r="M2814">
        <v>109.1341</v>
      </c>
      <c r="N2814">
        <v>115.8442</v>
      </c>
      <c r="O2814">
        <v>169.34819999999999</v>
      </c>
      <c r="P2814">
        <v>266</v>
      </c>
      <c r="Q2814" t="s">
        <v>5965</v>
      </c>
    </row>
    <row r="2815" spans="1:17" x14ac:dyDescent="0.3">
      <c r="A2815" t="s">
        <v>4664</v>
      </c>
      <c r="B2815" t="str">
        <f>"002131"</f>
        <v>002131</v>
      </c>
      <c r="C2815" t="s">
        <v>5966</v>
      </c>
      <c r="D2815" t="s">
        <v>207</v>
      </c>
      <c r="F2815">
        <v>16.081299999999999</v>
      </c>
      <c r="G2815">
        <v>15.4931</v>
      </c>
      <c r="H2815">
        <v>19.171900000000001</v>
      </c>
      <c r="I2815">
        <v>17.866800000000001</v>
      </c>
      <c r="J2815">
        <v>21.706499999999998</v>
      </c>
      <c r="K2815">
        <v>35.0471</v>
      </c>
      <c r="L2815">
        <v>63.407299999999999</v>
      </c>
      <c r="M2815">
        <v>92.361699999999999</v>
      </c>
      <c r="N2815">
        <v>126.4413</v>
      </c>
      <c r="O2815">
        <v>120.38160000000001</v>
      </c>
      <c r="P2815">
        <v>417</v>
      </c>
      <c r="Q2815" t="s">
        <v>5967</v>
      </c>
    </row>
    <row r="2816" spans="1:17" x14ac:dyDescent="0.3">
      <c r="A2816" t="s">
        <v>4664</v>
      </c>
      <c r="B2816" t="str">
        <f>"002132"</f>
        <v>002132</v>
      </c>
      <c r="C2816" t="s">
        <v>5968</v>
      </c>
      <c r="D2816" t="s">
        <v>274</v>
      </c>
      <c r="F2816">
        <v>73.904600000000002</v>
      </c>
      <c r="G2816">
        <v>101.3891</v>
      </c>
      <c r="H2816">
        <v>85.152100000000004</v>
      </c>
      <c r="I2816">
        <v>99.433300000000003</v>
      </c>
      <c r="J2816">
        <v>76.452600000000004</v>
      </c>
      <c r="K2816">
        <v>84.101799999999997</v>
      </c>
      <c r="L2816">
        <v>112.3762</v>
      </c>
      <c r="M2816">
        <v>116.1169</v>
      </c>
      <c r="N2816">
        <v>134.77000000000001</v>
      </c>
      <c r="O2816">
        <v>131.91579999999999</v>
      </c>
      <c r="P2816">
        <v>127</v>
      </c>
      <c r="Q2816" t="s">
        <v>5969</v>
      </c>
    </row>
    <row r="2817" spans="1:17" x14ac:dyDescent="0.3">
      <c r="A2817" t="s">
        <v>4664</v>
      </c>
      <c r="B2817" t="str">
        <f>"002133"</f>
        <v>002133</v>
      </c>
      <c r="C2817" t="s">
        <v>5970</v>
      </c>
      <c r="D2817" t="s">
        <v>104</v>
      </c>
      <c r="F2817">
        <v>1092.8498999999999</v>
      </c>
      <c r="G2817">
        <v>1028.3729000000001</v>
      </c>
      <c r="H2817">
        <v>1253.7963</v>
      </c>
      <c r="I2817">
        <v>1325.2003</v>
      </c>
      <c r="J2817">
        <v>772.01530000000002</v>
      </c>
      <c r="K2817">
        <v>875.47559999999999</v>
      </c>
      <c r="L2817">
        <v>2110.2215999999999</v>
      </c>
      <c r="M2817">
        <v>6943.3483999999999</v>
      </c>
      <c r="N2817">
        <v>2750.7069999999999</v>
      </c>
      <c r="O2817">
        <v>3464.2935000000002</v>
      </c>
      <c r="P2817">
        <v>132</v>
      </c>
      <c r="Q2817" t="s">
        <v>5971</v>
      </c>
    </row>
    <row r="2818" spans="1:17" x14ac:dyDescent="0.3">
      <c r="A2818" t="s">
        <v>4664</v>
      </c>
      <c r="B2818" t="str">
        <f>"002134"</f>
        <v>002134</v>
      </c>
      <c r="C2818" t="s">
        <v>5972</v>
      </c>
      <c r="D2818" t="s">
        <v>425</v>
      </c>
      <c r="F2818">
        <v>54.888599999999997</v>
      </c>
      <c r="G2818">
        <v>70.262299999999996</v>
      </c>
      <c r="H2818">
        <v>85.942400000000006</v>
      </c>
      <c r="I2818">
        <v>107.82</v>
      </c>
      <c r="J2818">
        <v>103.8347</v>
      </c>
      <c r="K2818">
        <v>144.07499999999999</v>
      </c>
      <c r="L2818">
        <v>148.6748</v>
      </c>
      <c r="M2818">
        <v>105.5688</v>
      </c>
      <c r="N2818">
        <v>118.2936</v>
      </c>
      <c r="O2818">
        <v>120.0356</v>
      </c>
      <c r="P2818">
        <v>119</v>
      </c>
      <c r="Q2818" t="s">
        <v>5973</v>
      </c>
    </row>
    <row r="2819" spans="1:17" x14ac:dyDescent="0.3">
      <c r="A2819" t="s">
        <v>4664</v>
      </c>
      <c r="B2819" t="str">
        <f>"002135"</f>
        <v>002135</v>
      </c>
      <c r="C2819" t="s">
        <v>5974</v>
      </c>
      <c r="D2819" t="s">
        <v>978</v>
      </c>
      <c r="F2819">
        <v>84.950199999999995</v>
      </c>
      <c r="G2819">
        <v>168.71639999999999</v>
      </c>
      <c r="H2819">
        <v>232.09309999999999</v>
      </c>
      <c r="I2819">
        <v>213.31880000000001</v>
      </c>
      <c r="J2819">
        <v>189.6592</v>
      </c>
      <c r="K2819">
        <v>288.13130000000001</v>
      </c>
      <c r="L2819">
        <v>295.97210000000001</v>
      </c>
      <c r="M2819">
        <v>309.96499999999997</v>
      </c>
      <c r="N2819">
        <v>351.04349999999999</v>
      </c>
      <c r="O2819">
        <v>333.52409999999998</v>
      </c>
      <c r="P2819">
        <v>163</v>
      </c>
      <c r="Q2819" t="s">
        <v>5975</v>
      </c>
    </row>
    <row r="2820" spans="1:17" x14ac:dyDescent="0.3">
      <c r="A2820" t="s">
        <v>4664</v>
      </c>
      <c r="B2820" t="str">
        <f>"002136"</f>
        <v>002136</v>
      </c>
      <c r="C2820" t="s">
        <v>5976</v>
      </c>
      <c r="D2820" t="s">
        <v>1474</v>
      </c>
      <c r="F2820">
        <v>35.616</v>
      </c>
      <c r="G2820">
        <v>53.2348</v>
      </c>
      <c r="H2820">
        <v>62.840499999999999</v>
      </c>
      <c r="I2820">
        <v>66.501099999999994</v>
      </c>
      <c r="J2820">
        <v>66.664199999999994</v>
      </c>
      <c r="K2820">
        <v>78.202699999999993</v>
      </c>
      <c r="L2820">
        <v>127.8081</v>
      </c>
      <c r="M2820">
        <v>117.1922</v>
      </c>
      <c r="N2820">
        <v>135.3262</v>
      </c>
      <c r="O2820">
        <v>90.876900000000006</v>
      </c>
      <c r="P2820">
        <v>131</v>
      </c>
      <c r="Q2820" t="s">
        <v>5977</v>
      </c>
    </row>
    <row r="2821" spans="1:17" x14ac:dyDescent="0.3">
      <c r="A2821" t="s">
        <v>4664</v>
      </c>
      <c r="B2821" t="str">
        <f>"002137"</f>
        <v>002137</v>
      </c>
      <c r="C2821" t="s">
        <v>5978</v>
      </c>
      <c r="D2821" t="s">
        <v>207</v>
      </c>
      <c r="F2821">
        <v>67.922300000000007</v>
      </c>
      <c r="G2821">
        <v>45.3429</v>
      </c>
      <c r="H2821">
        <v>56.724499999999999</v>
      </c>
      <c r="I2821">
        <v>39.937899999999999</v>
      </c>
      <c r="J2821">
        <v>38.816800000000001</v>
      </c>
      <c r="K2821">
        <v>32.946199999999997</v>
      </c>
      <c r="L2821">
        <v>41.5276</v>
      </c>
      <c r="M2821">
        <v>58.002800000000001</v>
      </c>
      <c r="N2821">
        <v>63.665500000000002</v>
      </c>
      <c r="O2821">
        <v>53.881399999999999</v>
      </c>
      <c r="P2821">
        <v>148</v>
      </c>
      <c r="Q2821" t="s">
        <v>5979</v>
      </c>
    </row>
    <row r="2822" spans="1:17" x14ac:dyDescent="0.3">
      <c r="A2822" t="s">
        <v>4664</v>
      </c>
      <c r="B2822" t="str">
        <f>"002138"</f>
        <v>002138</v>
      </c>
      <c r="C2822" t="s">
        <v>5980</v>
      </c>
      <c r="D2822" t="s">
        <v>546</v>
      </c>
      <c r="F2822">
        <v>125.64570000000001</v>
      </c>
      <c r="G2822">
        <v>136.89670000000001</v>
      </c>
      <c r="H2822">
        <v>138.0361</v>
      </c>
      <c r="I2822">
        <v>127.50920000000001</v>
      </c>
      <c r="J2822">
        <v>143.6225</v>
      </c>
      <c r="K2822">
        <v>109.8205</v>
      </c>
      <c r="L2822">
        <v>119.47709999999999</v>
      </c>
      <c r="M2822">
        <v>109.7968</v>
      </c>
      <c r="N2822">
        <v>128.89930000000001</v>
      </c>
      <c r="O2822">
        <v>155.9041</v>
      </c>
      <c r="P2822">
        <v>1065</v>
      </c>
      <c r="Q2822" t="s">
        <v>5981</v>
      </c>
    </row>
    <row r="2823" spans="1:17" x14ac:dyDescent="0.3">
      <c r="A2823" t="s">
        <v>4664</v>
      </c>
      <c r="B2823" t="str">
        <f>"002139"</f>
        <v>002139</v>
      </c>
      <c r="C2823" t="s">
        <v>5982</v>
      </c>
      <c r="D2823" t="s">
        <v>313</v>
      </c>
      <c r="F2823">
        <v>139.87899999999999</v>
      </c>
      <c r="G2823">
        <v>98.456599999999995</v>
      </c>
      <c r="H2823">
        <v>84.891199999999998</v>
      </c>
      <c r="I2823">
        <v>84.874200000000002</v>
      </c>
      <c r="J2823">
        <v>68.553100000000001</v>
      </c>
      <c r="K2823">
        <v>60.689</v>
      </c>
      <c r="L2823">
        <v>65.640600000000006</v>
      </c>
      <c r="M2823">
        <v>65.210700000000003</v>
      </c>
      <c r="N2823">
        <v>60.995199999999997</v>
      </c>
      <c r="O2823">
        <v>53.039900000000003</v>
      </c>
      <c r="P2823">
        <v>919</v>
      </c>
      <c r="Q2823" t="s">
        <v>5983</v>
      </c>
    </row>
    <row r="2824" spans="1:17" x14ac:dyDescent="0.3">
      <c r="A2824" t="s">
        <v>4664</v>
      </c>
      <c r="B2824" t="str">
        <f>"002140"</f>
        <v>002140</v>
      </c>
      <c r="C2824" t="s">
        <v>5984</v>
      </c>
      <c r="D2824" t="s">
        <v>2019</v>
      </c>
      <c r="F2824">
        <v>57.2258</v>
      </c>
      <c r="G2824">
        <v>150.47399999999999</v>
      </c>
      <c r="H2824">
        <v>268.72460000000001</v>
      </c>
      <c r="I2824">
        <v>246.91059999999999</v>
      </c>
      <c r="J2824">
        <v>491.80250000000001</v>
      </c>
      <c r="K2824">
        <v>765.42939999999999</v>
      </c>
      <c r="L2824">
        <v>757.74969999999996</v>
      </c>
      <c r="M2824">
        <v>291.17360000000002</v>
      </c>
      <c r="N2824">
        <v>363.97449999999998</v>
      </c>
      <c r="O2824">
        <v>339.18400000000003</v>
      </c>
      <c r="P2824">
        <v>129</v>
      </c>
      <c r="Q2824" t="s">
        <v>5985</v>
      </c>
    </row>
    <row r="2825" spans="1:17" x14ac:dyDescent="0.3">
      <c r="A2825" t="s">
        <v>4664</v>
      </c>
      <c r="B2825" t="str">
        <f>"002141"</f>
        <v>002141</v>
      </c>
      <c r="C2825" t="s">
        <v>5986</v>
      </c>
      <c r="D2825" t="s">
        <v>651</v>
      </c>
      <c r="F2825">
        <v>62.7746</v>
      </c>
      <c r="G2825">
        <v>75.367199999999997</v>
      </c>
      <c r="H2825">
        <v>75.096199999999996</v>
      </c>
      <c r="I2825">
        <v>65.230599999999995</v>
      </c>
      <c r="J2825">
        <v>58.3767</v>
      </c>
      <c r="K2825">
        <v>73.577799999999996</v>
      </c>
      <c r="L2825">
        <v>71.855800000000002</v>
      </c>
      <c r="M2825">
        <v>64.435699999999997</v>
      </c>
      <c r="N2825">
        <v>61.158499999999997</v>
      </c>
      <c r="O2825">
        <v>67.416399999999996</v>
      </c>
      <c r="P2825">
        <v>74</v>
      </c>
      <c r="Q2825" t="s">
        <v>5987</v>
      </c>
    </row>
    <row r="2826" spans="1:17" x14ac:dyDescent="0.3">
      <c r="A2826" t="s">
        <v>4664</v>
      </c>
      <c r="B2826" t="str">
        <f>"002142"</f>
        <v>002142</v>
      </c>
      <c r="C2826" t="s">
        <v>5988</v>
      </c>
      <c r="D2826" t="s">
        <v>1838</v>
      </c>
      <c r="P2826">
        <v>59332</v>
      </c>
      <c r="Q2826" t="s">
        <v>5989</v>
      </c>
    </row>
    <row r="2827" spans="1:17" x14ac:dyDescent="0.3">
      <c r="A2827" t="s">
        <v>4664</v>
      </c>
      <c r="B2827" t="str">
        <f>"002143"</f>
        <v>002143</v>
      </c>
      <c r="C2827" t="s">
        <v>5990</v>
      </c>
      <c r="H2827">
        <v>2270.2145</v>
      </c>
      <c r="I2827">
        <v>624.67449999999997</v>
      </c>
      <c r="J2827">
        <v>361.72390000000001</v>
      </c>
      <c r="K2827">
        <v>97.629499999999993</v>
      </c>
      <c r="L2827">
        <v>171.32050000000001</v>
      </c>
      <c r="M2827">
        <v>83.12</v>
      </c>
      <c r="N2827">
        <v>64.548599999999993</v>
      </c>
      <c r="O2827">
        <v>86.143600000000006</v>
      </c>
      <c r="P2827">
        <v>59</v>
      </c>
      <c r="Q2827" t="s">
        <v>5991</v>
      </c>
    </row>
    <row r="2828" spans="1:17" x14ac:dyDescent="0.3">
      <c r="A2828" t="s">
        <v>4664</v>
      </c>
      <c r="B2828" t="str">
        <f>"002144"</f>
        <v>002144</v>
      </c>
      <c r="C2828" t="s">
        <v>5992</v>
      </c>
      <c r="D2828" t="s">
        <v>366</v>
      </c>
      <c r="F2828">
        <v>92.042599999999993</v>
      </c>
      <c r="G2828">
        <v>124.2959</v>
      </c>
      <c r="H2828">
        <v>113.28</v>
      </c>
      <c r="I2828">
        <v>85.768600000000006</v>
      </c>
      <c r="J2828">
        <v>59.913899999999998</v>
      </c>
      <c r="K2828">
        <v>67.310299999999998</v>
      </c>
      <c r="L2828">
        <v>74.803799999999995</v>
      </c>
      <c r="M2828">
        <v>74.729399999999998</v>
      </c>
      <c r="N2828">
        <v>61.4482</v>
      </c>
      <c r="O2828">
        <v>62.285400000000003</v>
      </c>
      <c r="P2828">
        <v>115</v>
      </c>
      <c r="Q2828" t="s">
        <v>5993</v>
      </c>
    </row>
    <row r="2829" spans="1:17" x14ac:dyDescent="0.3">
      <c r="A2829" t="s">
        <v>4664</v>
      </c>
      <c r="B2829" t="str">
        <f>"002145"</f>
        <v>002145</v>
      </c>
      <c r="C2829" t="s">
        <v>5994</v>
      </c>
      <c r="D2829" t="s">
        <v>1474</v>
      </c>
      <c r="F2829">
        <v>72.883399999999995</v>
      </c>
      <c r="G2829">
        <v>82.614400000000003</v>
      </c>
      <c r="H2829">
        <v>80.652500000000003</v>
      </c>
      <c r="I2829">
        <v>89.511399999999995</v>
      </c>
      <c r="J2829">
        <v>86.292699999999996</v>
      </c>
      <c r="K2829">
        <v>123.24120000000001</v>
      </c>
      <c r="L2829">
        <v>185.86259999999999</v>
      </c>
      <c r="M2829">
        <v>138.88390000000001</v>
      </c>
      <c r="N2829">
        <v>82.334999999999994</v>
      </c>
      <c r="O2829">
        <v>142.14169999999999</v>
      </c>
      <c r="P2829">
        <v>284</v>
      </c>
      <c r="Q2829" t="s">
        <v>5995</v>
      </c>
    </row>
    <row r="2830" spans="1:17" x14ac:dyDescent="0.3">
      <c r="A2830" t="s">
        <v>4664</v>
      </c>
      <c r="B2830" t="str">
        <f>"002146"</f>
        <v>002146</v>
      </c>
      <c r="C2830" t="s">
        <v>5996</v>
      </c>
      <c r="D2830" t="s">
        <v>104</v>
      </c>
      <c r="F2830">
        <v>1974.5132000000001</v>
      </c>
      <c r="G2830">
        <v>2005.1723999999999</v>
      </c>
      <c r="H2830">
        <v>2002.9229</v>
      </c>
      <c r="I2830">
        <v>2251.1886</v>
      </c>
      <c r="J2830">
        <v>2367.5495000000001</v>
      </c>
      <c r="K2830">
        <v>2014.5690999999999</v>
      </c>
      <c r="L2830">
        <v>1994.2635</v>
      </c>
      <c r="M2830">
        <v>1613.0128999999999</v>
      </c>
      <c r="N2830">
        <v>1483.5164</v>
      </c>
      <c r="O2830">
        <v>1474.1704999999999</v>
      </c>
      <c r="P2830">
        <v>12588</v>
      </c>
      <c r="Q2830" t="s">
        <v>5997</v>
      </c>
    </row>
    <row r="2831" spans="1:17" x14ac:dyDescent="0.3">
      <c r="A2831" t="s">
        <v>4664</v>
      </c>
      <c r="B2831" t="str">
        <f>"002147"</f>
        <v>002147</v>
      </c>
      <c r="C2831" t="s">
        <v>5998</v>
      </c>
      <c r="D2831" t="s">
        <v>560</v>
      </c>
      <c r="F2831">
        <v>1268.0012999999999</v>
      </c>
      <c r="G2831">
        <v>1886.4765</v>
      </c>
      <c r="H2831">
        <v>1887.4576</v>
      </c>
      <c r="I2831">
        <v>2057.7712999999999</v>
      </c>
      <c r="J2831">
        <v>2822.2806</v>
      </c>
      <c r="K2831">
        <v>1663.2869000000001</v>
      </c>
      <c r="L2831">
        <v>356.8125</v>
      </c>
      <c r="M2831">
        <v>240.0324</v>
      </c>
      <c r="N2831">
        <v>265.51089999999999</v>
      </c>
      <c r="O2831">
        <v>278.9631</v>
      </c>
      <c r="P2831">
        <v>94</v>
      </c>
      <c r="Q2831" t="s">
        <v>5999</v>
      </c>
    </row>
    <row r="2832" spans="1:17" x14ac:dyDescent="0.3">
      <c r="A2832" t="s">
        <v>4664</v>
      </c>
      <c r="B2832" t="str">
        <f>"002148"</f>
        <v>002148</v>
      </c>
      <c r="C2832" t="s">
        <v>6000</v>
      </c>
      <c r="D2832" t="s">
        <v>5597</v>
      </c>
      <c r="F2832">
        <v>1.3378000000000001</v>
      </c>
      <c r="G2832">
        <v>0.55869999999999997</v>
      </c>
      <c r="H2832">
        <v>2.1452</v>
      </c>
      <c r="I2832">
        <v>11.5131</v>
      </c>
      <c r="J2832">
        <v>10.763400000000001</v>
      </c>
      <c r="K2832">
        <v>18.2591</v>
      </c>
      <c r="L2832">
        <v>14.9808</v>
      </c>
      <c r="M2832">
        <v>2.3961999999999999</v>
      </c>
      <c r="N2832">
        <v>0.85540000000000005</v>
      </c>
      <c r="O2832">
        <v>1.5054000000000001</v>
      </c>
      <c r="P2832">
        <v>103</v>
      </c>
      <c r="Q2832" t="s">
        <v>6001</v>
      </c>
    </row>
    <row r="2833" spans="1:17" x14ac:dyDescent="0.3">
      <c r="A2833" t="s">
        <v>4664</v>
      </c>
      <c r="B2833" t="str">
        <f>"002149"</f>
        <v>002149</v>
      </c>
      <c r="C2833" t="s">
        <v>6002</v>
      </c>
      <c r="D2833" t="s">
        <v>636</v>
      </c>
      <c r="F2833">
        <v>401.09429999999998</v>
      </c>
      <c r="G2833">
        <v>401.71710000000002</v>
      </c>
      <c r="H2833">
        <v>304.74560000000002</v>
      </c>
      <c r="I2833">
        <v>328.59699999999998</v>
      </c>
      <c r="J2833">
        <v>338.52809999999999</v>
      </c>
      <c r="K2833">
        <v>262.11959999999999</v>
      </c>
      <c r="L2833">
        <v>283.95049999999998</v>
      </c>
      <c r="M2833">
        <v>299.42540000000002</v>
      </c>
      <c r="N2833">
        <v>187.01410000000001</v>
      </c>
      <c r="O2833">
        <v>125.60299999999999</v>
      </c>
      <c r="P2833">
        <v>259</v>
      </c>
      <c r="Q2833" t="s">
        <v>6003</v>
      </c>
    </row>
    <row r="2834" spans="1:17" x14ac:dyDescent="0.3">
      <c r="A2834" t="s">
        <v>4664</v>
      </c>
      <c r="B2834" t="str">
        <f>"002150"</f>
        <v>002150</v>
      </c>
      <c r="C2834" t="s">
        <v>6004</v>
      </c>
      <c r="D2834" t="s">
        <v>274</v>
      </c>
      <c r="F2834">
        <v>95.314999999999998</v>
      </c>
      <c r="G2834">
        <v>81.518500000000003</v>
      </c>
      <c r="H2834">
        <v>79.822000000000003</v>
      </c>
      <c r="I2834">
        <v>81.311499999999995</v>
      </c>
      <c r="J2834">
        <v>75.523499999999999</v>
      </c>
      <c r="K2834">
        <v>93.231800000000007</v>
      </c>
      <c r="L2834">
        <v>103.9783</v>
      </c>
      <c r="M2834">
        <v>125.17529999999999</v>
      </c>
      <c r="N2834">
        <v>142.447</v>
      </c>
      <c r="O2834">
        <v>129.0204</v>
      </c>
      <c r="P2834">
        <v>103</v>
      </c>
      <c r="Q2834" t="s">
        <v>6005</v>
      </c>
    </row>
    <row r="2835" spans="1:17" x14ac:dyDescent="0.3">
      <c r="A2835" t="s">
        <v>4664</v>
      </c>
      <c r="B2835" t="str">
        <f>"002151"</f>
        <v>002151</v>
      </c>
      <c r="C2835" t="s">
        <v>6006</v>
      </c>
      <c r="D2835" t="s">
        <v>1136</v>
      </c>
      <c r="F2835">
        <v>172.84129999999999</v>
      </c>
      <c r="G2835">
        <v>165.52780000000001</v>
      </c>
      <c r="H2835">
        <v>165.1335</v>
      </c>
      <c r="I2835">
        <v>130.8211</v>
      </c>
      <c r="J2835">
        <v>175.22720000000001</v>
      </c>
      <c r="K2835">
        <v>208.5909</v>
      </c>
      <c r="L2835">
        <v>261.54300000000001</v>
      </c>
      <c r="M2835">
        <v>189.59360000000001</v>
      </c>
      <c r="N2835">
        <v>210.8518</v>
      </c>
      <c r="O2835">
        <v>189.1584</v>
      </c>
      <c r="P2835">
        <v>3423</v>
      </c>
      <c r="Q2835" t="s">
        <v>6007</v>
      </c>
    </row>
    <row r="2836" spans="1:17" x14ac:dyDescent="0.3">
      <c r="A2836" t="s">
        <v>4664</v>
      </c>
      <c r="B2836" t="str">
        <f>"002152"</f>
        <v>002152</v>
      </c>
      <c r="C2836" t="s">
        <v>6008</v>
      </c>
      <c r="D2836" t="s">
        <v>236</v>
      </c>
      <c r="F2836">
        <v>251.4778</v>
      </c>
      <c r="G2836">
        <v>309.95749999999998</v>
      </c>
      <c r="H2836">
        <v>292.9273</v>
      </c>
      <c r="I2836">
        <v>393.83940000000001</v>
      </c>
      <c r="J2836">
        <v>554.90800000000002</v>
      </c>
      <c r="K2836">
        <v>572.31460000000004</v>
      </c>
      <c r="L2836">
        <v>792.80070000000001</v>
      </c>
      <c r="M2836">
        <v>773.08749999999998</v>
      </c>
      <c r="N2836">
        <v>519.8184</v>
      </c>
      <c r="O2836">
        <v>392.96280000000002</v>
      </c>
      <c r="P2836">
        <v>16880</v>
      </c>
      <c r="Q2836" t="s">
        <v>6009</v>
      </c>
    </row>
    <row r="2837" spans="1:17" x14ac:dyDescent="0.3">
      <c r="A2837" t="s">
        <v>4664</v>
      </c>
      <c r="B2837" t="str">
        <f>"002153"</f>
        <v>002153</v>
      </c>
      <c r="C2837" t="s">
        <v>6010</v>
      </c>
      <c r="D2837" t="s">
        <v>945</v>
      </c>
      <c r="F2837">
        <v>100.4324</v>
      </c>
      <c r="G2837">
        <v>102.1935</v>
      </c>
      <c r="H2837">
        <v>111.50360000000001</v>
      </c>
      <c r="I2837">
        <v>112.4003</v>
      </c>
      <c r="J2837">
        <v>101.95010000000001</v>
      </c>
      <c r="K2837">
        <v>131.27510000000001</v>
      </c>
      <c r="L2837">
        <v>118.76390000000001</v>
      </c>
      <c r="M2837">
        <v>109.1568</v>
      </c>
      <c r="N2837">
        <v>136.14160000000001</v>
      </c>
      <c r="O2837">
        <v>152.55449999999999</v>
      </c>
      <c r="P2837">
        <v>679</v>
      </c>
      <c r="Q2837" t="s">
        <v>6011</v>
      </c>
    </row>
    <row r="2838" spans="1:17" x14ac:dyDescent="0.3">
      <c r="A2838" t="s">
        <v>4664</v>
      </c>
      <c r="B2838" t="str">
        <f>"002154"</f>
        <v>002154</v>
      </c>
      <c r="C2838" t="s">
        <v>6012</v>
      </c>
      <c r="D2838" t="s">
        <v>255</v>
      </c>
      <c r="F2838">
        <v>378.23140000000001</v>
      </c>
      <c r="G2838">
        <v>429.0521</v>
      </c>
      <c r="H2838">
        <v>421.81909999999999</v>
      </c>
      <c r="I2838">
        <v>377.56360000000001</v>
      </c>
      <c r="J2838">
        <v>439.29410000000001</v>
      </c>
      <c r="K2838">
        <v>630.29470000000003</v>
      </c>
      <c r="L2838">
        <v>660.27520000000004</v>
      </c>
      <c r="M2838">
        <v>623.37800000000004</v>
      </c>
      <c r="N2838">
        <v>525.28219999999999</v>
      </c>
      <c r="O2838">
        <v>357.18599999999998</v>
      </c>
      <c r="P2838">
        <v>204</v>
      </c>
      <c r="Q2838" t="s">
        <v>6013</v>
      </c>
    </row>
    <row r="2839" spans="1:17" x14ac:dyDescent="0.3">
      <c r="A2839" t="s">
        <v>4664</v>
      </c>
      <c r="B2839" t="str">
        <f>"002155"</f>
        <v>002155</v>
      </c>
      <c r="C2839" t="s">
        <v>6014</v>
      </c>
      <c r="D2839" t="s">
        <v>701</v>
      </c>
      <c r="F2839">
        <v>13.629</v>
      </c>
      <c r="G2839">
        <v>16.1035</v>
      </c>
      <c r="H2839">
        <v>18.471299999999999</v>
      </c>
      <c r="I2839">
        <v>22.071400000000001</v>
      </c>
      <c r="J2839">
        <v>27.544699999999999</v>
      </c>
      <c r="K2839">
        <v>34.363599999999998</v>
      </c>
      <c r="L2839">
        <v>44.753399999999999</v>
      </c>
      <c r="M2839">
        <v>52.608199999999997</v>
      </c>
      <c r="N2839">
        <v>74.876199999999997</v>
      </c>
      <c r="O2839">
        <v>67.474999999999994</v>
      </c>
      <c r="P2839">
        <v>219</v>
      </c>
      <c r="Q2839" t="s">
        <v>6015</v>
      </c>
    </row>
    <row r="2840" spans="1:17" x14ac:dyDescent="0.3">
      <c r="A2840" t="s">
        <v>4664</v>
      </c>
      <c r="B2840" t="str">
        <f>"002156"</f>
        <v>002156</v>
      </c>
      <c r="C2840" t="s">
        <v>6016</v>
      </c>
      <c r="D2840" t="s">
        <v>1180</v>
      </c>
      <c r="F2840">
        <v>66.746300000000005</v>
      </c>
      <c r="G2840">
        <v>97.601799999999997</v>
      </c>
      <c r="H2840">
        <v>103.1921</v>
      </c>
      <c r="I2840">
        <v>87.458100000000002</v>
      </c>
      <c r="J2840">
        <v>75.236199999999997</v>
      </c>
      <c r="K2840">
        <v>71.492199999999997</v>
      </c>
      <c r="L2840">
        <v>78.9542</v>
      </c>
      <c r="M2840">
        <v>77.291899999999998</v>
      </c>
      <c r="N2840">
        <v>86.539000000000001</v>
      </c>
      <c r="O2840">
        <v>82.207999999999998</v>
      </c>
      <c r="P2840">
        <v>770</v>
      </c>
      <c r="Q2840" t="s">
        <v>6017</v>
      </c>
    </row>
    <row r="2841" spans="1:17" x14ac:dyDescent="0.3">
      <c r="A2841" t="s">
        <v>4664</v>
      </c>
      <c r="B2841" t="str">
        <f>"002157"</f>
        <v>002157</v>
      </c>
      <c r="C2841" t="s">
        <v>6018</v>
      </c>
      <c r="D2841" t="s">
        <v>1894</v>
      </c>
      <c r="F2841">
        <v>124.0017</v>
      </c>
      <c r="G2841">
        <v>131.15190000000001</v>
      </c>
      <c r="H2841">
        <v>114.68040000000001</v>
      </c>
      <c r="I2841">
        <v>79.072599999999994</v>
      </c>
      <c r="J2841">
        <v>77.358199999999997</v>
      </c>
      <c r="K2841">
        <v>44.8767</v>
      </c>
      <c r="L2841">
        <v>46.594900000000003</v>
      </c>
      <c r="M2841">
        <v>43.348500000000001</v>
      </c>
      <c r="N2841">
        <v>36.523699999999998</v>
      </c>
      <c r="O2841">
        <v>35.686700000000002</v>
      </c>
      <c r="P2841">
        <v>1128</v>
      </c>
      <c r="Q2841" t="s">
        <v>6019</v>
      </c>
    </row>
    <row r="2842" spans="1:17" x14ac:dyDescent="0.3">
      <c r="A2842" t="s">
        <v>4664</v>
      </c>
      <c r="B2842" t="str">
        <f>"002158"</f>
        <v>002158</v>
      </c>
      <c r="C2842" t="s">
        <v>6020</v>
      </c>
      <c r="D2842" t="s">
        <v>988</v>
      </c>
      <c r="F2842">
        <v>168.8364</v>
      </c>
      <c r="G2842">
        <v>187.48419999999999</v>
      </c>
      <c r="H2842">
        <v>194.59970000000001</v>
      </c>
      <c r="I2842">
        <v>158.95750000000001</v>
      </c>
      <c r="J2842">
        <v>113.95480000000001</v>
      </c>
      <c r="K2842">
        <v>126.73399999999999</v>
      </c>
      <c r="L2842">
        <v>125.3267</v>
      </c>
      <c r="M2842">
        <v>101.5371</v>
      </c>
      <c r="N2842">
        <v>123.4845</v>
      </c>
      <c r="O2842">
        <v>137.93629999999999</v>
      </c>
      <c r="P2842">
        <v>478</v>
      </c>
      <c r="Q2842" t="s">
        <v>6021</v>
      </c>
    </row>
    <row r="2843" spans="1:17" x14ac:dyDescent="0.3">
      <c r="A2843" t="s">
        <v>4664</v>
      </c>
      <c r="B2843" t="str">
        <f>"002159"</f>
        <v>002159</v>
      </c>
      <c r="C2843" t="s">
        <v>6022</v>
      </c>
      <c r="D2843" t="s">
        <v>119</v>
      </c>
      <c r="F2843">
        <v>8.8815000000000008</v>
      </c>
      <c r="G2843">
        <v>6.8133999999999997</v>
      </c>
      <c r="H2843">
        <v>107.4177</v>
      </c>
      <c r="I2843">
        <v>340.7303</v>
      </c>
      <c r="J2843">
        <v>482.54750000000001</v>
      </c>
      <c r="K2843">
        <v>293.07459999999998</v>
      </c>
      <c r="L2843">
        <v>144.28059999999999</v>
      </c>
      <c r="M2843">
        <v>141.16909999999999</v>
      </c>
      <c r="N2843">
        <v>367.2799</v>
      </c>
      <c r="O2843">
        <v>427.36160000000001</v>
      </c>
      <c r="P2843">
        <v>119</v>
      </c>
      <c r="Q2843" t="s">
        <v>6023</v>
      </c>
    </row>
    <row r="2844" spans="1:17" x14ac:dyDescent="0.3">
      <c r="A2844" t="s">
        <v>4664</v>
      </c>
      <c r="B2844" t="str">
        <f>"002160"</f>
        <v>002160</v>
      </c>
      <c r="C2844" t="s">
        <v>6024</v>
      </c>
      <c r="D2844" t="s">
        <v>504</v>
      </c>
      <c r="F2844">
        <v>142.63069999999999</v>
      </c>
      <c r="G2844">
        <v>179.8262</v>
      </c>
      <c r="H2844">
        <v>143.79159999999999</v>
      </c>
      <c r="I2844">
        <v>149.79320000000001</v>
      </c>
      <c r="J2844">
        <v>137.9958</v>
      </c>
      <c r="K2844">
        <v>168.62889999999999</v>
      </c>
      <c r="L2844">
        <v>139.1146</v>
      </c>
      <c r="M2844">
        <v>133.4419</v>
      </c>
      <c r="N2844">
        <v>120.55119999999999</v>
      </c>
      <c r="O2844">
        <v>120.26779999999999</v>
      </c>
      <c r="P2844">
        <v>166</v>
      </c>
      <c r="Q2844" t="s">
        <v>6025</v>
      </c>
    </row>
    <row r="2845" spans="1:17" x14ac:dyDescent="0.3">
      <c r="A2845" t="s">
        <v>4664</v>
      </c>
      <c r="B2845" t="str">
        <f>"002161"</f>
        <v>002161</v>
      </c>
      <c r="C2845" t="s">
        <v>6026</v>
      </c>
      <c r="D2845" t="s">
        <v>651</v>
      </c>
      <c r="F2845">
        <v>385.30939999999998</v>
      </c>
      <c r="G2845">
        <v>362.38049999999998</v>
      </c>
      <c r="H2845">
        <v>411.79579999999999</v>
      </c>
      <c r="I2845">
        <v>626.28049999999996</v>
      </c>
      <c r="J2845">
        <v>515.36300000000006</v>
      </c>
      <c r="K2845">
        <v>352.73779999999999</v>
      </c>
      <c r="L2845">
        <v>279.24829999999997</v>
      </c>
      <c r="M2845">
        <v>169.19049999999999</v>
      </c>
      <c r="N2845">
        <v>242.3142</v>
      </c>
      <c r="O2845">
        <v>393.40370000000001</v>
      </c>
      <c r="P2845">
        <v>211</v>
      </c>
      <c r="Q2845" t="s">
        <v>6027</v>
      </c>
    </row>
    <row r="2846" spans="1:17" x14ac:dyDescent="0.3">
      <c r="A2846" t="s">
        <v>4664</v>
      </c>
      <c r="B2846" t="str">
        <f>"002162"</f>
        <v>002162</v>
      </c>
      <c r="C2846" t="s">
        <v>6028</v>
      </c>
      <c r="D2846" t="s">
        <v>178</v>
      </c>
      <c r="F2846">
        <v>184.19300000000001</v>
      </c>
      <c r="G2846">
        <v>227.2741</v>
      </c>
      <c r="H2846">
        <v>228.13130000000001</v>
      </c>
      <c r="I2846">
        <v>273.0068</v>
      </c>
      <c r="J2846">
        <v>278.75639999999999</v>
      </c>
      <c r="K2846">
        <v>349.23079999999999</v>
      </c>
      <c r="L2846">
        <v>424.42160000000001</v>
      </c>
      <c r="M2846">
        <v>333.202</v>
      </c>
      <c r="N2846">
        <v>287.39260000000002</v>
      </c>
      <c r="O2846">
        <v>320.25349999999997</v>
      </c>
      <c r="P2846">
        <v>137</v>
      </c>
      <c r="Q2846" t="s">
        <v>6029</v>
      </c>
    </row>
    <row r="2847" spans="1:17" x14ac:dyDescent="0.3">
      <c r="A2847" t="s">
        <v>4664</v>
      </c>
      <c r="B2847" t="str">
        <f>"002163"</f>
        <v>002163</v>
      </c>
      <c r="C2847" t="s">
        <v>6030</v>
      </c>
      <c r="D2847" t="s">
        <v>666</v>
      </c>
      <c r="F2847">
        <v>25.344000000000001</v>
      </c>
      <c r="G2847">
        <v>64.580200000000005</v>
      </c>
      <c r="H2847">
        <v>107.2582</v>
      </c>
      <c r="I2847">
        <v>109.4781</v>
      </c>
      <c r="J2847">
        <v>121.5224</v>
      </c>
      <c r="K2847">
        <v>139.46199999999999</v>
      </c>
      <c r="L2847">
        <v>144.64429999999999</v>
      </c>
      <c r="M2847">
        <v>133.1285</v>
      </c>
      <c r="N2847">
        <v>149.04400000000001</v>
      </c>
      <c r="O2847">
        <v>144.60929999999999</v>
      </c>
      <c r="P2847">
        <v>170</v>
      </c>
      <c r="Q2847" t="s">
        <v>6031</v>
      </c>
    </row>
    <row r="2848" spans="1:17" x14ac:dyDescent="0.3">
      <c r="A2848" t="s">
        <v>4664</v>
      </c>
      <c r="B2848" t="str">
        <f>"002164"</f>
        <v>002164</v>
      </c>
      <c r="C2848" t="s">
        <v>6032</v>
      </c>
      <c r="D2848" t="s">
        <v>274</v>
      </c>
      <c r="F2848">
        <v>150.5881</v>
      </c>
      <c r="G2848">
        <v>183.6283</v>
      </c>
      <c r="H2848">
        <v>194.56030000000001</v>
      </c>
      <c r="I2848">
        <v>10.8515</v>
      </c>
      <c r="J2848">
        <v>21.636299999999999</v>
      </c>
      <c r="K2848">
        <v>300.80849999999998</v>
      </c>
      <c r="L2848">
        <v>243.73009999999999</v>
      </c>
      <c r="M2848">
        <v>204.07339999999999</v>
      </c>
      <c r="N2848">
        <v>205.93039999999999</v>
      </c>
      <c r="O2848">
        <v>270.22120000000001</v>
      </c>
      <c r="P2848">
        <v>187</v>
      </c>
      <c r="Q2848" t="s">
        <v>6033</v>
      </c>
    </row>
    <row r="2849" spans="1:17" x14ac:dyDescent="0.3">
      <c r="A2849" t="s">
        <v>4664</v>
      </c>
      <c r="B2849" t="str">
        <f>"002165"</f>
        <v>002165</v>
      </c>
      <c r="C2849" t="s">
        <v>6034</v>
      </c>
      <c r="D2849" t="s">
        <v>528</v>
      </c>
      <c r="F2849">
        <v>56.162700000000001</v>
      </c>
      <c r="G2849">
        <v>89.055000000000007</v>
      </c>
      <c r="H2849">
        <v>71.494799999999998</v>
      </c>
      <c r="I2849">
        <v>69.235299999999995</v>
      </c>
      <c r="J2849">
        <v>68.450599999999994</v>
      </c>
      <c r="K2849">
        <v>68.166899999999998</v>
      </c>
      <c r="L2849">
        <v>71.625799999999998</v>
      </c>
      <c r="M2849">
        <v>67.183599999999998</v>
      </c>
      <c r="N2849">
        <v>69.492900000000006</v>
      </c>
      <c r="O2849">
        <v>67.891099999999994</v>
      </c>
      <c r="P2849">
        <v>100</v>
      </c>
      <c r="Q2849" t="s">
        <v>6035</v>
      </c>
    </row>
    <row r="2850" spans="1:17" x14ac:dyDescent="0.3">
      <c r="A2850" t="s">
        <v>4664</v>
      </c>
      <c r="B2850" t="str">
        <f>"002166"</f>
        <v>002166</v>
      </c>
      <c r="C2850" t="s">
        <v>6036</v>
      </c>
      <c r="D2850" t="s">
        <v>188</v>
      </c>
      <c r="F2850">
        <v>429.62400000000002</v>
      </c>
      <c r="G2850">
        <v>1011.587</v>
      </c>
      <c r="H2850">
        <v>1528.6599000000001</v>
      </c>
      <c r="I2850">
        <v>1939.3025</v>
      </c>
      <c r="J2850">
        <v>1427.55</v>
      </c>
      <c r="K2850">
        <v>1569.7698</v>
      </c>
      <c r="L2850">
        <v>1480.3796</v>
      </c>
      <c r="M2850">
        <v>771.56920000000002</v>
      </c>
      <c r="N2850">
        <v>1136.8072999999999</v>
      </c>
      <c r="O2850">
        <v>1024.6686</v>
      </c>
      <c r="P2850">
        <v>200</v>
      </c>
      <c r="Q2850" t="s">
        <v>6037</v>
      </c>
    </row>
    <row r="2851" spans="1:17" x14ac:dyDescent="0.3">
      <c r="A2851" t="s">
        <v>4664</v>
      </c>
      <c r="B2851" t="str">
        <f>"002167"</f>
        <v>002167</v>
      </c>
      <c r="C2851" t="s">
        <v>6038</v>
      </c>
      <c r="D2851" t="s">
        <v>636</v>
      </c>
      <c r="F2851">
        <v>172.53899999999999</v>
      </c>
      <c r="G2851">
        <v>346.21409999999997</v>
      </c>
      <c r="H2851">
        <v>625.72410000000002</v>
      </c>
      <c r="I2851">
        <v>357.7244</v>
      </c>
      <c r="J2851">
        <v>276.39659999999998</v>
      </c>
      <c r="K2851">
        <v>410.89389999999997</v>
      </c>
      <c r="L2851">
        <v>372.87220000000002</v>
      </c>
      <c r="M2851">
        <v>206.0514</v>
      </c>
      <c r="N2851">
        <v>276.89080000000001</v>
      </c>
      <c r="O2851">
        <v>387.99270000000001</v>
      </c>
      <c r="P2851">
        <v>111</v>
      </c>
      <c r="Q2851" t="s">
        <v>6039</v>
      </c>
    </row>
    <row r="2852" spans="1:17" x14ac:dyDescent="0.3">
      <c r="A2852" t="s">
        <v>4664</v>
      </c>
      <c r="B2852" t="str">
        <f>"002168"</f>
        <v>002168</v>
      </c>
      <c r="C2852" t="s">
        <v>6040</v>
      </c>
      <c r="D2852" t="s">
        <v>517</v>
      </c>
      <c r="F2852">
        <v>104.93940000000001</v>
      </c>
      <c r="G2852">
        <v>61.823999999999998</v>
      </c>
      <c r="H2852">
        <v>103.396</v>
      </c>
      <c r="I2852">
        <v>56.8461</v>
      </c>
      <c r="J2852">
        <v>137.654</v>
      </c>
      <c r="K2852">
        <v>185.85980000000001</v>
      </c>
      <c r="L2852">
        <v>358.36779999999999</v>
      </c>
      <c r="M2852">
        <v>316.00420000000003</v>
      </c>
      <c r="N2852">
        <v>395.0976</v>
      </c>
      <c r="O2852">
        <v>336.6626</v>
      </c>
      <c r="P2852">
        <v>158</v>
      </c>
      <c r="Q2852" t="s">
        <v>6041</v>
      </c>
    </row>
    <row r="2853" spans="1:17" x14ac:dyDescent="0.3">
      <c r="A2853" t="s">
        <v>4664</v>
      </c>
      <c r="B2853" t="str">
        <f>"002169"</f>
        <v>002169</v>
      </c>
      <c r="C2853" t="s">
        <v>6042</v>
      </c>
      <c r="D2853" t="s">
        <v>610</v>
      </c>
      <c r="F2853">
        <v>160.92959999999999</v>
      </c>
      <c r="G2853">
        <v>182.59030000000001</v>
      </c>
      <c r="H2853">
        <v>187.61369999999999</v>
      </c>
      <c r="I2853">
        <v>132.27969999999999</v>
      </c>
      <c r="J2853">
        <v>131.2236</v>
      </c>
      <c r="K2853">
        <v>124.4935</v>
      </c>
      <c r="L2853">
        <v>150.8828</v>
      </c>
      <c r="M2853">
        <v>188.9794</v>
      </c>
      <c r="N2853">
        <v>251.4529</v>
      </c>
      <c r="O2853">
        <v>351.64109999999999</v>
      </c>
      <c r="P2853">
        <v>219</v>
      </c>
      <c r="Q2853" t="s">
        <v>6043</v>
      </c>
    </row>
    <row r="2854" spans="1:17" x14ac:dyDescent="0.3">
      <c r="A2854" t="s">
        <v>4664</v>
      </c>
      <c r="B2854" t="str">
        <f>"002170"</f>
        <v>002170</v>
      </c>
      <c r="C2854" t="s">
        <v>6044</v>
      </c>
      <c r="D2854" t="s">
        <v>5489</v>
      </c>
      <c r="F2854">
        <v>98.151700000000005</v>
      </c>
      <c r="G2854">
        <v>106.60809999999999</v>
      </c>
      <c r="H2854">
        <v>75.610100000000003</v>
      </c>
      <c r="I2854">
        <v>92.292599999999993</v>
      </c>
      <c r="J2854">
        <v>101.7199</v>
      </c>
      <c r="K2854">
        <v>117.0449</v>
      </c>
      <c r="L2854">
        <v>62.700800000000001</v>
      </c>
      <c r="M2854">
        <v>72.918599999999998</v>
      </c>
      <c r="N2854">
        <v>61.543100000000003</v>
      </c>
      <c r="O2854">
        <v>76.752600000000001</v>
      </c>
      <c r="P2854">
        <v>103</v>
      </c>
      <c r="Q2854" t="s">
        <v>6045</v>
      </c>
    </row>
    <row r="2855" spans="1:17" x14ac:dyDescent="0.3">
      <c r="A2855" t="s">
        <v>4664</v>
      </c>
      <c r="B2855" t="str">
        <f>"002171"</f>
        <v>002171</v>
      </c>
      <c r="C2855" t="s">
        <v>6046</v>
      </c>
      <c r="D2855" t="s">
        <v>263</v>
      </c>
      <c r="F2855">
        <v>28.880199999999999</v>
      </c>
      <c r="G2855">
        <v>37.557600000000001</v>
      </c>
      <c r="H2855">
        <v>42.5685</v>
      </c>
      <c r="I2855">
        <v>40.046999999999997</v>
      </c>
      <c r="J2855">
        <v>37.898899999999998</v>
      </c>
      <c r="K2855">
        <v>30.625399999999999</v>
      </c>
      <c r="L2855">
        <v>32.112499999999997</v>
      </c>
      <c r="M2855">
        <v>26.278500000000001</v>
      </c>
      <c r="N2855">
        <v>47.954000000000001</v>
      </c>
      <c r="O2855">
        <v>43.032499999999999</v>
      </c>
      <c r="P2855">
        <v>237</v>
      </c>
      <c r="Q2855" t="s">
        <v>6047</v>
      </c>
    </row>
    <row r="2856" spans="1:17" x14ac:dyDescent="0.3">
      <c r="A2856" t="s">
        <v>4664</v>
      </c>
      <c r="B2856" t="str">
        <f>"002172"</f>
        <v>002172</v>
      </c>
      <c r="C2856" t="s">
        <v>6048</v>
      </c>
      <c r="D2856" t="s">
        <v>888</v>
      </c>
      <c r="F2856">
        <v>37.939799999999998</v>
      </c>
      <c r="G2856">
        <v>58.412999999999997</v>
      </c>
      <c r="H2856">
        <v>92.669499999999999</v>
      </c>
      <c r="I2856">
        <v>60.636200000000002</v>
      </c>
      <c r="J2856">
        <v>49.012</v>
      </c>
      <c r="K2856">
        <v>47.210500000000003</v>
      </c>
      <c r="L2856">
        <v>40.765599999999999</v>
      </c>
      <c r="M2856">
        <v>56.783700000000003</v>
      </c>
      <c r="N2856">
        <v>65.509399999999999</v>
      </c>
      <c r="O2856">
        <v>83.086299999999994</v>
      </c>
      <c r="P2856">
        <v>141</v>
      </c>
      <c r="Q2856" t="s">
        <v>6049</v>
      </c>
    </row>
    <row r="2857" spans="1:17" x14ac:dyDescent="0.3">
      <c r="A2857" t="s">
        <v>4664</v>
      </c>
      <c r="B2857" t="str">
        <f>"002173"</f>
        <v>002173</v>
      </c>
      <c r="C2857" t="s">
        <v>6050</v>
      </c>
      <c r="D2857" t="s">
        <v>1147</v>
      </c>
      <c r="F2857">
        <v>26.559100000000001</v>
      </c>
      <c r="G2857">
        <v>35.775599999999997</v>
      </c>
      <c r="H2857">
        <v>34.7286</v>
      </c>
      <c r="I2857">
        <v>573.40030000000002</v>
      </c>
      <c r="J2857">
        <v>740.8895</v>
      </c>
      <c r="K2857">
        <v>758.34889999999996</v>
      </c>
      <c r="L2857">
        <v>3356.3557000000001</v>
      </c>
      <c r="M2857">
        <v>2596.3200999999999</v>
      </c>
      <c r="N2857">
        <v>1518.5378000000001</v>
      </c>
      <c r="O2857">
        <v>1037.3802000000001</v>
      </c>
      <c r="P2857">
        <v>125</v>
      </c>
      <c r="Q2857" t="s">
        <v>6051</v>
      </c>
    </row>
    <row r="2858" spans="1:17" x14ac:dyDescent="0.3">
      <c r="A2858" t="s">
        <v>4664</v>
      </c>
      <c r="B2858" t="str">
        <f>"002174"</f>
        <v>002174</v>
      </c>
      <c r="C2858" t="s">
        <v>6052</v>
      </c>
      <c r="D2858" t="s">
        <v>517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81.824799999999996</v>
      </c>
      <c r="N2858">
        <v>39.046199999999999</v>
      </c>
      <c r="O2858">
        <v>75.570499999999996</v>
      </c>
      <c r="P2858">
        <v>736</v>
      </c>
      <c r="Q2858" t="s">
        <v>6053</v>
      </c>
    </row>
    <row r="2859" spans="1:17" x14ac:dyDescent="0.3">
      <c r="A2859" t="s">
        <v>4664</v>
      </c>
      <c r="B2859" t="str">
        <f>"002175"</f>
        <v>002175</v>
      </c>
      <c r="C2859" t="s">
        <v>6054</v>
      </c>
      <c r="D2859" t="s">
        <v>110</v>
      </c>
      <c r="F2859">
        <v>250.1386</v>
      </c>
      <c r="G2859">
        <v>312.85070000000002</v>
      </c>
      <c r="H2859">
        <v>389.92540000000002</v>
      </c>
      <c r="I2859">
        <v>328.13150000000002</v>
      </c>
      <c r="J2859">
        <v>210.29650000000001</v>
      </c>
      <c r="K2859">
        <v>305.71370000000002</v>
      </c>
      <c r="L2859">
        <v>295.51029999999997</v>
      </c>
      <c r="M2859">
        <v>252.37010000000001</v>
      </c>
      <c r="N2859">
        <v>306.66469999999998</v>
      </c>
      <c r="O2859">
        <v>282.99020000000002</v>
      </c>
      <c r="P2859">
        <v>79</v>
      </c>
      <c r="Q2859" t="s">
        <v>6055</v>
      </c>
    </row>
    <row r="2860" spans="1:17" x14ac:dyDescent="0.3">
      <c r="A2860" t="s">
        <v>4664</v>
      </c>
      <c r="B2860" t="str">
        <f>"002176"</f>
        <v>002176</v>
      </c>
      <c r="C2860" t="s">
        <v>6056</v>
      </c>
      <c r="D2860" t="s">
        <v>1171</v>
      </c>
      <c r="F2860">
        <v>113.3139</v>
      </c>
      <c r="G2860">
        <v>119.523</v>
      </c>
      <c r="H2860">
        <v>186.10910000000001</v>
      </c>
      <c r="I2860">
        <v>200.0676</v>
      </c>
      <c r="J2860">
        <v>213.76310000000001</v>
      </c>
      <c r="K2860">
        <v>162.08359999999999</v>
      </c>
      <c r="L2860">
        <v>229.95840000000001</v>
      </c>
      <c r="M2860">
        <v>190.1601</v>
      </c>
      <c r="N2860">
        <v>145.87309999999999</v>
      </c>
      <c r="O2860">
        <v>193.99170000000001</v>
      </c>
      <c r="P2860">
        <v>317</v>
      </c>
      <c r="Q2860" t="s">
        <v>6057</v>
      </c>
    </row>
    <row r="2861" spans="1:17" x14ac:dyDescent="0.3">
      <c r="A2861" t="s">
        <v>4664</v>
      </c>
      <c r="B2861" t="str">
        <f>"002177"</f>
        <v>002177</v>
      </c>
      <c r="C2861" t="s">
        <v>6058</v>
      </c>
      <c r="D2861" t="s">
        <v>236</v>
      </c>
      <c r="F2861">
        <v>175.5335</v>
      </c>
      <c r="G2861">
        <v>176.7861</v>
      </c>
      <c r="H2861">
        <v>250.81129999999999</v>
      </c>
      <c r="I2861">
        <v>207.17949999999999</v>
      </c>
      <c r="J2861">
        <v>351.93509999999998</v>
      </c>
      <c r="K2861">
        <v>289.12650000000002</v>
      </c>
      <c r="L2861">
        <v>167.22389999999999</v>
      </c>
      <c r="M2861">
        <v>235.637</v>
      </c>
      <c r="N2861">
        <v>295.57040000000001</v>
      </c>
      <c r="O2861">
        <v>303.13529999999997</v>
      </c>
      <c r="P2861">
        <v>3025</v>
      </c>
      <c r="Q2861" t="s">
        <v>6059</v>
      </c>
    </row>
    <row r="2862" spans="1:17" x14ac:dyDescent="0.3">
      <c r="A2862" t="s">
        <v>4664</v>
      </c>
      <c r="B2862" t="str">
        <f>"002178"</f>
        <v>002178</v>
      </c>
      <c r="C2862" t="s">
        <v>6060</v>
      </c>
      <c r="D2862" t="s">
        <v>945</v>
      </c>
      <c r="F2862">
        <v>43.323099999999997</v>
      </c>
      <c r="G2862">
        <v>236.7867</v>
      </c>
      <c r="H2862">
        <v>349.34460000000001</v>
      </c>
      <c r="I2862">
        <v>328.57209999999998</v>
      </c>
      <c r="J2862">
        <v>342.28980000000001</v>
      </c>
      <c r="K2862">
        <v>417.8734</v>
      </c>
      <c r="L2862">
        <v>325.84769999999997</v>
      </c>
      <c r="M2862">
        <v>321.88350000000003</v>
      </c>
      <c r="N2862">
        <v>228.12119999999999</v>
      </c>
      <c r="O2862">
        <v>203.715</v>
      </c>
      <c r="P2862">
        <v>89</v>
      </c>
      <c r="Q2862" t="s">
        <v>6061</v>
      </c>
    </row>
    <row r="2863" spans="1:17" x14ac:dyDescent="0.3">
      <c r="A2863" t="s">
        <v>4664</v>
      </c>
      <c r="B2863" t="str">
        <f>"002179"</f>
        <v>002179</v>
      </c>
      <c r="C2863" t="s">
        <v>6062</v>
      </c>
      <c r="D2863" t="s">
        <v>1136</v>
      </c>
      <c r="F2863">
        <v>204.2362</v>
      </c>
      <c r="G2863">
        <v>154.64089999999999</v>
      </c>
      <c r="H2863">
        <v>162.94569999999999</v>
      </c>
      <c r="I2863">
        <v>143.85480000000001</v>
      </c>
      <c r="J2863">
        <v>157.12309999999999</v>
      </c>
      <c r="K2863">
        <v>157.4135</v>
      </c>
      <c r="L2863">
        <v>155.7869</v>
      </c>
      <c r="M2863">
        <v>153.06989999999999</v>
      </c>
      <c r="N2863">
        <v>178.04249999999999</v>
      </c>
      <c r="O2863">
        <v>212.0761</v>
      </c>
      <c r="P2863">
        <v>1738</v>
      </c>
      <c r="Q2863" t="s">
        <v>6063</v>
      </c>
    </row>
    <row r="2864" spans="1:17" x14ac:dyDescent="0.3">
      <c r="A2864" t="s">
        <v>4664</v>
      </c>
      <c r="B2864" t="str">
        <f>"002180"</f>
        <v>002180</v>
      </c>
      <c r="C2864" t="s">
        <v>6064</v>
      </c>
      <c r="D2864" t="s">
        <v>461</v>
      </c>
      <c r="F2864">
        <v>107.629</v>
      </c>
      <c r="G2864">
        <v>118.1692</v>
      </c>
      <c r="H2864">
        <v>94.859899999999996</v>
      </c>
      <c r="I2864">
        <v>87.676100000000005</v>
      </c>
      <c r="J2864">
        <v>86.335999999999999</v>
      </c>
      <c r="K2864">
        <v>177.0496</v>
      </c>
      <c r="L2864">
        <v>136.92689999999999</v>
      </c>
      <c r="M2864">
        <v>147.30179999999999</v>
      </c>
      <c r="N2864">
        <v>396.94080000000002</v>
      </c>
      <c r="O2864">
        <v>305.62110000000001</v>
      </c>
      <c r="P2864">
        <v>472</v>
      </c>
      <c r="Q2864" t="s">
        <v>6065</v>
      </c>
    </row>
    <row r="2865" spans="1:17" x14ac:dyDescent="0.3">
      <c r="A2865" t="s">
        <v>4664</v>
      </c>
      <c r="B2865" t="str">
        <f>"002181"</f>
        <v>002181</v>
      </c>
      <c r="C2865" t="s">
        <v>6066</v>
      </c>
      <c r="D2865" t="s">
        <v>525</v>
      </c>
      <c r="F2865">
        <v>95.8506</v>
      </c>
      <c r="G2865">
        <v>150.9615</v>
      </c>
      <c r="H2865">
        <v>147.28870000000001</v>
      </c>
      <c r="I2865">
        <v>96.341800000000006</v>
      </c>
      <c r="J2865">
        <v>85.474900000000005</v>
      </c>
      <c r="K2865">
        <v>64.191100000000006</v>
      </c>
      <c r="L2865">
        <v>62.443399999999997</v>
      </c>
      <c r="M2865">
        <v>70.9833</v>
      </c>
      <c r="N2865">
        <v>74.0398</v>
      </c>
      <c r="O2865">
        <v>49.763399999999997</v>
      </c>
      <c r="P2865">
        <v>107</v>
      </c>
      <c r="Q2865" t="s">
        <v>6067</v>
      </c>
    </row>
    <row r="2866" spans="1:17" x14ac:dyDescent="0.3">
      <c r="A2866" t="s">
        <v>4664</v>
      </c>
      <c r="B2866" t="str">
        <f>"002182"</f>
        <v>002182</v>
      </c>
      <c r="C2866" t="s">
        <v>6068</v>
      </c>
      <c r="D2866" t="s">
        <v>636</v>
      </c>
      <c r="F2866">
        <v>72.655799999999999</v>
      </c>
      <c r="G2866">
        <v>75.6096</v>
      </c>
      <c r="H2866">
        <v>87.512699999999995</v>
      </c>
      <c r="I2866">
        <v>76.245500000000007</v>
      </c>
      <c r="J2866">
        <v>75.749700000000004</v>
      </c>
      <c r="K2866">
        <v>74.021799999999999</v>
      </c>
      <c r="L2866">
        <v>83.406099999999995</v>
      </c>
      <c r="M2866">
        <v>80.631699999999995</v>
      </c>
      <c r="N2866">
        <v>66.596500000000006</v>
      </c>
      <c r="O2866">
        <v>63.5289</v>
      </c>
      <c r="P2866">
        <v>372</v>
      </c>
      <c r="Q2866" t="s">
        <v>6069</v>
      </c>
    </row>
    <row r="2867" spans="1:17" x14ac:dyDescent="0.3">
      <c r="A2867" t="s">
        <v>4664</v>
      </c>
      <c r="B2867" t="str">
        <f>"002183"</f>
        <v>002183</v>
      </c>
      <c r="C2867" t="s">
        <v>6070</v>
      </c>
      <c r="D2867" t="s">
        <v>3098</v>
      </c>
      <c r="F2867">
        <v>41.299799999999998</v>
      </c>
      <c r="G2867">
        <v>60.4983</v>
      </c>
      <c r="H2867">
        <v>66.463399999999993</v>
      </c>
      <c r="I2867">
        <v>69.771199999999993</v>
      </c>
      <c r="J2867">
        <v>75.072400000000002</v>
      </c>
      <c r="K2867">
        <v>64.431100000000001</v>
      </c>
      <c r="L2867">
        <v>70.757900000000006</v>
      </c>
      <c r="M2867">
        <v>66.383899999999997</v>
      </c>
      <c r="N2867">
        <v>71.128200000000007</v>
      </c>
      <c r="O2867">
        <v>80.841800000000006</v>
      </c>
      <c r="P2867">
        <v>261</v>
      </c>
      <c r="Q2867" t="s">
        <v>6071</v>
      </c>
    </row>
    <row r="2868" spans="1:17" x14ac:dyDescent="0.3">
      <c r="A2868" t="s">
        <v>4664</v>
      </c>
      <c r="B2868" t="str">
        <f>"002184"</f>
        <v>002184</v>
      </c>
      <c r="C2868" t="s">
        <v>6072</v>
      </c>
      <c r="D2868" t="s">
        <v>2423</v>
      </c>
      <c r="F2868">
        <v>82.698899999999995</v>
      </c>
      <c r="G2868">
        <v>102.9007</v>
      </c>
      <c r="H2868">
        <v>114.69159999999999</v>
      </c>
      <c r="I2868">
        <v>121.88339999999999</v>
      </c>
      <c r="J2868">
        <v>116.3596</v>
      </c>
      <c r="K2868">
        <v>129.56970000000001</v>
      </c>
      <c r="L2868">
        <v>131.5479</v>
      </c>
      <c r="M2868">
        <v>129.011</v>
      </c>
      <c r="N2868">
        <v>146.14439999999999</v>
      </c>
      <c r="O2868">
        <v>177.5736</v>
      </c>
      <c r="P2868">
        <v>186</v>
      </c>
      <c r="Q2868" t="s">
        <v>6073</v>
      </c>
    </row>
    <row r="2869" spans="1:17" x14ac:dyDescent="0.3">
      <c r="A2869" t="s">
        <v>4664</v>
      </c>
      <c r="B2869" t="str">
        <f>"002185"</f>
        <v>002185</v>
      </c>
      <c r="C2869" t="s">
        <v>6074</v>
      </c>
      <c r="D2869" t="s">
        <v>1180</v>
      </c>
      <c r="F2869">
        <v>86.913200000000003</v>
      </c>
      <c r="G2869">
        <v>92.646199999999993</v>
      </c>
      <c r="H2869">
        <v>88.065899999999999</v>
      </c>
      <c r="I2869">
        <v>104.45489999999999</v>
      </c>
      <c r="J2869">
        <v>97.750100000000003</v>
      </c>
      <c r="K2869">
        <v>65.771000000000001</v>
      </c>
      <c r="L2869">
        <v>66.208500000000001</v>
      </c>
      <c r="M2869">
        <v>62.425600000000003</v>
      </c>
      <c r="N2869">
        <v>64.744799999999998</v>
      </c>
      <c r="O2869">
        <v>65.487200000000001</v>
      </c>
      <c r="P2869">
        <v>1176</v>
      </c>
      <c r="Q2869" t="s">
        <v>6075</v>
      </c>
    </row>
    <row r="2870" spans="1:17" x14ac:dyDescent="0.3">
      <c r="A2870" t="s">
        <v>4664</v>
      </c>
      <c r="B2870" t="str">
        <f>"002186"</f>
        <v>002186</v>
      </c>
      <c r="C2870" t="s">
        <v>6076</v>
      </c>
      <c r="D2870" t="s">
        <v>3571</v>
      </c>
      <c r="F2870">
        <v>35.389600000000002</v>
      </c>
      <c r="G2870">
        <v>59.362299999999998</v>
      </c>
      <c r="H2870">
        <v>59.515599999999999</v>
      </c>
      <c r="I2870">
        <v>55.680300000000003</v>
      </c>
      <c r="J2870">
        <v>55.437199999999997</v>
      </c>
      <c r="K2870">
        <v>50.218400000000003</v>
      </c>
      <c r="L2870">
        <v>48.050400000000003</v>
      </c>
      <c r="M2870">
        <v>45.104399999999998</v>
      </c>
      <c r="N2870">
        <v>48.856200000000001</v>
      </c>
      <c r="O2870">
        <v>49.881700000000002</v>
      </c>
      <c r="P2870">
        <v>179</v>
      </c>
      <c r="Q2870" t="s">
        <v>6077</v>
      </c>
    </row>
    <row r="2871" spans="1:17" x14ac:dyDescent="0.3">
      <c r="A2871" t="s">
        <v>4664</v>
      </c>
      <c r="B2871" t="str">
        <f>"002187"</f>
        <v>002187</v>
      </c>
      <c r="C2871" t="s">
        <v>6078</v>
      </c>
      <c r="D2871" t="s">
        <v>633</v>
      </c>
      <c r="F2871">
        <v>29.706499999999998</v>
      </c>
      <c r="G2871">
        <v>21.308499999999999</v>
      </c>
      <c r="H2871">
        <v>12.445499999999999</v>
      </c>
      <c r="I2871">
        <v>13.37</v>
      </c>
      <c r="J2871">
        <v>15.7325</v>
      </c>
      <c r="K2871">
        <v>17.0213</v>
      </c>
      <c r="L2871">
        <v>17.691400000000002</v>
      </c>
      <c r="M2871">
        <v>21.289000000000001</v>
      </c>
      <c r="N2871">
        <v>20.161200000000001</v>
      </c>
      <c r="O2871">
        <v>17.8141</v>
      </c>
      <c r="P2871">
        <v>147</v>
      </c>
      <c r="Q2871" t="s">
        <v>6079</v>
      </c>
    </row>
    <row r="2872" spans="1:17" x14ac:dyDescent="0.3">
      <c r="A2872" t="s">
        <v>4664</v>
      </c>
      <c r="B2872" t="str">
        <f>"002188"</f>
        <v>002188</v>
      </c>
      <c r="C2872" t="s">
        <v>6080</v>
      </c>
      <c r="D2872" t="s">
        <v>207</v>
      </c>
      <c r="F2872">
        <v>1.5124</v>
      </c>
      <c r="G2872">
        <v>380.07690000000002</v>
      </c>
      <c r="H2872">
        <v>267.83699999999999</v>
      </c>
      <c r="I2872">
        <v>68.672600000000003</v>
      </c>
      <c r="J2872">
        <v>47.980400000000003</v>
      </c>
      <c r="K2872">
        <v>70.6143</v>
      </c>
      <c r="L2872">
        <v>200.46639999999999</v>
      </c>
      <c r="M2872">
        <v>172.77330000000001</v>
      </c>
      <c r="N2872">
        <v>120.727</v>
      </c>
      <c r="O2872">
        <v>114.0441</v>
      </c>
      <c r="P2872">
        <v>69</v>
      </c>
      <c r="Q2872" t="s">
        <v>6081</v>
      </c>
    </row>
    <row r="2873" spans="1:17" x14ac:dyDescent="0.3">
      <c r="A2873" t="s">
        <v>4664</v>
      </c>
      <c r="B2873" t="str">
        <f>"002189"</f>
        <v>002189</v>
      </c>
      <c r="C2873" t="s">
        <v>6082</v>
      </c>
      <c r="D2873" t="s">
        <v>1136</v>
      </c>
      <c r="F2873">
        <v>74.286500000000004</v>
      </c>
      <c r="G2873">
        <v>90.245900000000006</v>
      </c>
      <c r="H2873">
        <v>72.796300000000002</v>
      </c>
      <c r="I2873">
        <v>35.557699999999997</v>
      </c>
      <c r="J2873">
        <v>41.561900000000001</v>
      </c>
      <c r="K2873">
        <v>48.117699999999999</v>
      </c>
      <c r="L2873">
        <v>49.787100000000002</v>
      </c>
      <c r="M2873">
        <v>58.806199999999997</v>
      </c>
      <c r="N2873">
        <v>75.701700000000002</v>
      </c>
      <c r="O2873">
        <v>78.685699999999997</v>
      </c>
      <c r="P2873">
        <v>221</v>
      </c>
      <c r="Q2873" t="s">
        <v>6083</v>
      </c>
    </row>
    <row r="2874" spans="1:17" x14ac:dyDescent="0.3">
      <c r="A2874" t="s">
        <v>4664</v>
      </c>
      <c r="B2874" t="str">
        <f>"002190"</f>
        <v>002190</v>
      </c>
      <c r="C2874" t="s">
        <v>6084</v>
      </c>
      <c r="D2874" t="s">
        <v>98</v>
      </c>
      <c r="F2874">
        <v>151.35149999999999</v>
      </c>
      <c r="G2874">
        <v>283.12060000000002</v>
      </c>
      <c r="H2874">
        <v>176.22919999999999</v>
      </c>
      <c r="I2874">
        <v>312.91410000000002</v>
      </c>
      <c r="J2874">
        <v>436.63929999999999</v>
      </c>
      <c r="K2874">
        <v>293.89210000000003</v>
      </c>
      <c r="L2874">
        <v>303.08670000000001</v>
      </c>
      <c r="M2874">
        <v>547.43079999999998</v>
      </c>
      <c r="N2874">
        <v>474.42540000000002</v>
      </c>
      <c r="O2874">
        <v>433.94650000000001</v>
      </c>
      <c r="P2874">
        <v>184</v>
      </c>
      <c r="Q2874" t="s">
        <v>6085</v>
      </c>
    </row>
    <row r="2875" spans="1:17" x14ac:dyDescent="0.3">
      <c r="A2875" t="s">
        <v>4664</v>
      </c>
      <c r="B2875" t="str">
        <f>"002191"</f>
        <v>002191</v>
      </c>
      <c r="C2875" t="s">
        <v>6086</v>
      </c>
      <c r="D2875" t="s">
        <v>2156</v>
      </c>
      <c r="F2875">
        <v>118.7649</v>
      </c>
      <c r="G2875">
        <v>150.1474</v>
      </c>
      <c r="H2875">
        <v>169.89670000000001</v>
      </c>
      <c r="I2875">
        <v>199.97980000000001</v>
      </c>
      <c r="J2875">
        <v>192.4522</v>
      </c>
      <c r="K2875">
        <v>154.84819999999999</v>
      </c>
      <c r="L2875">
        <v>153.41329999999999</v>
      </c>
      <c r="M2875">
        <v>162.45230000000001</v>
      </c>
      <c r="N2875">
        <v>199.21289999999999</v>
      </c>
      <c r="O2875">
        <v>158.43219999999999</v>
      </c>
      <c r="P2875">
        <v>6347</v>
      </c>
      <c r="Q2875" t="s">
        <v>6087</v>
      </c>
    </row>
    <row r="2876" spans="1:17" x14ac:dyDescent="0.3">
      <c r="A2876" t="s">
        <v>4664</v>
      </c>
      <c r="B2876" t="str">
        <f>"002192"</f>
        <v>002192</v>
      </c>
      <c r="C2876" t="s">
        <v>6088</v>
      </c>
      <c r="D2876" t="s">
        <v>3749</v>
      </c>
      <c r="F2876">
        <v>75.902100000000004</v>
      </c>
      <c r="G2876">
        <v>240.40549999999999</v>
      </c>
      <c r="H2876">
        <v>148.05760000000001</v>
      </c>
      <c r="I2876">
        <v>144.2148</v>
      </c>
      <c r="J2876">
        <v>228.26820000000001</v>
      </c>
      <c r="K2876">
        <v>376.34390000000002</v>
      </c>
      <c r="L2876">
        <v>356.66789999999997</v>
      </c>
      <c r="M2876">
        <v>142.63290000000001</v>
      </c>
      <c r="N2876">
        <v>257.67469999999997</v>
      </c>
      <c r="O2876">
        <v>94.498999999999995</v>
      </c>
      <c r="P2876">
        <v>230</v>
      </c>
      <c r="Q2876" t="s">
        <v>6089</v>
      </c>
    </row>
    <row r="2877" spans="1:17" x14ac:dyDescent="0.3">
      <c r="A2877" t="s">
        <v>4664</v>
      </c>
      <c r="B2877" t="str">
        <f>"002193"</f>
        <v>002193</v>
      </c>
      <c r="C2877" t="s">
        <v>6090</v>
      </c>
      <c r="D2877" t="s">
        <v>366</v>
      </c>
      <c r="F2877">
        <v>835.76649999999995</v>
      </c>
      <c r="G2877">
        <v>259.88080000000002</v>
      </c>
      <c r="H2877">
        <v>379.60750000000002</v>
      </c>
      <c r="I2877">
        <v>332.0378</v>
      </c>
      <c r="J2877">
        <v>321.59010000000001</v>
      </c>
      <c r="K2877">
        <v>279.50709999999998</v>
      </c>
      <c r="L2877">
        <v>422.93189999999998</v>
      </c>
      <c r="M2877">
        <v>557.85799999999995</v>
      </c>
      <c r="N2877">
        <v>538.09529999999995</v>
      </c>
      <c r="O2877">
        <v>267.8073</v>
      </c>
      <c r="P2877">
        <v>93</v>
      </c>
      <c r="Q2877" t="s">
        <v>6091</v>
      </c>
    </row>
    <row r="2878" spans="1:17" x14ac:dyDescent="0.3">
      <c r="A2878" t="s">
        <v>4664</v>
      </c>
      <c r="B2878" t="str">
        <f>"002194"</f>
        <v>002194</v>
      </c>
      <c r="C2878" t="s">
        <v>6092</v>
      </c>
      <c r="D2878" t="s">
        <v>1019</v>
      </c>
      <c r="F2878">
        <v>101.60890000000001</v>
      </c>
      <c r="G2878">
        <v>121.51390000000001</v>
      </c>
      <c r="H2878">
        <v>112.9521</v>
      </c>
      <c r="I2878">
        <v>142.15819999999999</v>
      </c>
      <c r="J2878">
        <v>136.75980000000001</v>
      </c>
      <c r="K2878">
        <v>205.01900000000001</v>
      </c>
      <c r="L2878">
        <v>193.57830000000001</v>
      </c>
      <c r="M2878">
        <v>134.6284</v>
      </c>
      <c r="N2878">
        <v>173.04839999999999</v>
      </c>
      <c r="O2878">
        <v>151.50829999999999</v>
      </c>
      <c r="P2878">
        <v>906</v>
      </c>
      <c r="Q2878" t="s">
        <v>6093</v>
      </c>
    </row>
    <row r="2879" spans="1:17" x14ac:dyDescent="0.3">
      <c r="A2879" t="s">
        <v>4664</v>
      </c>
      <c r="B2879" t="str">
        <f>"002195"</f>
        <v>002195</v>
      </c>
      <c r="C2879" t="s">
        <v>6094</v>
      </c>
      <c r="D2879" t="s">
        <v>316</v>
      </c>
      <c r="F2879">
        <v>0</v>
      </c>
      <c r="G2879">
        <v>0</v>
      </c>
      <c r="H2879">
        <v>0</v>
      </c>
      <c r="I2879">
        <v>31.4194</v>
      </c>
      <c r="J2879">
        <v>0</v>
      </c>
      <c r="K2879">
        <v>3.7888000000000002</v>
      </c>
      <c r="L2879">
        <v>4.125</v>
      </c>
      <c r="M2879">
        <v>3.7685</v>
      </c>
      <c r="N2879">
        <v>7.5465</v>
      </c>
      <c r="O2879">
        <v>2.9931999999999999</v>
      </c>
      <c r="P2879">
        <v>558</v>
      </c>
      <c r="Q2879" t="s">
        <v>6095</v>
      </c>
    </row>
    <row r="2880" spans="1:17" x14ac:dyDescent="0.3">
      <c r="A2880" t="s">
        <v>4664</v>
      </c>
      <c r="B2880" t="str">
        <f>"002196"</f>
        <v>002196</v>
      </c>
      <c r="C2880" t="s">
        <v>6096</v>
      </c>
      <c r="D2880" t="s">
        <v>1171</v>
      </c>
      <c r="F2880">
        <v>118.0236</v>
      </c>
      <c r="G2880">
        <v>187.03280000000001</v>
      </c>
      <c r="H2880">
        <v>184.89850000000001</v>
      </c>
      <c r="I2880">
        <v>200.70339999999999</v>
      </c>
      <c r="J2880">
        <v>185.28229999999999</v>
      </c>
      <c r="K2880">
        <v>202.23670000000001</v>
      </c>
      <c r="L2880">
        <v>184.66669999999999</v>
      </c>
      <c r="M2880">
        <v>208.12280000000001</v>
      </c>
      <c r="N2880">
        <v>217.4067</v>
      </c>
      <c r="O2880">
        <v>218.47829999999999</v>
      </c>
      <c r="P2880">
        <v>163</v>
      </c>
      <c r="Q2880" t="s">
        <v>6097</v>
      </c>
    </row>
    <row r="2881" spans="1:17" x14ac:dyDescent="0.3">
      <c r="A2881" t="s">
        <v>4664</v>
      </c>
      <c r="B2881" t="str">
        <f>"002197"</f>
        <v>002197</v>
      </c>
      <c r="C2881" t="s">
        <v>6098</v>
      </c>
      <c r="D2881" t="s">
        <v>236</v>
      </c>
      <c r="F2881">
        <v>99.806299999999993</v>
      </c>
      <c r="G2881">
        <v>121.51139999999999</v>
      </c>
      <c r="H2881">
        <v>136.4991</v>
      </c>
      <c r="I2881">
        <v>163.57839999999999</v>
      </c>
      <c r="J2881">
        <v>143.3323</v>
      </c>
      <c r="K2881">
        <v>175.16759999999999</v>
      </c>
      <c r="L2881">
        <v>340.89890000000003</v>
      </c>
      <c r="M2881">
        <v>321.5403</v>
      </c>
      <c r="N2881">
        <v>288.77249999999998</v>
      </c>
      <c r="O2881">
        <v>342.3116</v>
      </c>
      <c r="P2881">
        <v>230</v>
      </c>
      <c r="Q2881" t="s">
        <v>6099</v>
      </c>
    </row>
    <row r="2882" spans="1:17" x14ac:dyDescent="0.3">
      <c r="A2882" t="s">
        <v>4664</v>
      </c>
      <c r="B2882" t="str">
        <f>"002198"</f>
        <v>002198</v>
      </c>
      <c r="C2882" t="s">
        <v>6100</v>
      </c>
      <c r="D2882" t="s">
        <v>188</v>
      </c>
      <c r="F2882">
        <v>286.06189999999998</v>
      </c>
      <c r="G2882">
        <v>291.053</v>
      </c>
      <c r="H2882">
        <v>357.55970000000002</v>
      </c>
      <c r="I2882">
        <v>243.81729999999999</v>
      </c>
      <c r="J2882">
        <v>261.89120000000003</v>
      </c>
      <c r="K2882">
        <v>263.93810000000002</v>
      </c>
      <c r="L2882">
        <v>207.62119999999999</v>
      </c>
      <c r="M2882">
        <v>126.43429999999999</v>
      </c>
      <c r="N2882">
        <v>242.76660000000001</v>
      </c>
      <c r="O2882">
        <v>244.97409999999999</v>
      </c>
      <c r="P2882">
        <v>120</v>
      </c>
      <c r="Q2882" t="s">
        <v>6101</v>
      </c>
    </row>
    <row r="2883" spans="1:17" x14ac:dyDescent="0.3">
      <c r="A2883" t="s">
        <v>4664</v>
      </c>
      <c r="B2883" t="str">
        <f>"002199"</f>
        <v>002199</v>
      </c>
      <c r="C2883" t="s">
        <v>6102</v>
      </c>
      <c r="D2883" t="s">
        <v>546</v>
      </c>
      <c r="F2883">
        <v>149.5035</v>
      </c>
      <c r="G2883">
        <v>154.76089999999999</v>
      </c>
      <c r="H2883">
        <v>146.20070000000001</v>
      </c>
      <c r="I2883">
        <v>171.21510000000001</v>
      </c>
      <c r="J2883">
        <v>125.81440000000001</v>
      </c>
      <c r="K2883">
        <v>175.24080000000001</v>
      </c>
      <c r="L2883">
        <v>266.54320000000001</v>
      </c>
      <c r="M2883">
        <v>272.0883</v>
      </c>
      <c r="N2883">
        <v>269.87920000000003</v>
      </c>
      <c r="O2883">
        <v>206.65369999999999</v>
      </c>
      <c r="P2883">
        <v>111</v>
      </c>
      <c r="Q2883" t="s">
        <v>6103</v>
      </c>
    </row>
    <row r="2884" spans="1:17" x14ac:dyDescent="0.3">
      <c r="A2884" t="s">
        <v>4664</v>
      </c>
      <c r="B2884" t="str">
        <f>"002200"</f>
        <v>002200</v>
      </c>
      <c r="C2884" t="s">
        <v>6104</v>
      </c>
      <c r="D2884" t="s">
        <v>2408</v>
      </c>
      <c r="F2884">
        <v>182.89680000000001</v>
      </c>
      <c r="G2884">
        <v>4349.0694999999996</v>
      </c>
      <c r="H2884">
        <v>1445.7815000000001</v>
      </c>
      <c r="I2884">
        <v>1463.1596999999999</v>
      </c>
      <c r="J2884">
        <v>1357.4293</v>
      </c>
      <c r="K2884">
        <v>1343.5799</v>
      </c>
      <c r="L2884">
        <v>1224.8581999999999</v>
      </c>
      <c r="M2884">
        <v>1173.547</v>
      </c>
      <c r="N2884">
        <v>1076.5802000000001</v>
      </c>
      <c r="O2884">
        <v>906.00390000000004</v>
      </c>
      <c r="P2884">
        <v>53</v>
      </c>
      <c r="Q2884" t="s">
        <v>6105</v>
      </c>
    </row>
    <row r="2885" spans="1:17" x14ac:dyDescent="0.3">
      <c r="A2885" t="s">
        <v>4664</v>
      </c>
      <c r="B2885" t="str">
        <f>"002201"</f>
        <v>002201</v>
      </c>
      <c r="C2885" t="s">
        <v>6106</v>
      </c>
      <c r="D2885" t="s">
        <v>411</v>
      </c>
      <c r="F2885">
        <v>129.8048</v>
      </c>
      <c r="G2885">
        <v>134.6302</v>
      </c>
      <c r="H2885">
        <v>152.28270000000001</v>
      </c>
      <c r="I2885">
        <v>140.1917</v>
      </c>
      <c r="J2885">
        <v>180.60939999999999</v>
      </c>
      <c r="K2885">
        <v>212.69739999999999</v>
      </c>
      <c r="L2885">
        <v>147.8083</v>
      </c>
      <c r="M2885">
        <v>157.63630000000001</v>
      </c>
      <c r="N2885">
        <v>153.53559999999999</v>
      </c>
      <c r="O2885">
        <v>152.98310000000001</v>
      </c>
      <c r="P2885">
        <v>132</v>
      </c>
      <c r="Q2885" t="s">
        <v>6107</v>
      </c>
    </row>
    <row r="2886" spans="1:17" x14ac:dyDescent="0.3">
      <c r="A2886" t="s">
        <v>4664</v>
      </c>
      <c r="B2886" t="str">
        <f>"002202"</f>
        <v>002202</v>
      </c>
      <c r="C2886" t="s">
        <v>6108</v>
      </c>
      <c r="D2886" t="s">
        <v>895</v>
      </c>
      <c r="F2886">
        <v>97.4773</v>
      </c>
      <c r="G2886">
        <v>95.839600000000004</v>
      </c>
      <c r="H2886">
        <v>137.5292</v>
      </c>
      <c r="I2886">
        <v>136.17689999999999</v>
      </c>
      <c r="J2886">
        <v>122.70269999999999</v>
      </c>
      <c r="K2886">
        <v>113.7544</v>
      </c>
      <c r="L2886">
        <v>118.40430000000001</v>
      </c>
      <c r="M2886">
        <v>182.30170000000001</v>
      </c>
      <c r="N2886">
        <v>278.70929999999998</v>
      </c>
      <c r="O2886">
        <v>360.45069999999998</v>
      </c>
      <c r="P2886">
        <v>1283</v>
      </c>
      <c r="Q2886" t="s">
        <v>6109</v>
      </c>
    </row>
    <row r="2887" spans="1:17" x14ac:dyDescent="0.3">
      <c r="A2887" t="s">
        <v>4664</v>
      </c>
      <c r="B2887" t="str">
        <f>"002203"</f>
        <v>002203</v>
      </c>
      <c r="C2887" t="s">
        <v>6110</v>
      </c>
      <c r="D2887" t="s">
        <v>263</v>
      </c>
      <c r="F2887">
        <v>43.570300000000003</v>
      </c>
      <c r="G2887">
        <v>47.880299999999998</v>
      </c>
      <c r="H2887">
        <v>41.906300000000002</v>
      </c>
      <c r="I2887">
        <v>31.612300000000001</v>
      </c>
      <c r="J2887">
        <v>36.360399999999998</v>
      </c>
      <c r="K2887">
        <v>40.909700000000001</v>
      </c>
      <c r="L2887">
        <v>30.313099999999999</v>
      </c>
      <c r="M2887">
        <v>34.732599999999998</v>
      </c>
      <c r="N2887">
        <v>30.5273</v>
      </c>
      <c r="O2887">
        <v>36.5351</v>
      </c>
      <c r="P2887">
        <v>239</v>
      </c>
      <c r="Q2887" t="s">
        <v>6111</v>
      </c>
    </row>
    <row r="2888" spans="1:17" x14ac:dyDescent="0.3">
      <c r="A2888" t="s">
        <v>4664</v>
      </c>
      <c r="B2888" t="str">
        <f>"002204"</f>
        <v>002204</v>
      </c>
      <c r="C2888" t="s">
        <v>6112</v>
      </c>
      <c r="D2888" t="s">
        <v>395</v>
      </c>
      <c r="F2888">
        <v>299.29820000000001</v>
      </c>
      <c r="G2888">
        <v>303.71269999999998</v>
      </c>
      <c r="H2888">
        <v>396.19839999999999</v>
      </c>
      <c r="I2888">
        <v>447.5849</v>
      </c>
      <c r="J2888">
        <v>548.00729999999999</v>
      </c>
      <c r="K2888">
        <v>408.6268</v>
      </c>
      <c r="L2888">
        <v>323.29109999999997</v>
      </c>
      <c r="M2888">
        <v>280.46289999999999</v>
      </c>
      <c r="N2888">
        <v>238.8852</v>
      </c>
      <c r="O2888">
        <v>262.31790000000001</v>
      </c>
      <c r="P2888">
        <v>137</v>
      </c>
      <c r="Q2888" t="s">
        <v>6113</v>
      </c>
    </row>
    <row r="2889" spans="1:17" x14ac:dyDescent="0.3">
      <c r="A2889" t="s">
        <v>4664</v>
      </c>
      <c r="B2889" t="str">
        <f>"002205"</f>
        <v>002205</v>
      </c>
      <c r="C2889" t="s">
        <v>6114</v>
      </c>
      <c r="D2889" t="s">
        <v>3548</v>
      </c>
      <c r="F2889">
        <v>187.97890000000001</v>
      </c>
      <c r="G2889">
        <v>194.9597</v>
      </c>
      <c r="H2889">
        <v>192.1156</v>
      </c>
      <c r="I2889">
        <v>209.70099999999999</v>
      </c>
      <c r="J2889">
        <v>167.49590000000001</v>
      </c>
      <c r="K2889">
        <v>403.85680000000002</v>
      </c>
      <c r="L2889">
        <v>457.46339999999998</v>
      </c>
      <c r="M2889">
        <v>218.44730000000001</v>
      </c>
      <c r="N2889">
        <v>377.35750000000002</v>
      </c>
      <c r="O2889">
        <v>313.78219999999999</v>
      </c>
      <c r="P2889">
        <v>86</v>
      </c>
      <c r="Q2889" t="s">
        <v>6115</v>
      </c>
    </row>
    <row r="2890" spans="1:17" x14ac:dyDescent="0.3">
      <c r="A2890" t="s">
        <v>4664</v>
      </c>
      <c r="B2890" t="str">
        <f>"002206"</f>
        <v>002206</v>
      </c>
      <c r="C2890" t="s">
        <v>6116</v>
      </c>
      <c r="D2890" t="s">
        <v>2708</v>
      </c>
      <c r="F2890">
        <v>112.2526</v>
      </c>
      <c r="G2890">
        <v>96.394199999999998</v>
      </c>
      <c r="H2890">
        <v>97.009</v>
      </c>
      <c r="I2890">
        <v>100.1144</v>
      </c>
      <c r="J2890">
        <v>89.382800000000003</v>
      </c>
      <c r="K2890">
        <v>98.946700000000007</v>
      </c>
      <c r="L2890">
        <v>110.6885</v>
      </c>
      <c r="M2890">
        <v>107.9158</v>
      </c>
      <c r="N2890">
        <v>114.202</v>
      </c>
      <c r="O2890">
        <v>105.81440000000001</v>
      </c>
      <c r="P2890">
        <v>369</v>
      </c>
      <c r="Q2890" t="s">
        <v>6117</v>
      </c>
    </row>
    <row r="2891" spans="1:17" x14ac:dyDescent="0.3">
      <c r="A2891" t="s">
        <v>4664</v>
      </c>
      <c r="B2891" t="str">
        <f>"002207"</f>
        <v>002207</v>
      </c>
      <c r="C2891" t="s">
        <v>6118</v>
      </c>
      <c r="D2891" t="s">
        <v>1758</v>
      </c>
      <c r="F2891">
        <v>2.7610000000000001</v>
      </c>
      <c r="G2891">
        <v>4.4583000000000004</v>
      </c>
      <c r="H2891">
        <v>5.7576999999999998</v>
      </c>
      <c r="I2891">
        <v>20.634399999999999</v>
      </c>
      <c r="J2891">
        <v>43.064500000000002</v>
      </c>
      <c r="K2891">
        <v>40.867699999999999</v>
      </c>
      <c r="L2891">
        <v>47.557899999999997</v>
      </c>
      <c r="M2891">
        <v>28.613</v>
      </c>
      <c r="N2891">
        <v>30.952000000000002</v>
      </c>
      <c r="O2891">
        <v>21.263300000000001</v>
      </c>
      <c r="P2891">
        <v>73</v>
      </c>
      <c r="Q2891" t="s">
        <v>6119</v>
      </c>
    </row>
    <row r="2892" spans="1:17" x14ac:dyDescent="0.3">
      <c r="A2892" t="s">
        <v>4664</v>
      </c>
      <c r="B2892" t="str">
        <f>"002208"</f>
        <v>002208</v>
      </c>
      <c r="C2892" t="s">
        <v>6120</v>
      </c>
      <c r="D2892" t="s">
        <v>104</v>
      </c>
      <c r="F2892">
        <v>1012.3391</v>
      </c>
      <c r="G2892">
        <v>1574.5854999999999</v>
      </c>
      <c r="H2892">
        <v>8385.8341999999993</v>
      </c>
      <c r="I2892">
        <v>3355.3685999999998</v>
      </c>
      <c r="J2892">
        <v>2200.7067000000002</v>
      </c>
      <c r="K2892">
        <v>1377.1454000000001</v>
      </c>
      <c r="L2892">
        <v>3551.5358000000001</v>
      </c>
      <c r="M2892">
        <v>1512.2211</v>
      </c>
      <c r="N2892">
        <v>1583.52</v>
      </c>
      <c r="O2892">
        <v>2814.2824999999998</v>
      </c>
      <c r="P2892">
        <v>198</v>
      </c>
      <c r="Q2892" t="s">
        <v>6121</v>
      </c>
    </row>
    <row r="2893" spans="1:17" x14ac:dyDescent="0.3">
      <c r="A2893" t="s">
        <v>4664</v>
      </c>
      <c r="B2893" t="str">
        <f>"002209"</f>
        <v>002209</v>
      </c>
      <c r="C2893" t="s">
        <v>6122</v>
      </c>
      <c r="D2893" t="s">
        <v>3388</v>
      </c>
      <c r="F2893">
        <v>317.36590000000001</v>
      </c>
      <c r="G2893">
        <v>429.33690000000001</v>
      </c>
      <c r="H2893">
        <v>362.77769999999998</v>
      </c>
      <c r="I2893">
        <v>246.3398</v>
      </c>
      <c r="J2893">
        <v>282.26240000000001</v>
      </c>
      <c r="K2893">
        <v>294.89389999999997</v>
      </c>
      <c r="L2893">
        <v>312.47410000000002</v>
      </c>
      <c r="M2893">
        <v>321.5093</v>
      </c>
      <c r="N2893">
        <v>314.9939</v>
      </c>
      <c r="O2893">
        <v>270.73230000000001</v>
      </c>
      <c r="P2893">
        <v>75</v>
      </c>
      <c r="Q2893" t="s">
        <v>6123</v>
      </c>
    </row>
    <row r="2894" spans="1:17" x14ac:dyDescent="0.3">
      <c r="A2894" t="s">
        <v>4664</v>
      </c>
      <c r="B2894" t="str">
        <f>"002210"</f>
        <v>002210</v>
      </c>
      <c r="C2894" t="s">
        <v>6124</v>
      </c>
      <c r="D2894" t="s">
        <v>128</v>
      </c>
      <c r="F2894">
        <v>72.867800000000003</v>
      </c>
      <c r="G2894">
        <v>82.793599999999998</v>
      </c>
      <c r="H2894">
        <v>65.940899999999999</v>
      </c>
      <c r="I2894">
        <v>8.9284999999999997</v>
      </c>
      <c r="J2894">
        <v>3.9781</v>
      </c>
      <c r="K2894">
        <v>3.3300999999999998</v>
      </c>
      <c r="L2894">
        <v>2.8506</v>
      </c>
      <c r="M2894">
        <v>0.7258</v>
      </c>
      <c r="N2894">
        <v>2.6295000000000002</v>
      </c>
      <c r="O2894">
        <v>19.718699999999998</v>
      </c>
      <c r="P2894">
        <v>83</v>
      </c>
      <c r="Q2894" t="s">
        <v>6125</v>
      </c>
    </row>
    <row r="2895" spans="1:17" x14ac:dyDescent="0.3">
      <c r="A2895" t="s">
        <v>4664</v>
      </c>
      <c r="B2895" t="str">
        <f>"002211"</f>
        <v>002211</v>
      </c>
      <c r="C2895" t="s">
        <v>6126</v>
      </c>
      <c r="D2895" t="s">
        <v>1205</v>
      </c>
      <c r="F2895">
        <v>373.57900000000001</v>
      </c>
      <c r="G2895">
        <v>100.4284</v>
      </c>
      <c r="H2895">
        <v>107.533</v>
      </c>
      <c r="I2895">
        <v>46.677</v>
      </c>
      <c r="J2895">
        <v>40.628700000000002</v>
      </c>
      <c r="K2895">
        <v>75.3827</v>
      </c>
      <c r="L2895">
        <v>100.3742</v>
      </c>
      <c r="M2895">
        <v>129.12389999999999</v>
      </c>
      <c r="N2895">
        <v>170.5838</v>
      </c>
      <c r="O2895">
        <v>206.62739999999999</v>
      </c>
      <c r="P2895">
        <v>85</v>
      </c>
      <c r="Q2895" t="s">
        <v>6127</v>
      </c>
    </row>
    <row r="2896" spans="1:17" x14ac:dyDescent="0.3">
      <c r="A2896" t="s">
        <v>4664</v>
      </c>
      <c r="B2896" t="str">
        <f>"002212"</f>
        <v>002212</v>
      </c>
      <c r="C2896" t="s">
        <v>6128</v>
      </c>
      <c r="D2896" t="s">
        <v>1189</v>
      </c>
      <c r="F2896">
        <v>671.09590000000003</v>
      </c>
      <c r="G2896">
        <v>94.222099999999998</v>
      </c>
      <c r="H2896">
        <v>97.613900000000001</v>
      </c>
      <c r="I2896">
        <v>81.374300000000005</v>
      </c>
      <c r="J2896">
        <v>103.6116</v>
      </c>
      <c r="K2896">
        <v>111.1258</v>
      </c>
      <c r="L2896">
        <v>118.8526</v>
      </c>
      <c r="M2896">
        <v>125.06789999999999</v>
      </c>
      <c r="N2896">
        <v>152.9213</v>
      </c>
      <c r="O2896">
        <v>125.51009999999999</v>
      </c>
      <c r="P2896">
        <v>249</v>
      </c>
      <c r="Q2896" t="s">
        <v>6129</v>
      </c>
    </row>
    <row r="2897" spans="1:17" x14ac:dyDescent="0.3">
      <c r="A2897" t="s">
        <v>4664</v>
      </c>
      <c r="B2897" t="str">
        <f>"002213"</f>
        <v>002213</v>
      </c>
      <c r="C2897" t="s">
        <v>6130</v>
      </c>
      <c r="D2897" t="s">
        <v>348</v>
      </c>
      <c r="F2897">
        <v>70.585099999999997</v>
      </c>
      <c r="G2897">
        <v>91.944400000000002</v>
      </c>
      <c r="H2897">
        <v>201.6</v>
      </c>
      <c r="I2897">
        <v>252.0215</v>
      </c>
      <c r="J2897">
        <v>239.1447</v>
      </c>
      <c r="K2897">
        <v>184.8229</v>
      </c>
      <c r="L2897">
        <v>210.8912</v>
      </c>
      <c r="M2897">
        <v>185.89580000000001</v>
      </c>
      <c r="N2897">
        <v>129.07740000000001</v>
      </c>
      <c r="O2897">
        <v>147.25630000000001</v>
      </c>
      <c r="P2897">
        <v>90</v>
      </c>
      <c r="Q2897" t="s">
        <v>6131</v>
      </c>
    </row>
    <row r="2898" spans="1:17" x14ac:dyDescent="0.3">
      <c r="A2898" t="s">
        <v>4664</v>
      </c>
      <c r="B2898" t="str">
        <f>"002214"</f>
        <v>002214</v>
      </c>
      <c r="C2898" t="s">
        <v>6132</v>
      </c>
      <c r="D2898" t="s">
        <v>1136</v>
      </c>
      <c r="F2898">
        <v>493.67950000000002</v>
      </c>
      <c r="G2898">
        <v>475.8999</v>
      </c>
      <c r="H2898">
        <v>913.36400000000003</v>
      </c>
      <c r="I2898">
        <v>916.46659999999997</v>
      </c>
      <c r="J2898">
        <v>1391.7669000000001</v>
      </c>
      <c r="K2898">
        <v>951.77560000000005</v>
      </c>
      <c r="L2898">
        <v>852.33439999999996</v>
      </c>
      <c r="M2898">
        <v>651.55510000000004</v>
      </c>
      <c r="N2898">
        <v>971.00120000000004</v>
      </c>
      <c r="O2898">
        <v>945.98860000000002</v>
      </c>
      <c r="P2898">
        <v>511</v>
      </c>
      <c r="Q2898" t="s">
        <v>6133</v>
      </c>
    </row>
    <row r="2899" spans="1:17" x14ac:dyDescent="0.3">
      <c r="A2899" t="s">
        <v>4664</v>
      </c>
      <c r="B2899" t="str">
        <f>"002215"</f>
        <v>002215</v>
      </c>
      <c r="C2899" t="s">
        <v>6134</v>
      </c>
      <c r="D2899" t="s">
        <v>853</v>
      </c>
      <c r="F2899">
        <v>172.63890000000001</v>
      </c>
      <c r="G2899">
        <v>160.64529999999999</v>
      </c>
      <c r="H2899">
        <v>180.3013</v>
      </c>
      <c r="I2899">
        <v>165.37459999999999</v>
      </c>
      <c r="J2899">
        <v>148.20580000000001</v>
      </c>
      <c r="K2899">
        <v>107.1515</v>
      </c>
      <c r="L2899">
        <v>120.1178</v>
      </c>
      <c r="M2899">
        <v>94.829599999999999</v>
      </c>
      <c r="N2899">
        <v>102.0719</v>
      </c>
      <c r="O2899">
        <v>139.0162</v>
      </c>
      <c r="P2899">
        <v>175</v>
      </c>
      <c r="Q2899" t="s">
        <v>6135</v>
      </c>
    </row>
    <row r="2900" spans="1:17" x14ac:dyDescent="0.3">
      <c r="A2900" t="s">
        <v>4664</v>
      </c>
      <c r="B2900" t="str">
        <f>"002216"</f>
        <v>002216</v>
      </c>
      <c r="C2900" t="s">
        <v>6136</v>
      </c>
      <c r="D2900" t="s">
        <v>2838</v>
      </c>
      <c r="F2900">
        <v>103.7432</v>
      </c>
      <c r="G2900">
        <v>139.2208</v>
      </c>
      <c r="H2900">
        <v>121.4284</v>
      </c>
      <c r="I2900">
        <v>107.48990000000001</v>
      </c>
      <c r="J2900">
        <v>108.8849</v>
      </c>
      <c r="K2900">
        <v>94.118899999999996</v>
      </c>
      <c r="L2900">
        <v>103.9105</v>
      </c>
      <c r="M2900">
        <v>132.25139999999999</v>
      </c>
      <c r="N2900">
        <v>137.80160000000001</v>
      </c>
      <c r="O2900">
        <v>162.82169999999999</v>
      </c>
      <c r="P2900">
        <v>1276</v>
      </c>
      <c r="Q2900" t="s">
        <v>6137</v>
      </c>
    </row>
    <row r="2901" spans="1:17" x14ac:dyDescent="0.3">
      <c r="A2901" t="s">
        <v>4664</v>
      </c>
      <c r="B2901" t="str">
        <f>"002217"</f>
        <v>002217</v>
      </c>
      <c r="C2901" t="s">
        <v>6138</v>
      </c>
      <c r="D2901" t="s">
        <v>1117</v>
      </c>
      <c r="F2901">
        <v>230.66329999999999</v>
      </c>
      <c r="G2901">
        <v>196.66460000000001</v>
      </c>
      <c r="H2901">
        <v>177.5719</v>
      </c>
      <c r="I2901">
        <v>122.8824</v>
      </c>
      <c r="J2901">
        <v>124.8402</v>
      </c>
      <c r="K2901">
        <v>107.563</v>
      </c>
      <c r="L2901">
        <v>110.8039</v>
      </c>
      <c r="M2901">
        <v>37.818800000000003</v>
      </c>
      <c r="N2901">
        <v>42.076300000000003</v>
      </c>
      <c r="O2901">
        <v>39.884399999999999</v>
      </c>
      <c r="P2901">
        <v>490</v>
      </c>
      <c r="Q2901" t="s">
        <v>6139</v>
      </c>
    </row>
    <row r="2902" spans="1:17" x14ac:dyDescent="0.3">
      <c r="A2902" t="s">
        <v>4664</v>
      </c>
      <c r="B2902" t="str">
        <f>"002218"</f>
        <v>002218</v>
      </c>
      <c r="C2902" t="s">
        <v>6140</v>
      </c>
      <c r="D2902" t="s">
        <v>478</v>
      </c>
      <c r="F2902">
        <v>168.2054</v>
      </c>
      <c r="G2902">
        <v>177.239</v>
      </c>
      <c r="H2902">
        <v>223.0804</v>
      </c>
      <c r="I2902">
        <v>279.8673</v>
      </c>
      <c r="J2902">
        <v>198.852</v>
      </c>
      <c r="K2902">
        <v>276.67140000000001</v>
      </c>
      <c r="L2902">
        <v>786.98220000000003</v>
      </c>
      <c r="M2902">
        <v>537.44870000000003</v>
      </c>
      <c r="N2902">
        <v>341.66550000000001</v>
      </c>
      <c r="O2902">
        <v>596.17529999999999</v>
      </c>
      <c r="P2902">
        <v>218</v>
      </c>
      <c r="Q2902" t="s">
        <v>6141</v>
      </c>
    </row>
    <row r="2903" spans="1:17" x14ac:dyDescent="0.3">
      <c r="A2903" t="s">
        <v>4664</v>
      </c>
      <c r="B2903" t="str">
        <f>"002219"</f>
        <v>002219</v>
      </c>
      <c r="C2903" t="s">
        <v>6142</v>
      </c>
      <c r="D2903" t="s">
        <v>1147</v>
      </c>
      <c r="F2903">
        <v>38.1036</v>
      </c>
      <c r="G2903">
        <v>39.3874</v>
      </c>
      <c r="H2903">
        <v>52.864100000000001</v>
      </c>
      <c r="I2903">
        <v>129.5446</v>
      </c>
      <c r="J2903">
        <v>143.7081</v>
      </c>
      <c r="K2903">
        <v>135.26920000000001</v>
      </c>
      <c r="L2903">
        <v>109.2547</v>
      </c>
      <c r="M2903">
        <v>179.17509999999999</v>
      </c>
      <c r="N2903">
        <v>281.1567</v>
      </c>
      <c r="O2903">
        <v>374.86849999999998</v>
      </c>
      <c r="P2903">
        <v>94</v>
      </c>
      <c r="Q2903" t="s">
        <v>6143</v>
      </c>
    </row>
    <row r="2904" spans="1:17" x14ac:dyDescent="0.3">
      <c r="A2904" t="s">
        <v>4664</v>
      </c>
      <c r="B2904" t="str">
        <f>"002220"</f>
        <v>002220</v>
      </c>
      <c r="C2904" t="s">
        <v>6144</v>
      </c>
      <c r="H2904">
        <v>148.6284</v>
      </c>
      <c r="I2904">
        <v>146.59229999999999</v>
      </c>
      <c r="J2904">
        <v>118.7067</v>
      </c>
      <c r="K2904">
        <v>128.14420000000001</v>
      </c>
      <c r="L2904">
        <v>152.35939999999999</v>
      </c>
      <c r="M2904">
        <v>118.81489999999999</v>
      </c>
      <c r="N2904">
        <v>139.9419</v>
      </c>
      <c r="O2904">
        <v>133.90209999999999</v>
      </c>
      <c r="P2904">
        <v>51</v>
      </c>
      <c r="Q2904" t="s">
        <v>6145</v>
      </c>
    </row>
    <row r="2905" spans="1:17" x14ac:dyDescent="0.3">
      <c r="A2905" t="s">
        <v>4664</v>
      </c>
      <c r="B2905" t="str">
        <f>"002221"</f>
        <v>002221</v>
      </c>
      <c r="C2905" t="s">
        <v>6146</v>
      </c>
      <c r="D2905" t="s">
        <v>1615</v>
      </c>
      <c r="F2905">
        <v>45.4221</v>
      </c>
      <c r="G2905">
        <v>37.9938</v>
      </c>
      <c r="H2905">
        <v>21.725200000000001</v>
      </c>
      <c r="I2905">
        <v>18.728999999999999</v>
      </c>
      <c r="J2905">
        <v>25.330400000000001</v>
      </c>
      <c r="K2905">
        <v>35.036799999999999</v>
      </c>
      <c r="L2905">
        <v>34.104999999999997</v>
      </c>
      <c r="M2905">
        <v>67.019499999999994</v>
      </c>
      <c r="N2905">
        <v>85.694199999999995</v>
      </c>
      <c r="O2905">
        <v>126.324</v>
      </c>
      <c r="P2905">
        <v>390</v>
      </c>
      <c r="Q2905" t="s">
        <v>6147</v>
      </c>
    </row>
    <row r="2906" spans="1:17" x14ac:dyDescent="0.3">
      <c r="A2906" t="s">
        <v>4664</v>
      </c>
      <c r="B2906" t="str">
        <f>"002222"</f>
        <v>002222</v>
      </c>
      <c r="C2906" t="s">
        <v>6148</v>
      </c>
      <c r="D2906" t="s">
        <v>164</v>
      </c>
      <c r="F2906">
        <v>264.12759999999997</v>
      </c>
      <c r="G2906">
        <v>319.93180000000001</v>
      </c>
      <c r="H2906">
        <v>325.78199999999998</v>
      </c>
      <c r="I2906">
        <v>299.24439999999998</v>
      </c>
      <c r="J2906">
        <v>292.76900000000001</v>
      </c>
      <c r="K2906">
        <v>422.76220000000001</v>
      </c>
      <c r="L2906">
        <v>581.12310000000002</v>
      </c>
      <c r="M2906">
        <v>504.51929999999999</v>
      </c>
      <c r="N2906">
        <v>470.19510000000002</v>
      </c>
      <c r="O2906">
        <v>346.99939999999998</v>
      </c>
      <c r="P2906">
        <v>517</v>
      </c>
      <c r="Q2906" t="s">
        <v>6149</v>
      </c>
    </row>
    <row r="2907" spans="1:17" x14ac:dyDescent="0.3">
      <c r="A2907" t="s">
        <v>4664</v>
      </c>
      <c r="B2907" t="str">
        <f>"002223"</f>
        <v>002223</v>
      </c>
      <c r="C2907" t="s">
        <v>6150</v>
      </c>
      <c r="D2907" t="s">
        <v>122</v>
      </c>
      <c r="F2907">
        <v>145.2149</v>
      </c>
      <c r="G2907">
        <v>172.47380000000001</v>
      </c>
      <c r="H2907">
        <v>125.0587</v>
      </c>
      <c r="I2907">
        <v>118.3785</v>
      </c>
      <c r="J2907">
        <v>107.3561</v>
      </c>
      <c r="K2907">
        <v>117.97190000000001</v>
      </c>
      <c r="L2907">
        <v>122.39879999999999</v>
      </c>
      <c r="M2907">
        <v>128.36680000000001</v>
      </c>
      <c r="N2907">
        <v>132.18950000000001</v>
      </c>
      <c r="O2907">
        <v>119.61839999999999</v>
      </c>
      <c r="P2907">
        <v>17494</v>
      </c>
      <c r="Q2907" t="s">
        <v>6151</v>
      </c>
    </row>
    <row r="2908" spans="1:17" x14ac:dyDescent="0.3">
      <c r="A2908" t="s">
        <v>4664</v>
      </c>
      <c r="B2908" t="str">
        <f>"002224"</f>
        <v>002224</v>
      </c>
      <c r="C2908" t="s">
        <v>6152</v>
      </c>
      <c r="D2908" t="s">
        <v>2460</v>
      </c>
      <c r="F2908">
        <v>201.10550000000001</v>
      </c>
      <c r="G2908">
        <v>211.4085</v>
      </c>
      <c r="H2908">
        <v>183.63069999999999</v>
      </c>
      <c r="I2908">
        <v>178.49930000000001</v>
      </c>
      <c r="J2908">
        <v>193.0309</v>
      </c>
      <c r="K2908">
        <v>123.3935</v>
      </c>
      <c r="L2908">
        <v>141.07859999999999</v>
      </c>
      <c r="M2908">
        <v>143.3124</v>
      </c>
      <c r="N2908">
        <v>116.86499999999999</v>
      </c>
      <c r="O2908">
        <v>130.3314</v>
      </c>
      <c r="P2908">
        <v>186</v>
      </c>
      <c r="Q2908" t="s">
        <v>6153</v>
      </c>
    </row>
    <row r="2909" spans="1:17" x14ac:dyDescent="0.3">
      <c r="A2909" t="s">
        <v>4664</v>
      </c>
      <c r="B2909" t="str">
        <f>"002225"</f>
        <v>002225</v>
      </c>
      <c r="C2909" t="s">
        <v>6154</v>
      </c>
      <c r="D2909" t="s">
        <v>5835</v>
      </c>
      <c r="F2909">
        <v>181.13679999999999</v>
      </c>
      <c r="G2909">
        <v>192.84180000000001</v>
      </c>
      <c r="H2909">
        <v>199.6001</v>
      </c>
      <c r="I2909">
        <v>202.66290000000001</v>
      </c>
      <c r="J2909">
        <v>250.99930000000001</v>
      </c>
      <c r="K2909">
        <v>259.6703</v>
      </c>
      <c r="L2909">
        <v>231.8656</v>
      </c>
      <c r="M2909">
        <v>225.4803</v>
      </c>
      <c r="N2909">
        <v>217.249</v>
      </c>
      <c r="O2909">
        <v>222.1071</v>
      </c>
      <c r="P2909">
        <v>142</v>
      </c>
      <c r="Q2909" t="s">
        <v>6155</v>
      </c>
    </row>
    <row r="2910" spans="1:17" x14ac:dyDescent="0.3">
      <c r="A2910" t="s">
        <v>4664</v>
      </c>
      <c r="B2910" t="str">
        <f>"002226"</f>
        <v>002226</v>
      </c>
      <c r="C2910" t="s">
        <v>6156</v>
      </c>
      <c r="D2910" t="s">
        <v>2713</v>
      </c>
      <c r="F2910">
        <v>36.357999999999997</v>
      </c>
      <c r="G2910">
        <v>36.853400000000001</v>
      </c>
      <c r="H2910">
        <v>40.744700000000002</v>
      </c>
      <c r="I2910">
        <v>40.554299999999998</v>
      </c>
      <c r="J2910">
        <v>73.148099999999999</v>
      </c>
      <c r="K2910">
        <v>76.482799999999997</v>
      </c>
      <c r="L2910">
        <v>77.506500000000003</v>
      </c>
      <c r="M2910">
        <v>60.554600000000001</v>
      </c>
      <c r="N2910">
        <v>51.637999999999998</v>
      </c>
      <c r="O2910">
        <v>57.428899999999999</v>
      </c>
      <c r="P2910">
        <v>172</v>
      </c>
      <c r="Q2910" t="s">
        <v>6157</v>
      </c>
    </row>
    <row r="2911" spans="1:17" x14ac:dyDescent="0.3">
      <c r="A2911" t="s">
        <v>4664</v>
      </c>
      <c r="B2911" t="str">
        <f>"002227"</f>
        <v>002227</v>
      </c>
      <c r="C2911" t="s">
        <v>6158</v>
      </c>
      <c r="D2911" t="s">
        <v>470</v>
      </c>
      <c r="F2911">
        <v>449.71510000000001</v>
      </c>
      <c r="G2911">
        <v>564.57240000000002</v>
      </c>
      <c r="H2911">
        <v>582.0462</v>
      </c>
      <c r="I2911">
        <v>661.50549999999998</v>
      </c>
      <c r="J2911">
        <v>748.91319999999996</v>
      </c>
      <c r="K2911">
        <v>523.75289999999995</v>
      </c>
      <c r="L2911">
        <v>502.40260000000001</v>
      </c>
      <c r="M2911">
        <v>401.89780000000002</v>
      </c>
      <c r="N2911">
        <v>471.82510000000002</v>
      </c>
      <c r="O2911">
        <v>558.16030000000001</v>
      </c>
      <c r="P2911">
        <v>162</v>
      </c>
      <c r="Q2911" t="s">
        <v>6159</v>
      </c>
    </row>
    <row r="2912" spans="1:17" x14ac:dyDescent="0.3">
      <c r="A2912" t="s">
        <v>4664</v>
      </c>
      <c r="B2912" t="str">
        <f>"002228"</f>
        <v>002228</v>
      </c>
      <c r="C2912" t="s">
        <v>6160</v>
      </c>
      <c r="D2912" t="s">
        <v>2156</v>
      </c>
      <c r="F2912">
        <v>49.432000000000002</v>
      </c>
      <c r="G2912">
        <v>60.078099999999999</v>
      </c>
      <c r="H2912">
        <v>53.5366</v>
      </c>
      <c r="I2912">
        <v>61.358899999999998</v>
      </c>
      <c r="J2912">
        <v>96.634500000000003</v>
      </c>
      <c r="K2912">
        <v>87.578699999999998</v>
      </c>
      <c r="L2912">
        <v>90.642099999999999</v>
      </c>
      <c r="M2912">
        <v>82.221599999999995</v>
      </c>
      <c r="N2912">
        <v>88.386399999999995</v>
      </c>
      <c r="O2912">
        <v>96.265799999999999</v>
      </c>
      <c r="P2912">
        <v>290</v>
      </c>
      <c r="Q2912" t="s">
        <v>6161</v>
      </c>
    </row>
    <row r="2913" spans="1:17" x14ac:dyDescent="0.3">
      <c r="A2913" t="s">
        <v>4664</v>
      </c>
      <c r="B2913" t="str">
        <f>"002229"</f>
        <v>002229</v>
      </c>
      <c r="C2913" t="s">
        <v>6162</v>
      </c>
      <c r="D2913" t="s">
        <v>1692</v>
      </c>
      <c r="F2913">
        <v>118.5996</v>
      </c>
      <c r="G2913">
        <v>182.52520000000001</v>
      </c>
      <c r="H2913">
        <v>154.095</v>
      </c>
      <c r="I2913">
        <v>164.47380000000001</v>
      </c>
      <c r="J2913">
        <v>168.6113</v>
      </c>
      <c r="K2913">
        <v>156.86439999999999</v>
      </c>
      <c r="L2913">
        <v>148.87520000000001</v>
      </c>
      <c r="M2913">
        <v>106.1651</v>
      </c>
      <c r="N2913">
        <v>101.46599999999999</v>
      </c>
      <c r="O2913">
        <v>88.6858</v>
      </c>
      <c r="P2913">
        <v>118</v>
      </c>
      <c r="Q2913" t="s">
        <v>6163</v>
      </c>
    </row>
    <row r="2914" spans="1:17" x14ac:dyDescent="0.3">
      <c r="A2914" t="s">
        <v>4664</v>
      </c>
      <c r="B2914" t="str">
        <f>"002230"</f>
        <v>002230</v>
      </c>
      <c r="C2914" t="s">
        <v>6164</v>
      </c>
      <c r="D2914" t="s">
        <v>1189</v>
      </c>
      <c r="F2914">
        <v>154.4049</v>
      </c>
      <c r="G2914">
        <v>110.05629999999999</v>
      </c>
      <c r="H2914">
        <v>113.7734</v>
      </c>
      <c r="I2914">
        <v>124.06489999999999</v>
      </c>
      <c r="J2914">
        <v>154.6902</v>
      </c>
      <c r="K2914">
        <v>111.0701</v>
      </c>
      <c r="L2914">
        <v>89.8553</v>
      </c>
      <c r="M2914">
        <v>80.488</v>
      </c>
      <c r="N2914">
        <v>95.983400000000003</v>
      </c>
      <c r="O2914">
        <v>96.331299999999999</v>
      </c>
      <c r="P2914">
        <v>3020</v>
      </c>
      <c r="Q2914" t="s">
        <v>6165</v>
      </c>
    </row>
    <row r="2915" spans="1:17" x14ac:dyDescent="0.3">
      <c r="A2915" t="s">
        <v>4664</v>
      </c>
      <c r="B2915" t="str">
        <f>"002231"</f>
        <v>002231</v>
      </c>
      <c r="C2915" t="s">
        <v>6166</v>
      </c>
      <c r="D2915" t="s">
        <v>1136</v>
      </c>
      <c r="F2915">
        <v>338.87560000000002</v>
      </c>
      <c r="G2915">
        <v>1008.2529</v>
      </c>
      <c r="H2915">
        <v>741.57539999999995</v>
      </c>
      <c r="I2915">
        <v>654.4049</v>
      </c>
      <c r="J2915">
        <v>365.3057</v>
      </c>
      <c r="K2915">
        <v>341.47190000000001</v>
      </c>
      <c r="L2915">
        <v>420.97809999999998</v>
      </c>
      <c r="M2915">
        <v>545.0752</v>
      </c>
      <c r="N2915">
        <v>490.65300000000002</v>
      </c>
      <c r="O2915">
        <v>312.2063</v>
      </c>
      <c r="P2915">
        <v>155</v>
      </c>
      <c r="Q2915" t="s">
        <v>6167</v>
      </c>
    </row>
    <row r="2916" spans="1:17" x14ac:dyDescent="0.3">
      <c r="A2916" t="s">
        <v>4664</v>
      </c>
      <c r="B2916" t="str">
        <f>"002232"</f>
        <v>002232</v>
      </c>
      <c r="C2916" t="s">
        <v>6168</v>
      </c>
      <c r="D2916" t="s">
        <v>316</v>
      </c>
      <c r="F2916">
        <v>364.78629999999998</v>
      </c>
      <c r="G2916">
        <v>60.267099999999999</v>
      </c>
      <c r="H2916">
        <v>98.211600000000004</v>
      </c>
      <c r="I2916">
        <v>87.694999999999993</v>
      </c>
      <c r="J2916">
        <v>89.721599999999995</v>
      </c>
      <c r="K2916">
        <v>127.56270000000001</v>
      </c>
      <c r="L2916">
        <v>119.2681</v>
      </c>
      <c r="M2916">
        <v>176.17060000000001</v>
      </c>
      <c r="N2916">
        <v>196.53880000000001</v>
      </c>
      <c r="O2916">
        <v>180.37</v>
      </c>
      <c r="P2916">
        <v>247</v>
      </c>
      <c r="Q2916" t="s">
        <v>6169</v>
      </c>
    </row>
    <row r="2917" spans="1:17" x14ac:dyDescent="0.3">
      <c r="A2917" t="s">
        <v>4664</v>
      </c>
      <c r="B2917" t="str">
        <f>"002233"</f>
        <v>002233</v>
      </c>
      <c r="C2917" t="s">
        <v>6170</v>
      </c>
      <c r="D2917" t="s">
        <v>731</v>
      </c>
      <c r="F2917">
        <v>74.974400000000003</v>
      </c>
      <c r="G2917">
        <v>79.955100000000002</v>
      </c>
      <c r="H2917">
        <v>71.181700000000006</v>
      </c>
      <c r="I2917">
        <v>68.731499999999997</v>
      </c>
      <c r="J2917">
        <v>72.647300000000001</v>
      </c>
      <c r="K2917">
        <v>78.895600000000002</v>
      </c>
      <c r="L2917">
        <v>78.315899999999999</v>
      </c>
      <c r="M2917">
        <v>90.664400000000001</v>
      </c>
      <c r="N2917">
        <v>112.8578</v>
      </c>
      <c r="O2917">
        <v>120.9723</v>
      </c>
      <c r="P2917">
        <v>1388</v>
      </c>
      <c r="Q2917" t="s">
        <v>6171</v>
      </c>
    </row>
    <row r="2918" spans="1:17" x14ac:dyDescent="0.3">
      <c r="A2918" t="s">
        <v>4664</v>
      </c>
      <c r="B2918" t="str">
        <f>"002234"</f>
        <v>002234</v>
      </c>
      <c r="C2918" t="s">
        <v>6172</v>
      </c>
      <c r="D2918" t="s">
        <v>6173</v>
      </c>
      <c r="F2918">
        <v>122.2568</v>
      </c>
      <c r="G2918">
        <v>118.2064</v>
      </c>
      <c r="H2918">
        <v>148.09540000000001</v>
      </c>
      <c r="I2918">
        <v>130.75059999999999</v>
      </c>
      <c r="J2918">
        <v>107.2949</v>
      </c>
      <c r="K2918">
        <v>122.066</v>
      </c>
      <c r="L2918">
        <v>103.88160000000001</v>
      </c>
      <c r="M2918">
        <v>103.4585</v>
      </c>
      <c r="N2918">
        <v>101.6921</v>
      </c>
      <c r="O2918">
        <v>95.368700000000004</v>
      </c>
      <c r="P2918">
        <v>577</v>
      </c>
      <c r="Q2918" t="s">
        <v>6174</v>
      </c>
    </row>
    <row r="2919" spans="1:17" x14ac:dyDescent="0.3">
      <c r="A2919" t="s">
        <v>4664</v>
      </c>
      <c r="B2919" t="str">
        <f>"002235"</f>
        <v>002235</v>
      </c>
      <c r="C2919" t="s">
        <v>6175</v>
      </c>
      <c r="D2919" t="s">
        <v>244</v>
      </c>
      <c r="F2919">
        <v>80.878399999999999</v>
      </c>
      <c r="G2919">
        <v>78.297899999999998</v>
      </c>
      <c r="H2919">
        <v>77.634200000000007</v>
      </c>
      <c r="I2919">
        <v>41.271599999999999</v>
      </c>
      <c r="J2919">
        <v>36.245199999999997</v>
      </c>
      <c r="K2919">
        <v>81.505300000000005</v>
      </c>
      <c r="L2919">
        <v>86.1631</v>
      </c>
      <c r="M2919">
        <v>127.8528</v>
      </c>
      <c r="N2919">
        <v>129.1044</v>
      </c>
      <c r="O2919">
        <v>126.3205</v>
      </c>
      <c r="P2919">
        <v>142</v>
      </c>
      <c r="Q2919" t="s">
        <v>6176</v>
      </c>
    </row>
    <row r="2920" spans="1:17" x14ac:dyDescent="0.3">
      <c r="A2920" t="s">
        <v>4664</v>
      </c>
      <c r="B2920" t="str">
        <f>"002236"</f>
        <v>002236</v>
      </c>
      <c r="C2920" t="s">
        <v>6177</v>
      </c>
      <c r="D2920" t="s">
        <v>2953</v>
      </c>
      <c r="F2920">
        <v>186.24449999999999</v>
      </c>
      <c r="G2920">
        <v>180.97810000000001</v>
      </c>
      <c r="H2920">
        <v>131.6294</v>
      </c>
      <c r="I2920">
        <v>127.7869</v>
      </c>
      <c r="J2920">
        <v>143.39320000000001</v>
      </c>
      <c r="K2920">
        <v>149.15940000000001</v>
      </c>
      <c r="L2920">
        <v>156.37119999999999</v>
      </c>
      <c r="M2920">
        <v>153.89930000000001</v>
      </c>
      <c r="N2920">
        <v>157.30080000000001</v>
      </c>
      <c r="O2920">
        <v>192.5701</v>
      </c>
      <c r="P2920">
        <v>32899</v>
      </c>
      <c r="Q2920" t="s">
        <v>6178</v>
      </c>
    </row>
    <row r="2921" spans="1:17" x14ac:dyDescent="0.3">
      <c r="A2921" t="s">
        <v>4664</v>
      </c>
      <c r="B2921" t="str">
        <f>"002237"</f>
        <v>002237</v>
      </c>
      <c r="C2921" t="s">
        <v>6179</v>
      </c>
      <c r="D2921" t="s">
        <v>701</v>
      </c>
      <c r="F2921">
        <v>102.0065</v>
      </c>
      <c r="G2921">
        <v>101.9033</v>
      </c>
      <c r="H2921">
        <v>100.3857</v>
      </c>
      <c r="I2921">
        <v>123.8359</v>
      </c>
      <c r="J2921">
        <v>119.62130000000001</v>
      </c>
      <c r="K2921">
        <v>143.48820000000001</v>
      </c>
      <c r="L2921">
        <v>151.9256</v>
      </c>
      <c r="M2921">
        <v>151.47489999999999</v>
      </c>
      <c r="N2921">
        <v>200.48509999999999</v>
      </c>
      <c r="O2921">
        <v>190.3553</v>
      </c>
      <c r="P2921">
        <v>193</v>
      </c>
      <c r="Q2921" t="s">
        <v>6180</v>
      </c>
    </row>
    <row r="2922" spans="1:17" x14ac:dyDescent="0.3">
      <c r="A2922" t="s">
        <v>4664</v>
      </c>
      <c r="B2922" t="str">
        <f>"002238"</f>
        <v>002238</v>
      </c>
      <c r="C2922" t="s">
        <v>6181</v>
      </c>
      <c r="D2922" t="s">
        <v>95</v>
      </c>
      <c r="F2922">
        <v>27.688800000000001</v>
      </c>
      <c r="G2922">
        <v>12.231299999999999</v>
      </c>
      <c r="H2922">
        <v>13.7201</v>
      </c>
      <c r="I2922">
        <v>12.321099999999999</v>
      </c>
      <c r="J2922">
        <v>8.1199999999999992</v>
      </c>
      <c r="K2922">
        <v>11.1434</v>
      </c>
      <c r="L2922">
        <v>3.2911999999999999</v>
      </c>
      <c r="M2922">
        <v>0.39839999999999998</v>
      </c>
      <c r="N2922">
        <v>1.8787</v>
      </c>
      <c r="O2922">
        <v>4.2651000000000003</v>
      </c>
      <c r="P2922">
        <v>205</v>
      </c>
      <c r="Q2922" t="s">
        <v>6182</v>
      </c>
    </row>
    <row r="2923" spans="1:17" x14ac:dyDescent="0.3">
      <c r="A2923" t="s">
        <v>4664</v>
      </c>
      <c r="B2923" t="str">
        <f>"002239"</f>
        <v>002239</v>
      </c>
      <c r="C2923" t="s">
        <v>6183</v>
      </c>
      <c r="D2923" t="s">
        <v>1415</v>
      </c>
      <c r="F2923">
        <v>146.3768</v>
      </c>
      <c r="G2923">
        <v>198.00460000000001</v>
      </c>
      <c r="H2923">
        <v>185.79230000000001</v>
      </c>
      <c r="I2923">
        <v>151.18289999999999</v>
      </c>
      <c r="J2923">
        <v>118.5407</v>
      </c>
      <c r="K2923">
        <v>97.0441</v>
      </c>
      <c r="L2923">
        <v>115.6593</v>
      </c>
      <c r="M2923">
        <v>67.260300000000001</v>
      </c>
      <c r="N2923">
        <v>53.438800000000001</v>
      </c>
      <c r="O2923">
        <v>58.803400000000003</v>
      </c>
      <c r="P2923">
        <v>242</v>
      </c>
      <c r="Q2923" t="s">
        <v>6184</v>
      </c>
    </row>
    <row r="2924" spans="1:17" x14ac:dyDescent="0.3">
      <c r="A2924" t="s">
        <v>4664</v>
      </c>
      <c r="B2924" t="str">
        <f>"002240"</f>
        <v>002240</v>
      </c>
      <c r="C2924" t="s">
        <v>6185</v>
      </c>
      <c r="D2924" t="s">
        <v>5300</v>
      </c>
      <c r="F2924">
        <v>177.73310000000001</v>
      </c>
      <c r="G2924">
        <v>230.04570000000001</v>
      </c>
      <c r="H2924">
        <v>245.31630000000001</v>
      </c>
      <c r="I2924">
        <v>170.85079999999999</v>
      </c>
      <c r="J2924">
        <v>135.5626</v>
      </c>
      <c r="K2924">
        <v>201.96279999999999</v>
      </c>
      <c r="L2924">
        <v>226.1071</v>
      </c>
      <c r="M2924">
        <v>181.10820000000001</v>
      </c>
      <c r="N2924">
        <v>156.0949</v>
      </c>
      <c r="O2924">
        <v>178.91159999999999</v>
      </c>
      <c r="P2924">
        <v>389</v>
      </c>
      <c r="Q2924" t="s">
        <v>6186</v>
      </c>
    </row>
    <row r="2925" spans="1:17" x14ac:dyDescent="0.3">
      <c r="A2925" t="s">
        <v>4664</v>
      </c>
      <c r="B2925" t="str">
        <f>"002241"</f>
        <v>002241</v>
      </c>
      <c r="C2925" t="s">
        <v>6187</v>
      </c>
      <c r="D2925" t="s">
        <v>313</v>
      </c>
      <c r="F2925">
        <v>88.994100000000003</v>
      </c>
      <c r="G2925">
        <v>110.5407</v>
      </c>
      <c r="H2925">
        <v>75.748699999999999</v>
      </c>
      <c r="I2925">
        <v>120.2762</v>
      </c>
      <c r="J2925">
        <v>83.372500000000002</v>
      </c>
      <c r="K2925">
        <v>99.377099999999999</v>
      </c>
      <c r="L2925">
        <v>109.56780000000001</v>
      </c>
      <c r="M2925">
        <v>106.7617</v>
      </c>
      <c r="N2925">
        <v>75.995500000000007</v>
      </c>
      <c r="O2925">
        <v>77.4816</v>
      </c>
      <c r="P2925">
        <v>3528</v>
      </c>
      <c r="Q2925" t="s">
        <v>6188</v>
      </c>
    </row>
    <row r="2926" spans="1:17" x14ac:dyDescent="0.3">
      <c r="A2926" t="s">
        <v>4664</v>
      </c>
      <c r="B2926" t="str">
        <f>"002242"</f>
        <v>002242</v>
      </c>
      <c r="C2926" t="s">
        <v>6189</v>
      </c>
      <c r="D2926" t="s">
        <v>5712</v>
      </c>
      <c r="F2926">
        <v>62.9465</v>
      </c>
      <c r="G2926">
        <v>61.048999999999999</v>
      </c>
      <c r="H2926">
        <v>61.883899999999997</v>
      </c>
      <c r="I2926">
        <v>53.761600000000001</v>
      </c>
      <c r="J2926">
        <v>42.352800000000002</v>
      </c>
      <c r="K2926">
        <v>46.843699999999998</v>
      </c>
      <c r="L2926">
        <v>46.635399999999997</v>
      </c>
      <c r="M2926">
        <v>50.127899999999997</v>
      </c>
      <c r="N2926">
        <v>77.123000000000005</v>
      </c>
      <c r="O2926">
        <v>84.169499999999999</v>
      </c>
      <c r="P2926">
        <v>54902</v>
      </c>
      <c r="Q2926" t="s">
        <v>6190</v>
      </c>
    </row>
    <row r="2927" spans="1:17" x14ac:dyDescent="0.3">
      <c r="A2927" t="s">
        <v>4664</v>
      </c>
      <c r="B2927" t="str">
        <f>"002243"</f>
        <v>002243</v>
      </c>
      <c r="C2927" t="s">
        <v>6191</v>
      </c>
      <c r="D2927" t="s">
        <v>5892</v>
      </c>
      <c r="F2927">
        <v>804.53129999999999</v>
      </c>
      <c r="G2927">
        <v>485.7722</v>
      </c>
      <c r="H2927">
        <v>85.0916</v>
      </c>
      <c r="I2927">
        <v>86.350099999999998</v>
      </c>
      <c r="J2927">
        <v>82.941199999999995</v>
      </c>
      <c r="K2927">
        <v>90.528899999999993</v>
      </c>
      <c r="L2927">
        <v>87.543300000000002</v>
      </c>
      <c r="M2927">
        <v>87.702200000000005</v>
      </c>
      <c r="N2927">
        <v>80.660200000000003</v>
      </c>
      <c r="O2927">
        <v>82.366299999999995</v>
      </c>
      <c r="P2927">
        <v>155</v>
      </c>
      <c r="Q2927" t="s">
        <v>6192</v>
      </c>
    </row>
    <row r="2928" spans="1:17" x14ac:dyDescent="0.3">
      <c r="A2928" t="s">
        <v>4664</v>
      </c>
      <c r="B2928" t="str">
        <f>"002244"</f>
        <v>002244</v>
      </c>
      <c r="C2928" t="s">
        <v>6193</v>
      </c>
      <c r="D2928" t="s">
        <v>104</v>
      </c>
      <c r="F2928">
        <v>2350.0733</v>
      </c>
      <c r="G2928">
        <v>4349.9138999999996</v>
      </c>
      <c r="H2928">
        <v>3676.3627000000001</v>
      </c>
      <c r="I2928">
        <v>1571.5334</v>
      </c>
      <c r="J2928">
        <v>2500.8258999999998</v>
      </c>
      <c r="K2928">
        <v>1020.0381</v>
      </c>
      <c r="L2928">
        <v>1931.4185</v>
      </c>
      <c r="M2928">
        <v>1991.0574999999999</v>
      </c>
      <c r="N2928">
        <v>3143.3858</v>
      </c>
      <c r="O2928">
        <v>11317.919</v>
      </c>
      <c r="P2928">
        <v>403</v>
      </c>
      <c r="Q2928" t="s">
        <v>6194</v>
      </c>
    </row>
    <row r="2929" spans="1:17" x14ac:dyDescent="0.3">
      <c r="A2929" t="s">
        <v>4664</v>
      </c>
      <c r="B2929" t="str">
        <f>"002245"</f>
        <v>002245</v>
      </c>
      <c r="C2929" t="s">
        <v>6195</v>
      </c>
      <c r="D2929" t="s">
        <v>359</v>
      </c>
      <c r="F2929">
        <v>114.5942</v>
      </c>
      <c r="G2929">
        <v>138.03360000000001</v>
      </c>
      <c r="H2929">
        <v>158.97620000000001</v>
      </c>
      <c r="I2929">
        <v>126.41240000000001</v>
      </c>
      <c r="J2929">
        <v>109.5943</v>
      </c>
      <c r="K2929">
        <v>120.3506</v>
      </c>
      <c r="L2929">
        <v>91.706500000000005</v>
      </c>
      <c r="M2929">
        <v>92.561700000000002</v>
      </c>
      <c r="N2929">
        <v>93.943600000000004</v>
      </c>
      <c r="O2929">
        <v>90.110900000000001</v>
      </c>
      <c r="P2929">
        <v>377</v>
      </c>
      <c r="Q2929" t="s">
        <v>6196</v>
      </c>
    </row>
    <row r="2930" spans="1:17" x14ac:dyDescent="0.3">
      <c r="A2930" t="s">
        <v>4664</v>
      </c>
      <c r="B2930" t="str">
        <f>"002246"</f>
        <v>002246</v>
      </c>
      <c r="C2930" t="s">
        <v>6197</v>
      </c>
      <c r="D2930" t="s">
        <v>2713</v>
      </c>
      <c r="F2930">
        <v>106.2864</v>
      </c>
      <c r="G2930">
        <v>148.72999999999999</v>
      </c>
      <c r="H2930">
        <v>138.62289999999999</v>
      </c>
      <c r="I2930">
        <v>141.4547</v>
      </c>
      <c r="J2930">
        <v>166.34110000000001</v>
      </c>
      <c r="K2930">
        <v>126.048</v>
      </c>
      <c r="L2930">
        <v>103.4924</v>
      </c>
      <c r="M2930">
        <v>85.257499999999993</v>
      </c>
      <c r="N2930">
        <v>62.7791</v>
      </c>
      <c r="O2930">
        <v>39.552599999999998</v>
      </c>
      <c r="P2930">
        <v>117</v>
      </c>
      <c r="Q2930" t="s">
        <v>6198</v>
      </c>
    </row>
    <row r="2931" spans="1:17" x14ac:dyDescent="0.3">
      <c r="A2931" t="s">
        <v>4664</v>
      </c>
      <c r="B2931" t="str">
        <f>"002247"</f>
        <v>002247</v>
      </c>
      <c r="C2931" t="s">
        <v>6199</v>
      </c>
      <c r="D2931" t="s">
        <v>207</v>
      </c>
      <c r="F2931">
        <v>62.391100000000002</v>
      </c>
      <c r="G2931">
        <v>72.742099999999994</v>
      </c>
      <c r="H2931">
        <v>20.1113</v>
      </c>
      <c r="I2931">
        <v>19.311900000000001</v>
      </c>
      <c r="J2931">
        <v>29.761600000000001</v>
      </c>
      <c r="K2931">
        <v>52.583300000000001</v>
      </c>
      <c r="L2931">
        <v>82.899100000000004</v>
      </c>
      <c r="M2931">
        <v>83.477099999999993</v>
      </c>
      <c r="N2931">
        <v>93.024299999999997</v>
      </c>
      <c r="O2931">
        <v>95.856899999999996</v>
      </c>
      <c r="P2931">
        <v>90</v>
      </c>
      <c r="Q2931" t="s">
        <v>6200</v>
      </c>
    </row>
    <row r="2932" spans="1:17" x14ac:dyDescent="0.3">
      <c r="A2932" t="s">
        <v>4664</v>
      </c>
      <c r="B2932" t="str">
        <f>"002248"</f>
        <v>002248</v>
      </c>
      <c r="C2932" t="s">
        <v>6201</v>
      </c>
      <c r="D2932" t="s">
        <v>2312</v>
      </c>
      <c r="F2932">
        <v>451.9042</v>
      </c>
      <c r="G2932">
        <v>714.17520000000002</v>
      </c>
      <c r="H2932">
        <v>924.05870000000004</v>
      </c>
      <c r="I2932">
        <v>1531.1477</v>
      </c>
      <c r="J2932">
        <v>1447.2936</v>
      </c>
      <c r="K2932">
        <v>1428.8434</v>
      </c>
      <c r="L2932">
        <v>1849.2044000000001</v>
      </c>
      <c r="M2932">
        <v>949.83109999999999</v>
      </c>
      <c r="N2932">
        <v>1077.7254</v>
      </c>
      <c r="O2932">
        <v>764.11239999999998</v>
      </c>
      <c r="P2932">
        <v>109</v>
      </c>
      <c r="Q2932" t="s">
        <v>6202</v>
      </c>
    </row>
    <row r="2933" spans="1:17" x14ac:dyDescent="0.3">
      <c r="A2933" t="s">
        <v>4664</v>
      </c>
      <c r="B2933" t="str">
        <f>"002249"</f>
        <v>002249</v>
      </c>
      <c r="C2933" t="s">
        <v>6203</v>
      </c>
      <c r="D2933" t="s">
        <v>1171</v>
      </c>
      <c r="F2933">
        <v>155.76009999999999</v>
      </c>
      <c r="G2933">
        <v>187.1816</v>
      </c>
      <c r="H2933">
        <v>128.0316</v>
      </c>
      <c r="I2933">
        <v>133.91650000000001</v>
      </c>
      <c r="J2933">
        <v>113.58240000000001</v>
      </c>
      <c r="K2933">
        <v>115.18519999999999</v>
      </c>
      <c r="L2933">
        <v>133.0213</v>
      </c>
      <c r="M2933">
        <v>102.0852</v>
      </c>
      <c r="N2933">
        <v>93.341499999999996</v>
      </c>
      <c r="O2933">
        <v>116.842</v>
      </c>
      <c r="P2933">
        <v>338</v>
      </c>
      <c r="Q2933" t="s">
        <v>6204</v>
      </c>
    </row>
    <row r="2934" spans="1:17" x14ac:dyDescent="0.3">
      <c r="A2934" t="s">
        <v>4664</v>
      </c>
      <c r="B2934" t="str">
        <f>"002250"</f>
        <v>002250</v>
      </c>
      <c r="C2934" t="s">
        <v>6205</v>
      </c>
      <c r="D2934" t="s">
        <v>853</v>
      </c>
      <c r="F2934">
        <v>209.19919999999999</v>
      </c>
      <c r="G2934">
        <v>286.27429999999998</v>
      </c>
      <c r="H2934">
        <v>235.8663</v>
      </c>
      <c r="I2934">
        <v>231.46080000000001</v>
      </c>
      <c r="J2934">
        <v>158.75569999999999</v>
      </c>
      <c r="K2934">
        <v>186.23230000000001</v>
      </c>
      <c r="L2934">
        <v>137.26609999999999</v>
      </c>
      <c r="M2934">
        <v>109.8584</v>
      </c>
      <c r="N2934">
        <v>111.29470000000001</v>
      </c>
      <c r="O2934">
        <v>108.639</v>
      </c>
      <c r="P2934">
        <v>348</v>
      </c>
      <c r="Q2934" t="s">
        <v>6206</v>
      </c>
    </row>
    <row r="2935" spans="1:17" x14ac:dyDescent="0.3">
      <c r="A2935" t="s">
        <v>4664</v>
      </c>
      <c r="B2935" t="str">
        <f>"002251"</f>
        <v>002251</v>
      </c>
      <c r="C2935" t="s">
        <v>6207</v>
      </c>
      <c r="D2935" t="s">
        <v>798</v>
      </c>
      <c r="F2935">
        <v>84.064999999999998</v>
      </c>
      <c r="G2935">
        <v>69.087199999999996</v>
      </c>
      <c r="H2935">
        <v>67.435599999999994</v>
      </c>
      <c r="I2935">
        <v>64.758399999999995</v>
      </c>
      <c r="J2935">
        <v>69.629099999999994</v>
      </c>
      <c r="K2935">
        <v>65.785300000000007</v>
      </c>
      <c r="L2935">
        <v>59.225999999999999</v>
      </c>
      <c r="M2935">
        <v>68.361900000000006</v>
      </c>
      <c r="N2935">
        <v>59.920499999999997</v>
      </c>
      <c r="O2935">
        <v>63.544800000000002</v>
      </c>
      <c r="P2935">
        <v>196</v>
      </c>
      <c r="Q2935" t="s">
        <v>6208</v>
      </c>
    </row>
    <row r="2936" spans="1:17" x14ac:dyDescent="0.3">
      <c r="A2936" t="s">
        <v>4664</v>
      </c>
      <c r="B2936" t="str">
        <f>"002252"</f>
        <v>002252</v>
      </c>
      <c r="C2936" t="s">
        <v>6209</v>
      </c>
      <c r="D2936" t="s">
        <v>378</v>
      </c>
      <c r="F2936">
        <v>647.5471</v>
      </c>
      <c r="G2936">
        <v>956.37300000000005</v>
      </c>
      <c r="H2936">
        <v>932.17020000000002</v>
      </c>
      <c r="I2936">
        <v>1018.2965</v>
      </c>
      <c r="J2936">
        <v>614.90980000000002</v>
      </c>
      <c r="K2936">
        <v>462.51010000000002</v>
      </c>
      <c r="L2936">
        <v>448.3809</v>
      </c>
      <c r="M2936">
        <v>408.06849999999997</v>
      </c>
      <c r="N2936">
        <v>434.88119999999998</v>
      </c>
      <c r="O2936">
        <v>382.35390000000001</v>
      </c>
      <c r="P2936">
        <v>602</v>
      </c>
      <c r="Q2936" t="s">
        <v>6210</v>
      </c>
    </row>
    <row r="2937" spans="1:17" x14ac:dyDescent="0.3">
      <c r="A2937" t="s">
        <v>4664</v>
      </c>
      <c r="B2937" t="str">
        <f>"002253"</f>
        <v>002253</v>
      </c>
      <c r="C2937" t="s">
        <v>6211</v>
      </c>
      <c r="D2937" t="s">
        <v>945</v>
      </c>
      <c r="F2937">
        <v>552.02049999999997</v>
      </c>
      <c r="G2937">
        <v>632.97799999999995</v>
      </c>
      <c r="H2937">
        <v>499.44540000000001</v>
      </c>
      <c r="I2937">
        <v>367.649</v>
      </c>
      <c r="J2937">
        <v>431.26990000000001</v>
      </c>
      <c r="K2937">
        <v>394.65800000000002</v>
      </c>
      <c r="L2937">
        <v>624.53790000000004</v>
      </c>
      <c r="M2937">
        <v>468.75420000000003</v>
      </c>
      <c r="N2937">
        <v>331.98450000000003</v>
      </c>
      <c r="O2937">
        <v>310.60230000000001</v>
      </c>
      <c r="P2937">
        <v>151</v>
      </c>
      <c r="Q2937" t="s">
        <v>6212</v>
      </c>
    </row>
    <row r="2938" spans="1:17" x14ac:dyDescent="0.3">
      <c r="A2938" t="s">
        <v>4664</v>
      </c>
      <c r="B2938" t="str">
        <f>"002254"</f>
        <v>002254</v>
      </c>
      <c r="C2938" t="s">
        <v>6213</v>
      </c>
      <c r="D2938" t="s">
        <v>5558</v>
      </c>
      <c r="F2938">
        <v>89.736400000000003</v>
      </c>
      <c r="G2938">
        <v>122.7004</v>
      </c>
      <c r="H2938">
        <v>119.3763</v>
      </c>
      <c r="I2938">
        <v>107.514</v>
      </c>
      <c r="J2938">
        <v>75.997399999999999</v>
      </c>
      <c r="K2938">
        <v>121.1605</v>
      </c>
      <c r="L2938">
        <v>120.29519999999999</v>
      </c>
      <c r="M2938">
        <v>100.1575</v>
      </c>
      <c r="N2938">
        <v>89.008099999999999</v>
      </c>
      <c r="O2938">
        <v>106.63930000000001</v>
      </c>
      <c r="P2938">
        <v>215</v>
      </c>
      <c r="Q2938" t="s">
        <v>6214</v>
      </c>
    </row>
    <row r="2939" spans="1:17" x14ac:dyDescent="0.3">
      <c r="A2939" t="s">
        <v>4664</v>
      </c>
      <c r="B2939" t="str">
        <f>"002255"</f>
        <v>002255</v>
      </c>
      <c r="C2939" t="s">
        <v>6215</v>
      </c>
      <c r="D2939" t="s">
        <v>470</v>
      </c>
      <c r="F2939">
        <v>377.32900000000001</v>
      </c>
      <c r="G2939">
        <v>378.4117</v>
      </c>
      <c r="H2939">
        <v>245.02610000000001</v>
      </c>
      <c r="I2939">
        <v>409.68680000000001</v>
      </c>
      <c r="J2939">
        <v>410.19810000000001</v>
      </c>
      <c r="K2939">
        <v>545.29089999999997</v>
      </c>
      <c r="L2939">
        <v>396.18270000000001</v>
      </c>
      <c r="M2939">
        <v>410.70740000000001</v>
      </c>
      <c r="N2939">
        <v>291.49369999999999</v>
      </c>
      <c r="O2939">
        <v>261.64120000000003</v>
      </c>
      <c r="P2939">
        <v>107</v>
      </c>
      <c r="Q2939" t="s">
        <v>6216</v>
      </c>
    </row>
    <row r="2940" spans="1:17" x14ac:dyDescent="0.3">
      <c r="A2940" t="s">
        <v>4664</v>
      </c>
      <c r="B2940" t="str">
        <f>"002256"</f>
        <v>002256</v>
      </c>
      <c r="C2940" t="s">
        <v>6217</v>
      </c>
      <c r="D2940" t="s">
        <v>86</v>
      </c>
      <c r="F2940">
        <v>45.739600000000003</v>
      </c>
      <c r="G2940">
        <v>51.022199999999998</v>
      </c>
      <c r="H2940">
        <v>57.321300000000001</v>
      </c>
      <c r="I2940">
        <v>43.385399999999997</v>
      </c>
      <c r="J2940">
        <v>84.62</v>
      </c>
      <c r="K2940">
        <v>64.435000000000002</v>
      </c>
      <c r="L2940">
        <v>109.11020000000001</v>
      </c>
      <c r="M2940">
        <v>79.357200000000006</v>
      </c>
      <c r="N2940">
        <v>94.3506</v>
      </c>
      <c r="O2940">
        <v>68.202699999999993</v>
      </c>
      <c r="P2940">
        <v>151</v>
      </c>
      <c r="Q2940" t="s">
        <v>6218</v>
      </c>
    </row>
    <row r="2941" spans="1:17" x14ac:dyDescent="0.3">
      <c r="A2941" t="s">
        <v>4664</v>
      </c>
      <c r="B2941" t="str">
        <f>"002258"</f>
        <v>002258</v>
      </c>
      <c r="C2941" t="s">
        <v>6219</v>
      </c>
      <c r="D2941" t="s">
        <v>853</v>
      </c>
      <c r="F2941">
        <v>133.8717</v>
      </c>
      <c r="G2941">
        <v>155.892</v>
      </c>
      <c r="H2941">
        <v>147.58260000000001</v>
      </c>
      <c r="I2941">
        <v>126.1397</v>
      </c>
      <c r="J2941">
        <v>122.0795</v>
      </c>
      <c r="K2941">
        <v>145.07329999999999</v>
      </c>
      <c r="L2941">
        <v>169.1078</v>
      </c>
      <c r="M2941">
        <v>155.4965</v>
      </c>
      <c r="N2941">
        <v>120.3142</v>
      </c>
      <c r="O2941">
        <v>128.1575</v>
      </c>
      <c r="P2941">
        <v>646</v>
      </c>
      <c r="Q2941" t="s">
        <v>6220</v>
      </c>
    </row>
    <row r="2942" spans="1:17" x14ac:dyDescent="0.3">
      <c r="A2942" t="s">
        <v>4664</v>
      </c>
      <c r="B2942" t="str">
        <f>"002259"</f>
        <v>002259</v>
      </c>
      <c r="C2942" t="s">
        <v>6221</v>
      </c>
      <c r="D2942" t="s">
        <v>749</v>
      </c>
      <c r="F2942">
        <v>7.8761000000000001</v>
      </c>
      <c r="G2942">
        <v>9.9225999999999992</v>
      </c>
      <c r="H2942">
        <v>7.1635</v>
      </c>
      <c r="I2942">
        <v>9.0513999999999992</v>
      </c>
      <c r="J2942">
        <v>7.4539999999999997</v>
      </c>
      <c r="K2942">
        <v>174.14689999999999</v>
      </c>
      <c r="L2942">
        <v>594.82190000000003</v>
      </c>
      <c r="M2942">
        <v>319.28179999999998</v>
      </c>
      <c r="N2942">
        <v>374.81060000000002</v>
      </c>
      <c r="O2942">
        <v>378.19569999999999</v>
      </c>
      <c r="P2942">
        <v>59</v>
      </c>
      <c r="Q2942" t="s">
        <v>6222</v>
      </c>
    </row>
    <row r="2943" spans="1:17" x14ac:dyDescent="0.3">
      <c r="A2943" t="s">
        <v>4664</v>
      </c>
      <c r="B2943" t="str">
        <f>"002260"</f>
        <v>002260</v>
      </c>
      <c r="C2943" t="s">
        <v>6223</v>
      </c>
      <c r="D2943" t="s">
        <v>5712</v>
      </c>
      <c r="F2943">
        <v>43.121499999999997</v>
      </c>
      <c r="G2943">
        <v>77.534199999999998</v>
      </c>
      <c r="H2943">
        <v>108.2349</v>
      </c>
      <c r="I2943">
        <v>103.0616</v>
      </c>
      <c r="J2943">
        <v>126.9178</v>
      </c>
      <c r="K2943">
        <v>127.72580000000001</v>
      </c>
      <c r="L2943">
        <v>94.756200000000007</v>
      </c>
      <c r="M2943">
        <v>100.029</v>
      </c>
      <c r="N2943">
        <v>77.596100000000007</v>
      </c>
      <c r="O2943">
        <v>75.895499999999998</v>
      </c>
      <c r="P2943">
        <v>57</v>
      </c>
      <c r="Q2943" t="s">
        <v>6224</v>
      </c>
    </row>
    <row r="2944" spans="1:17" x14ac:dyDescent="0.3">
      <c r="A2944" t="s">
        <v>4664</v>
      </c>
      <c r="B2944" t="str">
        <f>"002261"</f>
        <v>002261</v>
      </c>
      <c r="C2944" t="s">
        <v>6225</v>
      </c>
      <c r="D2944" t="s">
        <v>1285</v>
      </c>
      <c r="F2944">
        <v>180.8931</v>
      </c>
      <c r="G2944">
        <v>147.26410000000001</v>
      </c>
      <c r="H2944">
        <v>174.92570000000001</v>
      </c>
      <c r="I2944">
        <v>215.2431</v>
      </c>
      <c r="J2944">
        <v>167.2115</v>
      </c>
      <c r="K2944">
        <v>183.14859999999999</v>
      </c>
      <c r="L2944">
        <v>184.3544</v>
      </c>
      <c r="M2944">
        <v>136.4734</v>
      </c>
      <c r="N2944">
        <v>174.02809999999999</v>
      </c>
      <c r="O2944">
        <v>250.571</v>
      </c>
      <c r="P2944">
        <v>299</v>
      </c>
      <c r="Q2944" t="s">
        <v>6226</v>
      </c>
    </row>
    <row r="2945" spans="1:17" x14ac:dyDescent="0.3">
      <c r="A2945" t="s">
        <v>4664</v>
      </c>
      <c r="B2945" t="str">
        <f>"002262"</f>
        <v>002262</v>
      </c>
      <c r="C2945" t="s">
        <v>6227</v>
      </c>
      <c r="D2945" t="s">
        <v>143</v>
      </c>
      <c r="F2945">
        <v>246.2313</v>
      </c>
      <c r="G2945">
        <v>245.9615</v>
      </c>
      <c r="H2945">
        <v>119.8357</v>
      </c>
      <c r="I2945">
        <v>102.0137</v>
      </c>
      <c r="J2945">
        <v>99.347800000000007</v>
      </c>
      <c r="K2945">
        <v>78.331599999999995</v>
      </c>
      <c r="L2945">
        <v>74.193600000000004</v>
      </c>
      <c r="M2945">
        <v>65.4358</v>
      </c>
      <c r="N2945">
        <v>58.687199999999997</v>
      </c>
      <c r="O2945">
        <v>59.619</v>
      </c>
      <c r="P2945">
        <v>51365</v>
      </c>
      <c r="Q2945" t="s">
        <v>6228</v>
      </c>
    </row>
    <row r="2946" spans="1:17" x14ac:dyDescent="0.3">
      <c r="A2946" t="s">
        <v>4664</v>
      </c>
      <c r="B2946" t="str">
        <f>"002263"</f>
        <v>002263</v>
      </c>
      <c r="C2946" t="s">
        <v>6229</v>
      </c>
      <c r="D2946" t="s">
        <v>324</v>
      </c>
      <c r="F2946">
        <v>70.860100000000003</v>
      </c>
      <c r="G2946">
        <v>67.108599999999996</v>
      </c>
      <c r="H2946">
        <v>52.577199999999998</v>
      </c>
      <c r="I2946">
        <v>73.428799999999995</v>
      </c>
      <c r="J2946">
        <v>90.596800000000002</v>
      </c>
      <c r="K2946">
        <v>131.54589999999999</v>
      </c>
      <c r="L2946">
        <v>155.69309999999999</v>
      </c>
      <c r="M2946">
        <v>149.7604</v>
      </c>
      <c r="N2946">
        <v>260.24849999999998</v>
      </c>
      <c r="O2946">
        <v>206.35679999999999</v>
      </c>
      <c r="P2946">
        <v>126</v>
      </c>
      <c r="Q2946" t="s">
        <v>6230</v>
      </c>
    </row>
    <row r="2947" spans="1:17" x14ac:dyDescent="0.3">
      <c r="A2947" t="s">
        <v>4664</v>
      </c>
      <c r="B2947" t="str">
        <f>"002264"</f>
        <v>002264</v>
      </c>
      <c r="C2947" t="s">
        <v>6231</v>
      </c>
      <c r="D2947" t="s">
        <v>798</v>
      </c>
      <c r="F2947">
        <v>97.462299999999999</v>
      </c>
      <c r="G2947">
        <v>93.567400000000006</v>
      </c>
      <c r="H2947">
        <v>77.686300000000003</v>
      </c>
      <c r="I2947">
        <v>76.591300000000004</v>
      </c>
      <c r="J2947">
        <v>73.204700000000003</v>
      </c>
      <c r="K2947">
        <v>65.769000000000005</v>
      </c>
      <c r="L2947">
        <v>66.089600000000004</v>
      </c>
      <c r="M2947">
        <v>60.645000000000003</v>
      </c>
      <c r="N2947">
        <v>65.130099999999999</v>
      </c>
      <c r="O2947">
        <v>58.7453</v>
      </c>
      <c r="P2947">
        <v>96</v>
      </c>
      <c r="Q2947" t="s">
        <v>6232</v>
      </c>
    </row>
    <row r="2948" spans="1:17" x14ac:dyDescent="0.3">
      <c r="A2948" t="s">
        <v>4664</v>
      </c>
      <c r="B2948" t="str">
        <f>"002265"</f>
        <v>002265</v>
      </c>
      <c r="C2948" t="s">
        <v>6233</v>
      </c>
      <c r="D2948" t="s">
        <v>348</v>
      </c>
      <c r="F2948">
        <v>125.9024</v>
      </c>
      <c r="G2948">
        <v>143.3904</v>
      </c>
      <c r="H2948">
        <v>157.31469999999999</v>
      </c>
      <c r="I2948">
        <v>208.42259999999999</v>
      </c>
      <c r="J2948">
        <v>172.4145</v>
      </c>
      <c r="K2948">
        <v>258.60649999999998</v>
      </c>
      <c r="L2948">
        <v>242.0052</v>
      </c>
      <c r="M2948">
        <v>244.82400000000001</v>
      </c>
      <c r="N2948">
        <v>287.15030000000002</v>
      </c>
      <c r="O2948">
        <v>272.83749999999998</v>
      </c>
      <c r="P2948">
        <v>86</v>
      </c>
      <c r="Q2948" t="s">
        <v>6234</v>
      </c>
    </row>
    <row r="2949" spans="1:17" x14ac:dyDescent="0.3">
      <c r="A2949" t="s">
        <v>4664</v>
      </c>
      <c r="B2949" t="str">
        <f>"002266"</f>
        <v>002266</v>
      </c>
      <c r="C2949" t="s">
        <v>6235</v>
      </c>
      <c r="D2949" t="s">
        <v>499</v>
      </c>
      <c r="F2949">
        <v>231.96369999999999</v>
      </c>
      <c r="G2949">
        <v>200.4367</v>
      </c>
      <c r="H2949">
        <v>587.21889999999996</v>
      </c>
      <c r="I2949">
        <v>538.06700000000001</v>
      </c>
      <c r="J2949">
        <v>491.06950000000001</v>
      </c>
      <c r="K2949">
        <v>550.11379999999997</v>
      </c>
      <c r="L2949">
        <v>966.1472</v>
      </c>
      <c r="M2949">
        <v>860.9556</v>
      </c>
      <c r="N2949">
        <v>719.16759999999999</v>
      </c>
      <c r="O2949">
        <v>351.74810000000002</v>
      </c>
      <c r="P2949">
        <v>297</v>
      </c>
      <c r="Q2949" t="s">
        <v>6236</v>
      </c>
    </row>
    <row r="2950" spans="1:17" x14ac:dyDescent="0.3">
      <c r="A2950" t="s">
        <v>4664</v>
      </c>
      <c r="B2950" t="str">
        <f>"002267"</f>
        <v>002267</v>
      </c>
      <c r="C2950" t="s">
        <v>6237</v>
      </c>
      <c r="D2950" t="s">
        <v>749</v>
      </c>
      <c r="F2950">
        <v>16.692799999999998</v>
      </c>
      <c r="G2950">
        <v>13.505100000000001</v>
      </c>
      <c r="H2950">
        <v>9.4077999999999999</v>
      </c>
      <c r="I2950">
        <v>9.9785000000000004</v>
      </c>
      <c r="J2950">
        <v>7.8780000000000001</v>
      </c>
      <c r="K2950">
        <v>8.9270999999999994</v>
      </c>
      <c r="L2950">
        <v>6.6662999999999997</v>
      </c>
      <c r="M2950">
        <v>6.8003999999999998</v>
      </c>
      <c r="N2950">
        <v>8.3376999999999999</v>
      </c>
      <c r="O2950">
        <v>5.7652000000000001</v>
      </c>
      <c r="P2950">
        <v>202</v>
      </c>
      <c r="Q2950" t="s">
        <v>6238</v>
      </c>
    </row>
    <row r="2951" spans="1:17" x14ac:dyDescent="0.3">
      <c r="A2951" t="s">
        <v>4664</v>
      </c>
      <c r="B2951" t="str">
        <f>"002268"</f>
        <v>002268</v>
      </c>
      <c r="C2951" t="s">
        <v>6239</v>
      </c>
      <c r="D2951" t="s">
        <v>236</v>
      </c>
      <c r="F2951">
        <v>274.87180000000001</v>
      </c>
      <c r="G2951">
        <v>209.90049999999999</v>
      </c>
      <c r="H2951">
        <v>167.809</v>
      </c>
      <c r="I2951">
        <v>124.87820000000001</v>
      </c>
      <c r="J2951">
        <v>97.264499999999998</v>
      </c>
      <c r="K2951">
        <v>126.67440000000001</v>
      </c>
      <c r="L2951">
        <v>207.25280000000001</v>
      </c>
      <c r="M2951">
        <v>140.2216</v>
      </c>
      <c r="N2951">
        <v>308.4701</v>
      </c>
      <c r="O2951">
        <v>337.19979999999998</v>
      </c>
      <c r="P2951">
        <v>525</v>
      </c>
      <c r="Q2951" t="s">
        <v>6240</v>
      </c>
    </row>
    <row r="2952" spans="1:17" x14ac:dyDescent="0.3">
      <c r="A2952" t="s">
        <v>4664</v>
      </c>
      <c r="B2952" t="str">
        <f>"002269"</f>
        <v>002269</v>
      </c>
      <c r="C2952" t="s">
        <v>6241</v>
      </c>
      <c r="D2952" t="s">
        <v>255</v>
      </c>
      <c r="F2952">
        <v>433.44709999999998</v>
      </c>
      <c r="G2952">
        <v>376.3877</v>
      </c>
      <c r="H2952">
        <v>343.18849999999998</v>
      </c>
      <c r="I2952">
        <v>302.02550000000002</v>
      </c>
      <c r="J2952">
        <v>316.58940000000001</v>
      </c>
      <c r="K2952">
        <v>265.30430000000001</v>
      </c>
      <c r="L2952">
        <v>242.89</v>
      </c>
      <c r="M2952">
        <v>252.69909999999999</v>
      </c>
      <c r="N2952">
        <v>232.86689999999999</v>
      </c>
      <c r="O2952">
        <v>215.40559999999999</v>
      </c>
      <c r="P2952">
        <v>143</v>
      </c>
      <c r="Q2952" t="s">
        <v>6242</v>
      </c>
    </row>
    <row r="2953" spans="1:17" x14ac:dyDescent="0.3">
      <c r="A2953" t="s">
        <v>4664</v>
      </c>
      <c r="B2953" t="str">
        <f>"002270"</f>
        <v>002270</v>
      </c>
      <c r="C2953" t="s">
        <v>6243</v>
      </c>
      <c r="D2953" t="s">
        <v>210</v>
      </c>
      <c r="F2953">
        <v>271.35910000000001</v>
      </c>
      <c r="G2953">
        <v>350.57190000000003</v>
      </c>
      <c r="H2953">
        <v>374.08940000000001</v>
      </c>
      <c r="I2953">
        <v>613.32870000000003</v>
      </c>
      <c r="J2953">
        <v>300.8356</v>
      </c>
      <c r="K2953">
        <v>184.67779999999999</v>
      </c>
      <c r="L2953">
        <v>330.33969999999999</v>
      </c>
      <c r="M2953">
        <v>255.59479999999999</v>
      </c>
      <c r="N2953">
        <v>262.37360000000001</v>
      </c>
      <c r="O2953">
        <v>342.72750000000002</v>
      </c>
      <c r="P2953">
        <v>160</v>
      </c>
      <c r="Q2953" t="s">
        <v>6244</v>
      </c>
    </row>
    <row r="2954" spans="1:17" x14ac:dyDescent="0.3">
      <c r="A2954" t="s">
        <v>4664</v>
      </c>
      <c r="B2954" t="str">
        <f>"002271"</f>
        <v>002271</v>
      </c>
      <c r="C2954" t="s">
        <v>6245</v>
      </c>
      <c r="D2954" t="s">
        <v>6246</v>
      </c>
      <c r="F2954">
        <v>35.685099999999998</v>
      </c>
      <c r="G2954">
        <v>63.242899999999999</v>
      </c>
      <c r="H2954">
        <v>95.239900000000006</v>
      </c>
      <c r="I2954">
        <v>98.147499999999994</v>
      </c>
      <c r="J2954">
        <v>85.052999999999997</v>
      </c>
      <c r="K2954">
        <v>131.71520000000001</v>
      </c>
      <c r="L2954">
        <v>125.5389</v>
      </c>
      <c r="M2954">
        <v>92.730699999999999</v>
      </c>
      <c r="N2954">
        <v>109.4166</v>
      </c>
      <c r="O2954">
        <v>130.72370000000001</v>
      </c>
      <c r="P2954">
        <v>22866</v>
      </c>
      <c r="Q2954" t="s">
        <v>6247</v>
      </c>
    </row>
    <row r="2955" spans="1:17" x14ac:dyDescent="0.3">
      <c r="A2955" t="s">
        <v>4664</v>
      </c>
      <c r="B2955" t="str">
        <f>"002272"</f>
        <v>002272</v>
      </c>
      <c r="C2955" t="s">
        <v>6248</v>
      </c>
      <c r="D2955" t="s">
        <v>2001</v>
      </c>
      <c r="F2955">
        <v>257.58980000000003</v>
      </c>
      <c r="G2955">
        <v>167.71770000000001</v>
      </c>
      <c r="H2955">
        <v>188.71360000000001</v>
      </c>
      <c r="I2955">
        <v>226.46950000000001</v>
      </c>
      <c r="J2955">
        <v>173.23150000000001</v>
      </c>
      <c r="K2955">
        <v>214.19749999999999</v>
      </c>
      <c r="L2955">
        <v>200.84549999999999</v>
      </c>
      <c r="M2955">
        <v>225.52369999999999</v>
      </c>
      <c r="N2955">
        <v>194.79220000000001</v>
      </c>
      <c r="O2955">
        <v>229.35910000000001</v>
      </c>
      <c r="P2955">
        <v>107</v>
      </c>
      <c r="Q2955" t="s">
        <v>6249</v>
      </c>
    </row>
    <row r="2956" spans="1:17" x14ac:dyDescent="0.3">
      <c r="A2956" t="s">
        <v>4664</v>
      </c>
      <c r="B2956" t="str">
        <f>"002273"</f>
        <v>002273</v>
      </c>
      <c r="C2956" t="s">
        <v>6250</v>
      </c>
      <c r="D2956" t="s">
        <v>164</v>
      </c>
      <c r="F2956">
        <v>78.910899999999998</v>
      </c>
      <c r="G2956">
        <v>87.825299999999999</v>
      </c>
      <c r="H2956">
        <v>80.2363</v>
      </c>
      <c r="I2956">
        <v>89.581400000000002</v>
      </c>
      <c r="J2956">
        <v>76.019499999999994</v>
      </c>
      <c r="K2956">
        <v>85.967100000000002</v>
      </c>
      <c r="L2956">
        <v>116.7837</v>
      </c>
      <c r="M2956">
        <v>116.7092</v>
      </c>
      <c r="N2956">
        <v>135.6557</v>
      </c>
      <c r="O2956">
        <v>145.1437</v>
      </c>
      <c r="P2956">
        <v>949</v>
      </c>
      <c r="Q2956" t="s">
        <v>6251</v>
      </c>
    </row>
    <row r="2957" spans="1:17" x14ac:dyDescent="0.3">
      <c r="A2957" t="s">
        <v>4664</v>
      </c>
      <c r="B2957" t="str">
        <f>"002274"</f>
        <v>002274</v>
      </c>
      <c r="C2957" t="s">
        <v>6252</v>
      </c>
      <c r="D2957" t="s">
        <v>5489</v>
      </c>
      <c r="F2957">
        <v>44.3797</v>
      </c>
      <c r="G2957">
        <v>48.999600000000001</v>
      </c>
      <c r="H2957">
        <v>46.458599999999997</v>
      </c>
      <c r="I2957">
        <v>45.964700000000001</v>
      </c>
      <c r="J2957">
        <v>50.72</v>
      </c>
      <c r="K2957">
        <v>66.529399999999995</v>
      </c>
      <c r="L2957">
        <v>59.346200000000003</v>
      </c>
      <c r="M2957">
        <v>51.696399999999997</v>
      </c>
      <c r="N2957">
        <v>50.561399999999999</v>
      </c>
      <c r="O2957">
        <v>63.963000000000001</v>
      </c>
      <c r="P2957">
        <v>217</v>
      </c>
      <c r="Q2957" t="s">
        <v>6253</v>
      </c>
    </row>
    <row r="2958" spans="1:17" x14ac:dyDescent="0.3">
      <c r="A2958" t="s">
        <v>4664</v>
      </c>
      <c r="B2958" t="str">
        <f>"002275"</f>
        <v>002275</v>
      </c>
      <c r="C2958" t="s">
        <v>6254</v>
      </c>
      <c r="D2958" t="s">
        <v>188</v>
      </c>
      <c r="F2958">
        <v>181.93049999999999</v>
      </c>
      <c r="G2958">
        <v>193.624</v>
      </c>
      <c r="H2958">
        <v>198.1781</v>
      </c>
      <c r="I2958">
        <v>228.69370000000001</v>
      </c>
      <c r="J2958">
        <v>230.79859999999999</v>
      </c>
      <c r="K2958">
        <v>237.16829999999999</v>
      </c>
      <c r="L2958">
        <v>258.58730000000003</v>
      </c>
      <c r="M2958">
        <v>205.29179999999999</v>
      </c>
      <c r="N2958">
        <v>188.03440000000001</v>
      </c>
      <c r="O2958">
        <v>147.7525</v>
      </c>
      <c r="P2958">
        <v>11978</v>
      </c>
      <c r="Q2958" t="s">
        <v>6255</v>
      </c>
    </row>
    <row r="2959" spans="1:17" x14ac:dyDescent="0.3">
      <c r="A2959" t="s">
        <v>4664</v>
      </c>
      <c r="B2959" t="str">
        <f>"002276"</f>
        <v>002276</v>
      </c>
      <c r="C2959" t="s">
        <v>6256</v>
      </c>
      <c r="D2959" t="s">
        <v>1164</v>
      </c>
      <c r="F2959">
        <v>41.095300000000002</v>
      </c>
      <c r="G2959">
        <v>47.475700000000003</v>
      </c>
      <c r="H2959">
        <v>51.829300000000003</v>
      </c>
      <c r="I2959">
        <v>54.515500000000003</v>
      </c>
      <c r="J2959">
        <v>49.408200000000001</v>
      </c>
      <c r="K2959">
        <v>49.307299999999998</v>
      </c>
      <c r="L2959">
        <v>43.7181</v>
      </c>
      <c r="M2959">
        <v>48.323099999999997</v>
      </c>
      <c r="N2959">
        <v>51.140999999999998</v>
      </c>
      <c r="O2959">
        <v>71.7196</v>
      </c>
      <c r="P2959">
        <v>255</v>
      </c>
      <c r="Q2959" t="s">
        <v>6257</v>
      </c>
    </row>
    <row r="2960" spans="1:17" x14ac:dyDescent="0.3">
      <c r="A2960" t="s">
        <v>4664</v>
      </c>
      <c r="B2960" t="str">
        <f>"002277"</f>
        <v>002277</v>
      </c>
      <c r="C2960" t="s">
        <v>6258</v>
      </c>
      <c r="D2960" t="s">
        <v>633</v>
      </c>
      <c r="F2960">
        <v>1085.3742999999999</v>
      </c>
      <c r="G2960">
        <v>342.76490000000001</v>
      </c>
      <c r="H2960">
        <v>287.5772</v>
      </c>
      <c r="I2960">
        <v>256.76330000000002</v>
      </c>
      <c r="J2960">
        <v>279.21210000000002</v>
      </c>
      <c r="K2960">
        <v>266.12920000000003</v>
      </c>
      <c r="L2960">
        <v>193.1576</v>
      </c>
      <c r="M2960">
        <v>102.4453</v>
      </c>
      <c r="N2960">
        <v>63.218699999999998</v>
      </c>
      <c r="O2960">
        <v>39.907499999999999</v>
      </c>
      <c r="P2960">
        <v>145</v>
      </c>
      <c r="Q2960" t="s">
        <v>6259</v>
      </c>
    </row>
    <row r="2961" spans="1:17" x14ac:dyDescent="0.3">
      <c r="A2961" t="s">
        <v>4664</v>
      </c>
      <c r="B2961" t="str">
        <f>"002278"</f>
        <v>002278</v>
      </c>
      <c r="C2961" t="s">
        <v>6260</v>
      </c>
      <c r="D2961" t="s">
        <v>395</v>
      </c>
      <c r="F2961">
        <v>411.6662</v>
      </c>
      <c r="G2961">
        <v>489.33539999999999</v>
      </c>
      <c r="H2961">
        <v>439.25220000000002</v>
      </c>
      <c r="I2961">
        <v>419.21190000000001</v>
      </c>
      <c r="J2961">
        <v>463.30169999999998</v>
      </c>
      <c r="K2961">
        <v>545.25229999999999</v>
      </c>
      <c r="L2961">
        <v>396.92809999999997</v>
      </c>
      <c r="M2961">
        <v>294.83170000000001</v>
      </c>
      <c r="N2961">
        <v>277.50810000000001</v>
      </c>
      <c r="O2961">
        <v>320.71289999999999</v>
      </c>
      <c r="P2961">
        <v>57</v>
      </c>
      <c r="Q2961" t="s">
        <v>6261</v>
      </c>
    </row>
    <row r="2962" spans="1:17" x14ac:dyDescent="0.3">
      <c r="A2962" t="s">
        <v>4664</v>
      </c>
      <c r="B2962" t="str">
        <f>"002279"</f>
        <v>002279</v>
      </c>
      <c r="C2962" t="s">
        <v>6262</v>
      </c>
      <c r="D2962" t="s">
        <v>1189</v>
      </c>
      <c r="F2962">
        <v>33.6158</v>
      </c>
      <c r="G2962">
        <v>11.833600000000001</v>
      </c>
      <c r="H2962">
        <v>6.9622999999999999</v>
      </c>
      <c r="I2962">
        <v>15.805899999999999</v>
      </c>
      <c r="J2962">
        <v>45.5105</v>
      </c>
      <c r="K2962">
        <v>94.728800000000007</v>
      </c>
      <c r="L2962">
        <v>2.2425000000000002</v>
      </c>
      <c r="M2962">
        <v>48.953499999999998</v>
      </c>
      <c r="N2962">
        <v>102.9727</v>
      </c>
      <c r="O2962">
        <v>23.318899999999999</v>
      </c>
      <c r="P2962">
        <v>323</v>
      </c>
      <c r="Q2962" t="s">
        <v>6263</v>
      </c>
    </row>
    <row r="2963" spans="1:17" x14ac:dyDescent="0.3">
      <c r="A2963" t="s">
        <v>4664</v>
      </c>
      <c r="B2963" t="str">
        <f>"002280"</f>
        <v>002280</v>
      </c>
      <c r="C2963" t="s">
        <v>6264</v>
      </c>
      <c r="D2963" t="s">
        <v>2014</v>
      </c>
      <c r="F2963">
        <v>43.482199999999999</v>
      </c>
      <c r="G2963">
        <v>41.220700000000001</v>
      </c>
      <c r="H2963">
        <v>48.483400000000003</v>
      </c>
      <c r="I2963">
        <v>55.450299999999999</v>
      </c>
      <c r="J2963">
        <v>38.979900000000001</v>
      </c>
      <c r="K2963">
        <v>16.4084</v>
      </c>
      <c r="L2963">
        <v>0</v>
      </c>
      <c r="M2963">
        <v>71.486000000000004</v>
      </c>
      <c r="N2963">
        <v>141.58969999999999</v>
      </c>
      <c r="O2963">
        <v>112.25369999999999</v>
      </c>
      <c r="P2963">
        <v>179</v>
      </c>
      <c r="Q2963" t="s">
        <v>6265</v>
      </c>
    </row>
    <row r="2964" spans="1:17" x14ac:dyDescent="0.3">
      <c r="A2964" t="s">
        <v>4664</v>
      </c>
      <c r="B2964" t="str">
        <f>"002281"</f>
        <v>002281</v>
      </c>
      <c r="C2964" t="s">
        <v>6266</v>
      </c>
      <c r="D2964" t="s">
        <v>1019</v>
      </c>
      <c r="F2964">
        <v>218.57339999999999</v>
      </c>
      <c r="G2964">
        <v>210.22839999999999</v>
      </c>
      <c r="H2964">
        <v>168.98269999999999</v>
      </c>
      <c r="I2964">
        <v>168.90649999999999</v>
      </c>
      <c r="J2964">
        <v>167.4521</v>
      </c>
      <c r="K2964">
        <v>188.4289</v>
      </c>
      <c r="L2964">
        <v>199.59039999999999</v>
      </c>
      <c r="M2964">
        <v>173.971</v>
      </c>
      <c r="N2964">
        <v>168.81399999999999</v>
      </c>
      <c r="O2964">
        <v>230.06809999999999</v>
      </c>
      <c r="P2964">
        <v>894</v>
      </c>
      <c r="Q2964" t="s">
        <v>6267</v>
      </c>
    </row>
    <row r="2965" spans="1:17" x14ac:dyDescent="0.3">
      <c r="A2965" t="s">
        <v>4664</v>
      </c>
      <c r="B2965" t="str">
        <f>"002282"</f>
        <v>002282</v>
      </c>
      <c r="C2965" t="s">
        <v>6268</v>
      </c>
      <c r="D2965" t="s">
        <v>404</v>
      </c>
      <c r="F2965">
        <v>184.0077</v>
      </c>
      <c r="G2965">
        <v>220.51519999999999</v>
      </c>
      <c r="H2965">
        <v>214.3305</v>
      </c>
      <c r="I2965">
        <v>201.23310000000001</v>
      </c>
      <c r="J2965">
        <v>213.08260000000001</v>
      </c>
      <c r="K2965">
        <v>243.90559999999999</v>
      </c>
      <c r="L2965">
        <v>239.16210000000001</v>
      </c>
      <c r="M2965">
        <v>193.0224</v>
      </c>
      <c r="N2965">
        <v>199.67259999999999</v>
      </c>
      <c r="O2965">
        <v>204.9828</v>
      </c>
      <c r="P2965">
        <v>97</v>
      </c>
      <c r="Q2965" t="s">
        <v>6269</v>
      </c>
    </row>
    <row r="2966" spans="1:17" x14ac:dyDescent="0.3">
      <c r="A2966" t="s">
        <v>4664</v>
      </c>
      <c r="B2966" t="str">
        <f>"002283"</f>
        <v>002283</v>
      </c>
      <c r="C2966" t="s">
        <v>6270</v>
      </c>
      <c r="D2966" t="s">
        <v>348</v>
      </c>
      <c r="F2966">
        <v>159.2724</v>
      </c>
      <c r="G2966">
        <v>173.21520000000001</v>
      </c>
      <c r="H2966">
        <v>183.49619999999999</v>
      </c>
      <c r="I2966">
        <v>168.26570000000001</v>
      </c>
      <c r="J2966">
        <v>148.25659999999999</v>
      </c>
      <c r="K2966">
        <v>242.04169999999999</v>
      </c>
      <c r="L2966">
        <v>261.88709999999998</v>
      </c>
      <c r="M2966">
        <v>252.6182</v>
      </c>
      <c r="N2966">
        <v>244.13550000000001</v>
      </c>
      <c r="O2966">
        <v>338.089</v>
      </c>
      <c r="P2966">
        <v>202</v>
      </c>
      <c r="Q2966" t="s">
        <v>6271</v>
      </c>
    </row>
    <row r="2967" spans="1:17" x14ac:dyDescent="0.3">
      <c r="A2967" t="s">
        <v>4664</v>
      </c>
      <c r="B2967" t="str">
        <f>"002284"</f>
        <v>002284</v>
      </c>
      <c r="C2967" t="s">
        <v>6272</v>
      </c>
      <c r="D2967" t="s">
        <v>348</v>
      </c>
      <c r="F2967">
        <v>96.642600000000002</v>
      </c>
      <c r="G2967">
        <v>111.3309</v>
      </c>
      <c r="H2967">
        <v>114.7295</v>
      </c>
      <c r="I2967">
        <v>105.96639999999999</v>
      </c>
      <c r="J2967">
        <v>107.25709999999999</v>
      </c>
      <c r="K2967">
        <v>86.280299999999997</v>
      </c>
      <c r="L2967">
        <v>92.756399999999999</v>
      </c>
      <c r="M2967">
        <v>79.382900000000006</v>
      </c>
      <c r="N2967">
        <v>77.280299999999997</v>
      </c>
      <c r="O2967">
        <v>88.581000000000003</v>
      </c>
      <c r="P2967">
        <v>197</v>
      </c>
      <c r="Q2967" t="s">
        <v>6273</v>
      </c>
    </row>
    <row r="2968" spans="1:17" x14ac:dyDescent="0.3">
      <c r="A2968" t="s">
        <v>4664</v>
      </c>
      <c r="B2968" t="str">
        <f>"002285"</f>
        <v>002285</v>
      </c>
      <c r="C2968" t="s">
        <v>6274</v>
      </c>
      <c r="D2968" t="s">
        <v>4982</v>
      </c>
      <c r="F2968">
        <v>7.9960000000000004</v>
      </c>
      <c r="G2968">
        <v>1.0871</v>
      </c>
      <c r="H2968">
        <v>1.9867999999999999</v>
      </c>
      <c r="I2968">
        <v>1.7413000000000001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477</v>
      </c>
      <c r="Q2968" t="s">
        <v>6275</v>
      </c>
    </row>
    <row r="2969" spans="1:17" x14ac:dyDescent="0.3">
      <c r="A2969" t="s">
        <v>4664</v>
      </c>
      <c r="B2969" t="str">
        <f>"002286"</f>
        <v>002286</v>
      </c>
      <c r="C2969" t="s">
        <v>6276</v>
      </c>
      <c r="D2969" t="s">
        <v>445</v>
      </c>
      <c r="F2969">
        <v>42.742600000000003</v>
      </c>
      <c r="G2969">
        <v>47.536799999999999</v>
      </c>
      <c r="H2969">
        <v>67.763300000000001</v>
      </c>
      <c r="I2969">
        <v>59.326500000000003</v>
      </c>
      <c r="J2969">
        <v>55.724499999999999</v>
      </c>
      <c r="K2969">
        <v>57.255800000000001</v>
      </c>
      <c r="L2969">
        <v>58.836799999999997</v>
      </c>
      <c r="M2969">
        <v>77.037300000000002</v>
      </c>
      <c r="N2969">
        <v>76.8934</v>
      </c>
      <c r="O2969">
        <v>57.6372</v>
      </c>
      <c r="P2969">
        <v>179</v>
      </c>
      <c r="Q2969" t="s">
        <v>6277</v>
      </c>
    </row>
    <row r="2970" spans="1:17" x14ac:dyDescent="0.3">
      <c r="A2970" t="s">
        <v>4664</v>
      </c>
      <c r="B2970" t="str">
        <f>"002287"</f>
        <v>002287</v>
      </c>
      <c r="C2970" t="s">
        <v>6278</v>
      </c>
      <c r="D2970" t="s">
        <v>188</v>
      </c>
      <c r="F2970">
        <v>212.62520000000001</v>
      </c>
      <c r="G2970">
        <v>185.90010000000001</v>
      </c>
      <c r="H2970">
        <v>185.79320000000001</v>
      </c>
      <c r="I2970">
        <v>215.78479999999999</v>
      </c>
      <c r="J2970">
        <v>195.44110000000001</v>
      </c>
      <c r="K2970">
        <v>202.27379999999999</v>
      </c>
      <c r="L2970">
        <v>198.45179999999999</v>
      </c>
      <c r="M2970">
        <v>218.0001</v>
      </c>
      <c r="N2970">
        <v>153.8819</v>
      </c>
      <c r="O2970">
        <v>181.0042</v>
      </c>
      <c r="P2970">
        <v>13304</v>
      </c>
      <c r="Q2970" t="s">
        <v>6279</v>
      </c>
    </row>
    <row r="2971" spans="1:17" x14ac:dyDescent="0.3">
      <c r="A2971" t="s">
        <v>4664</v>
      </c>
      <c r="B2971" t="str">
        <f>"002288"</f>
        <v>002288</v>
      </c>
      <c r="C2971" t="s">
        <v>6280</v>
      </c>
      <c r="D2971" t="s">
        <v>425</v>
      </c>
      <c r="F2971">
        <v>224.16550000000001</v>
      </c>
      <c r="G2971">
        <v>341.2903</v>
      </c>
      <c r="H2971">
        <v>293.37909999999999</v>
      </c>
      <c r="I2971">
        <v>224.68690000000001</v>
      </c>
      <c r="J2971">
        <v>177.52379999999999</v>
      </c>
      <c r="K2971">
        <v>276.91980000000001</v>
      </c>
      <c r="L2971">
        <v>298.00790000000001</v>
      </c>
      <c r="M2971">
        <v>236.66970000000001</v>
      </c>
      <c r="N2971">
        <v>240.0992</v>
      </c>
      <c r="O2971">
        <v>208.3837</v>
      </c>
      <c r="P2971">
        <v>176</v>
      </c>
      <c r="Q2971" t="s">
        <v>6281</v>
      </c>
    </row>
    <row r="2972" spans="1:17" x14ac:dyDescent="0.3">
      <c r="A2972" t="s">
        <v>4664</v>
      </c>
      <c r="B2972" t="str">
        <f>"002289"</f>
        <v>002289</v>
      </c>
      <c r="C2972" t="s">
        <v>6282</v>
      </c>
      <c r="D2972" t="s">
        <v>1117</v>
      </c>
      <c r="F2972">
        <v>92.510999999999996</v>
      </c>
      <c r="G2972">
        <v>92.7727</v>
      </c>
      <c r="H2972">
        <v>109.47199999999999</v>
      </c>
      <c r="I2972">
        <v>100.59059999999999</v>
      </c>
      <c r="J2972">
        <v>109.3216</v>
      </c>
      <c r="K2972">
        <v>144.3015</v>
      </c>
      <c r="L2972">
        <v>139.00980000000001</v>
      </c>
      <c r="M2972">
        <v>133.86949999999999</v>
      </c>
      <c r="N2972">
        <v>98.407799999999995</v>
      </c>
      <c r="O2972">
        <v>144.25120000000001</v>
      </c>
      <c r="P2972">
        <v>70</v>
      </c>
      <c r="Q2972" t="s">
        <v>6283</v>
      </c>
    </row>
    <row r="2973" spans="1:17" x14ac:dyDescent="0.3">
      <c r="A2973" t="s">
        <v>4664</v>
      </c>
      <c r="B2973" t="str">
        <f>"002290"</f>
        <v>002290</v>
      </c>
      <c r="C2973" t="s">
        <v>6284</v>
      </c>
      <c r="D2973" t="s">
        <v>1253</v>
      </c>
      <c r="F2973">
        <v>105.54130000000001</v>
      </c>
      <c r="G2973">
        <v>109.80719999999999</v>
      </c>
      <c r="H2973">
        <v>114.8475</v>
      </c>
      <c r="I2973">
        <v>129.07830000000001</v>
      </c>
      <c r="J2973">
        <v>140.4522</v>
      </c>
      <c r="K2973">
        <v>189.87219999999999</v>
      </c>
      <c r="L2973">
        <v>170.8656</v>
      </c>
      <c r="M2973">
        <v>180.89099999999999</v>
      </c>
      <c r="N2973">
        <v>216.37370000000001</v>
      </c>
      <c r="O2973">
        <v>237.2312</v>
      </c>
      <c r="P2973">
        <v>80</v>
      </c>
      <c r="Q2973" t="s">
        <v>6285</v>
      </c>
    </row>
    <row r="2974" spans="1:17" x14ac:dyDescent="0.3">
      <c r="A2974" t="s">
        <v>4664</v>
      </c>
      <c r="B2974" t="str">
        <f>"002291"</f>
        <v>002291</v>
      </c>
      <c r="C2974" t="s">
        <v>6286</v>
      </c>
      <c r="D2974" t="s">
        <v>207</v>
      </c>
      <c r="F2974">
        <v>327.51519999999999</v>
      </c>
      <c r="G2974">
        <v>425.14249999999998</v>
      </c>
      <c r="H2974">
        <v>712.78499999999997</v>
      </c>
      <c r="I2974">
        <v>960.61770000000001</v>
      </c>
      <c r="J2974">
        <v>1048.8039000000001</v>
      </c>
      <c r="K2974">
        <v>1016.9961</v>
      </c>
      <c r="L2974">
        <v>794.89649999999995</v>
      </c>
      <c r="M2974">
        <v>679.42060000000004</v>
      </c>
      <c r="N2974">
        <v>570.07709999999997</v>
      </c>
      <c r="O2974">
        <v>576.14750000000004</v>
      </c>
      <c r="P2974">
        <v>172</v>
      </c>
      <c r="Q2974" t="s">
        <v>6287</v>
      </c>
    </row>
    <row r="2975" spans="1:17" x14ac:dyDescent="0.3">
      <c r="A2975" t="s">
        <v>4664</v>
      </c>
      <c r="B2975" t="str">
        <f>"002292"</f>
        <v>002292</v>
      </c>
      <c r="C2975" t="s">
        <v>6288</v>
      </c>
      <c r="D2975" t="s">
        <v>113</v>
      </c>
      <c r="F2975">
        <v>227.33600000000001</v>
      </c>
      <c r="G2975">
        <v>286.12720000000002</v>
      </c>
      <c r="H2975">
        <v>275.49360000000001</v>
      </c>
      <c r="I2975">
        <v>336.96710000000002</v>
      </c>
      <c r="J2975">
        <v>324.39089999999999</v>
      </c>
      <c r="K2975">
        <v>177.26929999999999</v>
      </c>
      <c r="L2975">
        <v>208.898</v>
      </c>
      <c r="M2975">
        <v>167.34399999999999</v>
      </c>
      <c r="N2975">
        <v>212.68549999999999</v>
      </c>
      <c r="O2975">
        <v>238.9032</v>
      </c>
      <c r="P2975">
        <v>291</v>
      </c>
      <c r="Q2975" t="s">
        <v>6289</v>
      </c>
    </row>
    <row r="2976" spans="1:17" x14ac:dyDescent="0.3">
      <c r="A2976" t="s">
        <v>4664</v>
      </c>
      <c r="B2976" t="str">
        <f>"002293"</f>
        <v>002293</v>
      </c>
      <c r="C2976" t="s">
        <v>6290</v>
      </c>
      <c r="D2976" t="s">
        <v>2862</v>
      </c>
      <c r="F2976">
        <v>195.83709999999999</v>
      </c>
      <c r="G2976">
        <v>244.68260000000001</v>
      </c>
      <c r="H2976">
        <v>249.29349999999999</v>
      </c>
      <c r="I2976">
        <v>222.3835</v>
      </c>
      <c r="J2976">
        <v>184.0685</v>
      </c>
      <c r="K2976">
        <v>213.04650000000001</v>
      </c>
      <c r="L2976">
        <v>206.66640000000001</v>
      </c>
      <c r="M2976">
        <v>231.99940000000001</v>
      </c>
      <c r="N2976">
        <v>234.0067</v>
      </c>
      <c r="O2976">
        <v>201.06890000000001</v>
      </c>
      <c r="P2976">
        <v>4959</v>
      </c>
      <c r="Q2976" t="s">
        <v>6291</v>
      </c>
    </row>
    <row r="2977" spans="1:17" x14ac:dyDescent="0.3">
      <c r="A2977" t="s">
        <v>4664</v>
      </c>
      <c r="B2977" t="str">
        <f>"002294"</f>
        <v>002294</v>
      </c>
      <c r="C2977" t="s">
        <v>6292</v>
      </c>
      <c r="D2977" t="s">
        <v>143</v>
      </c>
      <c r="F2977">
        <v>247.9502</v>
      </c>
      <c r="G2977">
        <v>248.6361</v>
      </c>
      <c r="H2977">
        <v>265.10629999999998</v>
      </c>
      <c r="I2977">
        <v>269.30250000000001</v>
      </c>
      <c r="J2977">
        <v>246.6369</v>
      </c>
      <c r="K2977">
        <v>156.83680000000001</v>
      </c>
      <c r="L2977">
        <v>132.7817</v>
      </c>
      <c r="M2977">
        <v>126.2246</v>
      </c>
      <c r="N2977">
        <v>228.9151</v>
      </c>
      <c r="O2977">
        <v>154.35239999999999</v>
      </c>
      <c r="P2977">
        <v>25590</v>
      </c>
      <c r="Q2977" t="s">
        <v>6293</v>
      </c>
    </row>
    <row r="2978" spans="1:17" x14ac:dyDescent="0.3">
      <c r="A2978" t="s">
        <v>4664</v>
      </c>
      <c r="B2978" t="str">
        <f>"002295"</f>
        <v>002295</v>
      </c>
      <c r="C2978" t="s">
        <v>6294</v>
      </c>
      <c r="D2978" t="s">
        <v>263</v>
      </c>
      <c r="F2978">
        <v>18.7362</v>
      </c>
      <c r="G2978">
        <v>20.434999999999999</v>
      </c>
      <c r="H2978">
        <v>21.162400000000002</v>
      </c>
      <c r="I2978">
        <v>23.232399999999998</v>
      </c>
      <c r="J2978">
        <v>24.875599999999999</v>
      </c>
      <c r="K2978">
        <v>41.573999999999998</v>
      </c>
      <c r="L2978">
        <v>45.068199999999997</v>
      </c>
      <c r="M2978">
        <v>51.46</v>
      </c>
      <c r="N2978">
        <v>46.858899999999998</v>
      </c>
      <c r="O2978">
        <v>59.213900000000002</v>
      </c>
      <c r="P2978">
        <v>56</v>
      </c>
      <c r="Q2978" t="s">
        <v>6295</v>
      </c>
    </row>
    <row r="2979" spans="1:17" x14ac:dyDescent="0.3">
      <c r="A2979" t="s">
        <v>4664</v>
      </c>
      <c r="B2979" t="str">
        <f>"002296"</f>
        <v>002296</v>
      </c>
      <c r="C2979" t="s">
        <v>6296</v>
      </c>
      <c r="D2979" t="s">
        <v>1019</v>
      </c>
      <c r="F2979">
        <v>541.55579999999998</v>
      </c>
      <c r="G2979">
        <v>608.07579999999996</v>
      </c>
      <c r="H2979">
        <v>571.52499999999998</v>
      </c>
      <c r="I2979">
        <v>646.7758</v>
      </c>
      <c r="J2979">
        <v>405.70800000000003</v>
      </c>
      <c r="K2979">
        <v>503.6764</v>
      </c>
      <c r="L2979">
        <v>507.04360000000003</v>
      </c>
      <c r="M2979">
        <v>595.4194</v>
      </c>
      <c r="N2979">
        <v>697.90800000000002</v>
      </c>
      <c r="O2979">
        <v>429.75709999999998</v>
      </c>
      <c r="P2979">
        <v>160</v>
      </c>
      <c r="Q2979" t="s">
        <v>6297</v>
      </c>
    </row>
    <row r="2980" spans="1:17" x14ac:dyDescent="0.3">
      <c r="A2980" t="s">
        <v>4664</v>
      </c>
      <c r="B2980" t="str">
        <f>"002297"</f>
        <v>002297</v>
      </c>
      <c r="C2980" t="s">
        <v>6298</v>
      </c>
      <c r="D2980" t="s">
        <v>98</v>
      </c>
      <c r="F2980">
        <v>488.79090000000002</v>
      </c>
      <c r="G2980">
        <v>591.50990000000002</v>
      </c>
      <c r="H2980">
        <v>598.45339999999999</v>
      </c>
      <c r="I2980">
        <v>446.72910000000002</v>
      </c>
      <c r="J2980">
        <v>395.85469999999998</v>
      </c>
      <c r="K2980">
        <v>398.72519999999997</v>
      </c>
      <c r="L2980">
        <v>529.39210000000003</v>
      </c>
      <c r="M2980">
        <v>403.24400000000003</v>
      </c>
      <c r="N2980">
        <v>369.65390000000002</v>
      </c>
      <c r="O2980">
        <v>393.77820000000003</v>
      </c>
      <c r="P2980">
        <v>100</v>
      </c>
      <c r="Q2980" t="s">
        <v>6299</v>
      </c>
    </row>
    <row r="2981" spans="1:17" x14ac:dyDescent="0.3">
      <c r="A2981" t="s">
        <v>4664</v>
      </c>
      <c r="B2981" t="str">
        <f>"002298"</f>
        <v>002298</v>
      </c>
      <c r="C2981" t="s">
        <v>6300</v>
      </c>
      <c r="D2981" t="s">
        <v>945</v>
      </c>
      <c r="F2981">
        <v>163.51259999999999</v>
      </c>
      <c r="G2981">
        <v>358.68020000000001</v>
      </c>
      <c r="H2981">
        <v>317.08449999999999</v>
      </c>
      <c r="I2981">
        <v>462.03949999999998</v>
      </c>
      <c r="J2981">
        <v>388.7586</v>
      </c>
      <c r="K2981">
        <v>435.49790000000002</v>
      </c>
      <c r="L2981">
        <v>851.62369999999999</v>
      </c>
      <c r="M2981">
        <v>543.44010000000003</v>
      </c>
      <c r="N2981">
        <v>478.52339999999998</v>
      </c>
      <c r="O2981">
        <v>372.7441</v>
      </c>
      <c r="P2981">
        <v>182</v>
      </c>
      <c r="Q2981" t="s">
        <v>6301</v>
      </c>
    </row>
    <row r="2982" spans="1:17" x14ac:dyDescent="0.3">
      <c r="A2982" t="s">
        <v>4664</v>
      </c>
      <c r="B2982" t="str">
        <f>"002299"</f>
        <v>002299</v>
      </c>
      <c r="C2982" t="s">
        <v>6302</v>
      </c>
      <c r="D2982" t="s">
        <v>6173</v>
      </c>
      <c r="F2982">
        <v>92.5137</v>
      </c>
      <c r="G2982">
        <v>102.7711</v>
      </c>
      <c r="H2982">
        <v>89.679299999999998</v>
      </c>
      <c r="I2982">
        <v>93.859200000000001</v>
      </c>
      <c r="J2982">
        <v>88.242199999999997</v>
      </c>
      <c r="K2982">
        <v>89.3626</v>
      </c>
      <c r="L2982">
        <v>96.524500000000003</v>
      </c>
      <c r="M2982">
        <v>85.516000000000005</v>
      </c>
      <c r="N2982">
        <v>95.999200000000002</v>
      </c>
      <c r="O2982">
        <v>98.868399999999994</v>
      </c>
      <c r="P2982">
        <v>1371</v>
      </c>
      <c r="Q2982" t="s">
        <v>6303</v>
      </c>
    </row>
    <row r="2983" spans="1:17" x14ac:dyDescent="0.3">
      <c r="A2983" t="s">
        <v>4664</v>
      </c>
      <c r="B2983" t="str">
        <f>"002300"</f>
        <v>002300</v>
      </c>
      <c r="C2983" t="s">
        <v>6304</v>
      </c>
      <c r="D2983" t="s">
        <v>1164</v>
      </c>
      <c r="F2983">
        <v>33.277299999999997</v>
      </c>
      <c r="G2983">
        <v>49.078400000000002</v>
      </c>
      <c r="H2983">
        <v>47.281599999999997</v>
      </c>
      <c r="I2983">
        <v>56.913600000000002</v>
      </c>
      <c r="J2983">
        <v>51.1569</v>
      </c>
      <c r="K2983">
        <v>72.061499999999995</v>
      </c>
      <c r="L2983">
        <v>65.9923</v>
      </c>
      <c r="M2983">
        <v>72.215400000000002</v>
      </c>
      <c r="N2983">
        <v>74.088700000000003</v>
      </c>
      <c r="O2983">
        <v>81.002099999999999</v>
      </c>
      <c r="P2983">
        <v>125</v>
      </c>
      <c r="Q2983" t="s">
        <v>6305</v>
      </c>
    </row>
    <row r="2984" spans="1:17" x14ac:dyDescent="0.3">
      <c r="A2984" t="s">
        <v>4664</v>
      </c>
      <c r="B2984" t="str">
        <f>"002301"</f>
        <v>002301</v>
      </c>
      <c r="C2984" t="s">
        <v>6306</v>
      </c>
      <c r="D2984" t="s">
        <v>3383</v>
      </c>
      <c r="F2984">
        <v>16.922000000000001</v>
      </c>
      <c r="G2984">
        <v>18.866900000000001</v>
      </c>
      <c r="H2984">
        <v>33.1006</v>
      </c>
      <c r="I2984">
        <v>41.294400000000003</v>
      </c>
      <c r="J2984">
        <v>45.964300000000001</v>
      </c>
      <c r="K2984">
        <v>56.123199999999997</v>
      </c>
      <c r="L2984">
        <v>91.597099999999998</v>
      </c>
      <c r="M2984">
        <v>91.714699999999993</v>
      </c>
      <c r="N2984">
        <v>90.104600000000005</v>
      </c>
      <c r="O2984">
        <v>88.758600000000001</v>
      </c>
      <c r="P2984">
        <v>202</v>
      </c>
      <c r="Q2984" t="s">
        <v>6307</v>
      </c>
    </row>
    <row r="2985" spans="1:17" x14ac:dyDescent="0.3">
      <c r="A2985" t="s">
        <v>4664</v>
      </c>
      <c r="B2985" t="str">
        <f>"002302"</f>
        <v>002302</v>
      </c>
      <c r="C2985" t="s">
        <v>6308</v>
      </c>
      <c r="D2985" t="s">
        <v>3071</v>
      </c>
      <c r="F2985">
        <v>7.2915999999999999</v>
      </c>
      <c r="G2985">
        <v>9.7175999999999991</v>
      </c>
      <c r="H2985">
        <v>9.3930000000000007</v>
      </c>
      <c r="I2985">
        <v>9.3399000000000001</v>
      </c>
      <c r="J2985">
        <v>10.063700000000001</v>
      </c>
      <c r="K2985">
        <v>13.3247</v>
      </c>
      <c r="L2985">
        <v>16.0532</v>
      </c>
      <c r="M2985">
        <v>16.005600000000001</v>
      </c>
      <c r="N2985">
        <v>12.4505</v>
      </c>
      <c r="O2985">
        <v>17.139199999999999</v>
      </c>
      <c r="P2985">
        <v>201</v>
      </c>
      <c r="Q2985" t="s">
        <v>6309</v>
      </c>
    </row>
    <row r="2986" spans="1:17" x14ac:dyDescent="0.3">
      <c r="A2986" t="s">
        <v>4664</v>
      </c>
      <c r="B2986" t="str">
        <f>"002303"</f>
        <v>002303</v>
      </c>
      <c r="C2986" t="s">
        <v>6310</v>
      </c>
      <c r="D2986" t="s">
        <v>2156</v>
      </c>
      <c r="F2986">
        <v>141.98769999999999</v>
      </c>
      <c r="G2986">
        <v>183.37450000000001</v>
      </c>
      <c r="H2986">
        <v>162.3612</v>
      </c>
      <c r="I2986">
        <v>158.62629999999999</v>
      </c>
      <c r="J2986">
        <v>138.58680000000001</v>
      </c>
      <c r="K2986">
        <v>105.1741</v>
      </c>
      <c r="L2986">
        <v>129.03909999999999</v>
      </c>
      <c r="M2986">
        <v>135.63550000000001</v>
      </c>
      <c r="N2986">
        <v>103.1922</v>
      </c>
      <c r="O2986">
        <v>99.978200000000001</v>
      </c>
      <c r="P2986">
        <v>224</v>
      </c>
      <c r="Q2986" t="s">
        <v>6311</v>
      </c>
    </row>
    <row r="2987" spans="1:17" x14ac:dyDescent="0.3">
      <c r="A2987" t="s">
        <v>4664</v>
      </c>
      <c r="B2987" t="str">
        <f>"002304"</f>
        <v>002304</v>
      </c>
      <c r="C2987" t="s">
        <v>6312</v>
      </c>
      <c r="D2987" t="s">
        <v>458</v>
      </c>
      <c r="F2987">
        <v>976.6268</v>
      </c>
      <c r="G2987">
        <v>994.04300000000001</v>
      </c>
      <c r="H2987">
        <v>818.94219999999996</v>
      </c>
      <c r="I2987">
        <v>816.56010000000003</v>
      </c>
      <c r="J2987">
        <v>678.93949999999995</v>
      </c>
      <c r="K2987">
        <v>686.21839999999997</v>
      </c>
      <c r="L2987">
        <v>678.00549999999998</v>
      </c>
      <c r="M2987">
        <v>671.44510000000002</v>
      </c>
      <c r="N2987">
        <v>463.68959999999998</v>
      </c>
      <c r="O2987">
        <v>276.59449999999998</v>
      </c>
      <c r="P2987">
        <v>52722</v>
      </c>
      <c r="Q2987" t="s">
        <v>6313</v>
      </c>
    </row>
    <row r="2988" spans="1:17" x14ac:dyDescent="0.3">
      <c r="A2988" t="s">
        <v>4664</v>
      </c>
      <c r="B2988" t="str">
        <f>"002305"</f>
        <v>002305</v>
      </c>
      <c r="C2988" t="s">
        <v>6314</v>
      </c>
      <c r="D2988" t="s">
        <v>30</v>
      </c>
      <c r="F2988">
        <v>3687.7203</v>
      </c>
      <c r="G2988">
        <v>2436.4342000000001</v>
      </c>
      <c r="H2988">
        <v>1764.4856</v>
      </c>
      <c r="I2988">
        <v>3892.2833999999998</v>
      </c>
      <c r="J2988">
        <v>4604.3109000000004</v>
      </c>
      <c r="K2988">
        <v>3765.5477000000001</v>
      </c>
      <c r="L2988">
        <v>5310.3486000000003</v>
      </c>
      <c r="M2988">
        <v>7762.9645</v>
      </c>
      <c r="N2988">
        <v>2124.6867000000002</v>
      </c>
      <c r="O2988">
        <v>24837.195500000002</v>
      </c>
      <c r="P2988">
        <v>107</v>
      </c>
      <c r="Q2988" t="s">
        <v>6315</v>
      </c>
    </row>
    <row r="2989" spans="1:17" x14ac:dyDescent="0.3">
      <c r="A2989" t="s">
        <v>4664</v>
      </c>
      <c r="B2989" t="str">
        <f>"002306"</f>
        <v>002306</v>
      </c>
      <c r="C2989" t="s">
        <v>6316</v>
      </c>
      <c r="D2989" t="s">
        <v>3571</v>
      </c>
      <c r="F2989">
        <v>1.0205</v>
      </c>
      <c r="G2989">
        <v>7.4402999999999997</v>
      </c>
      <c r="H2989">
        <v>4.7236000000000002</v>
      </c>
      <c r="I2989">
        <v>6.3973000000000004</v>
      </c>
      <c r="J2989">
        <v>7.0585000000000004</v>
      </c>
      <c r="K2989">
        <v>6.3743999999999996</v>
      </c>
      <c r="L2989">
        <v>211.3999</v>
      </c>
      <c r="M2989">
        <v>104.8563</v>
      </c>
      <c r="N2989">
        <v>82.236500000000007</v>
      </c>
      <c r="O2989">
        <v>81.915700000000001</v>
      </c>
      <c r="P2989">
        <v>68</v>
      </c>
      <c r="Q2989" t="s">
        <v>6317</v>
      </c>
    </row>
    <row r="2990" spans="1:17" x14ac:dyDescent="0.3">
      <c r="A2990" t="s">
        <v>4664</v>
      </c>
      <c r="B2990" t="str">
        <f>"002307"</f>
        <v>002307</v>
      </c>
      <c r="C2990" t="s">
        <v>6318</v>
      </c>
      <c r="D2990" t="s">
        <v>101</v>
      </c>
      <c r="F2990">
        <v>111.7825</v>
      </c>
      <c r="G2990">
        <v>210.4091</v>
      </c>
      <c r="H2990">
        <v>215.2561</v>
      </c>
      <c r="I2990">
        <v>283.68259999999998</v>
      </c>
      <c r="J2990">
        <v>287.34539999999998</v>
      </c>
      <c r="K2990">
        <v>355.53469999999999</v>
      </c>
      <c r="L2990">
        <v>330.7962</v>
      </c>
      <c r="M2990">
        <v>229.27010000000001</v>
      </c>
      <c r="N2990">
        <v>190.00129999999999</v>
      </c>
      <c r="O2990">
        <v>194.36259999999999</v>
      </c>
      <c r="P2990">
        <v>90</v>
      </c>
      <c r="Q2990" t="s">
        <v>6319</v>
      </c>
    </row>
    <row r="2991" spans="1:17" x14ac:dyDescent="0.3">
      <c r="A2991" t="s">
        <v>4664</v>
      </c>
      <c r="B2991" t="str">
        <f>"002308"</f>
        <v>002308</v>
      </c>
      <c r="C2991" t="s">
        <v>6320</v>
      </c>
      <c r="D2991" t="s">
        <v>236</v>
      </c>
      <c r="F2991">
        <v>142.53039999999999</v>
      </c>
      <c r="G2991">
        <v>224.0334</v>
      </c>
      <c r="H2991">
        <v>198.49260000000001</v>
      </c>
      <c r="I2991">
        <v>203.19640000000001</v>
      </c>
      <c r="J2991">
        <v>203.9409</v>
      </c>
      <c r="K2991">
        <v>225.17099999999999</v>
      </c>
      <c r="L2991">
        <v>279.63600000000002</v>
      </c>
      <c r="M2991">
        <v>314.88240000000002</v>
      </c>
      <c r="N2991">
        <v>266.2072</v>
      </c>
      <c r="O2991">
        <v>210.2474</v>
      </c>
      <c r="P2991">
        <v>218</v>
      </c>
      <c r="Q2991" t="s">
        <v>6321</v>
      </c>
    </row>
    <row r="2992" spans="1:17" x14ac:dyDescent="0.3">
      <c r="A2992" t="s">
        <v>4664</v>
      </c>
      <c r="B2992" t="str">
        <f>"002309"</f>
        <v>002309</v>
      </c>
      <c r="C2992" t="s">
        <v>6322</v>
      </c>
      <c r="D2992" t="s">
        <v>356</v>
      </c>
      <c r="F2992">
        <v>105.3693</v>
      </c>
      <c r="G2992">
        <v>237.88900000000001</v>
      </c>
      <c r="H2992">
        <v>229.42439999999999</v>
      </c>
      <c r="I2992">
        <v>207.61330000000001</v>
      </c>
      <c r="J2992">
        <v>248.1395</v>
      </c>
      <c r="K2992">
        <v>266.89359999999999</v>
      </c>
      <c r="L2992">
        <v>296.02910000000003</v>
      </c>
      <c r="M2992">
        <v>279.88080000000002</v>
      </c>
      <c r="N2992">
        <v>210.15719999999999</v>
      </c>
      <c r="O2992">
        <v>113.1558</v>
      </c>
      <c r="P2992">
        <v>284</v>
      </c>
      <c r="Q2992" t="s">
        <v>6323</v>
      </c>
    </row>
    <row r="2993" spans="1:17" x14ac:dyDescent="0.3">
      <c r="A2993" t="s">
        <v>4664</v>
      </c>
      <c r="B2993" t="str">
        <f>"002310"</f>
        <v>002310</v>
      </c>
      <c r="C2993" t="s">
        <v>6324</v>
      </c>
      <c r="D2993" t="s">
        <v>2408</v>
      </c>
      <c r="F2993">
        <v>26.7059</v>
      </c>
      <c r="G2993">
        <v>846.77059999999994</v>
      </c>
      <c r="H2993">
        <v>1929.6137000000001</v>
      </c>
      <c r="I2993">
        <v>738.89970000000005</v>
      </c>
      <c r="J2993">
        <v>598.77570000000003</v>
      </c>
      <c r="K2993">
        <v>797.83879999999999</v>
      </c>
      <c r="L2993">
        <v>1010.2845</v>
      </c>
      <c r="M2993">
        <v>853.7278</v>
      </c>
      <c r="N2993">
        <v>766.36410000000001</v>
      </c>
      <c r="O2993">
        <v>584.79539999999997</v>
      </c>
      <c r="P2993">
        <v>1194</v>
      </c>
      <c r="Q2993" t="s">
        <v>6325</v>
      </c>
    </row>
    <row r="2994" spans="1:17" x14ac:dyDescent="0.3">
      <c r="A2994" t="s">
        <v>4664</v>
      </c>
      <c r="B2994" t="str">
        <f>"002311"</f>
        <v>002311</v>
      </c>
      <c r="C2994" t="s">
        <v>6326</v>
      </c>
      <c r="D2994" t="s">
        <v>3128</v>
      </c>
      <c r="F2994">
        <v>49.254399999999997</v>
      </c>
      <c r="G2994">
        <v>45.527900000000002</v>
      </c>
      <c r="H2994">
        <v>48.9895</v>
      </c>
      <c r="I2994">
        <v>47.1143</v>
      </c>
      <c r="J2994">
        <v>33.7363</v>
      </c>
      <c r="K2994">
        <v>33.579700000000003</v>
      </c>
      <c r="L2994">
        <v>41.052999999999997</v>
      </c>
      <c r="M2994">
        <v>33.216799999999999</v>
      </c>
      <c r="N2994">
        <v>35.152099999999997</v>
      </c>
      <c r="O2994">
        <v>32.614400000000003</v>
      </c>
      <c r="P2994">
        <v>1933</v>
      </c>
      <c r="Q2994" t="s">
        <v>6327</v>
      </c>
    </row>
    <row r="2995" spans="1:17" x14ac:dyDescent="0.3">
      <c r="A2995" t="s">
        <v>4664</v>
      </c>
      <c r="B2995" t="str">
        <f>"002312"</f>
        <v>002312</v>
      </c>
      <c r="C2995" t="s">
        <v>6328</v>
      </c>
      <c r="D2995" t="s">
        <v>183</v>
      </c>
      <c r="F2995">
        <v>56.907299999999999</v>
      </c>
      <c r="G2995">
        <v>76.780600000000007</v>
      </c>
      <c r="H2995">
        <v>0</v>
      </c>
      <c r="I2995">
        <v>0</v>
      </c>
      <c r="J2995">
        <v>1.6893</v>
      </c>
      <c r="K2995">
        <v>71.116600000000005</v>
      </c>
      <c r="L2995">
        <v>101.1661</v>
      </c>
      <c r="M2995">
        <v>131.1985</v>
      </c>
      <c r="N2995">
        <v>88.944800000000001</v>
      </c>
      <c r="O2995">
        <v>111.41540000000001</v>
      </c>
      <c r="P2995">
        <v>249</v>
      </c>
      <c r="Q2995" t="s">
        <v>6329</v>
      </c>
    </row>
    <row r="2996" spans="1:17" x14ac:dyDescent="0.3">
      <c r="A2996" t="s">
        <v>4664</v>
      </c>
      <c r="B2996" t="str">
        <f>"002313"</f>
        <v>002313</v>
      </c>
      <c r="C2996" t="s">
        <v>6330</v>
      </c>
      <c r="D2996" t="s">
        <v>786</v>
      </c>
      <c r="F2996">
        <v>178.7535</v>
      </c>
      <c r="G2996">
        <v>263.57190000000003</v>
      </c>
      <c r="H2996">
        <v>359.94490000000002</v>
      </c>
      <c r="I2996">
        <v>367.04329999999999</v>
      </c>
      <c r="J2996">
        <v>380.6891</v>
      </c>
      <c r="K2996">
        <v>385.92</v>
      </c>
      <c r="L2996">
        <v>407.87259999999998</v>
      </c>
      <c r="M2996">
        <v>446.20920000000001</v>
      </c>
      <c r="N2996">
        <v>276.71600000000001</v>
      </c>
      <c r="O2996">
        <v>181.46340000000001</v>
      </c>
      <c r="P2996">
        <v>243</v>
      </c>
      <c r="Q2996" t="s">
        <v>6331</v>
      </c>
    </row>
    <row r="2997" spans="1:17" x14ac:dyDescent="0.3">
      <c r="A2997" t="s">
        <v>4664</v>
      </c>
      <c r="B2997" t="str">
        <f>"002314"</f>
        <v>002314</v>
      </c>
      <c r="C2997" t="s">
        <v>6332</v>
      </c>
      <c r="D2997" t="s">
        <v>104</v>
      </c>
      <c r="F2997">
        <v>2018.0852</v>
      </c>
      <c r="G2997">
        <v>3011.6329000000001</v>
      </c>
      <c r="H2997">
        <v>2477.8040000000001</v>
      </c>
      <c r="I2997">
        <v>1543.0938000000001</v>
      </c>
      <c r="J2997">
        <v>2067.1113999999998</v>
      </c>
      <c r="K2997">
        <v>976.1499</v>
      </c>
      <c r="L2997">
        <v>676.75959999999998</v>
      </c>
      <c r="M2997">
        <v>122.3279</v>
      </c>
      <c r="N2997">
        <v>101.44970000000001</v>
      </c>
      <c r="O2997">
        <v>95.456299999999999</v>
      </c>
      <c r="P2997">
        <v>206</v>
      </c>
      <c r="Q2997" t="s">
        <v>6333</v>
      </c>
    </row>
    <row r="2998" spans="1:17" x14ac:dyDescent="0.3">
      <c r="A2998" t="s">
        <v>4664</v>
      </c>
      <c r="B2998" t="str">
        <f>"002315"</f>
        <v>002315</v>
      </c>
      <c r="C2998" t="s">
        <v>6334</v>
      </c>
      <c r="D2998" t="s">
        <v>2014</v>
      </c>
      <c r="F2998">
        <v>40.544199999999996</v>
      </c>
      <c r="G2998">
        <v>17.262499999999999</v>
      </c>
      <c r="H2998">
        <v>4.6395</v>
      </c>
      <c r="I2998">
        <v>9.5464000000000002</v>
      </c>
      <c r="J2998">
        <v>5.4718</v>
      </c>
      <c r="K2998">
        <v>14.277100000000001</v>
      </c>
      <c r="L2998">
        <v>6.4627999999999997</v>
      </c>
      <c r="M2998">
        <v>3.4546000000000001</v>
      </c>
      <c r="N2998">
        <v>2.6989999999999998</v>
      </c>
      <c r="O2998">
        <v>3.4394</v>
      </c>
      <c r="P2998">
        <v>221</v>
      </c>
      <c r="Q2998" t="s">
        <v>6335</v>
      </c>
    </row>
    <row r="2999" spans="1:17" x14ac:dyDescent="0.3">
      <c r="A2999" t="s">
        <v>4664</v>
      </c>
      <c r="B2999" t="str">
        <f>"002316"</f>
        <v>002316</v>
      </c>
      <c r="C2999" t="s">
        <v>6336</v>
      </c>
      <c r="D2999" t="s">
        <v>6337</v>
      </c>
      <c r="F2999">
        <v>42.662300000000002</v>
      </c>
      <c r="G2999">
        <v>26.333200000000001</v>
      </c>
      <c r="H2999">
        <v>15.5985</v>
      </c>
      <c r="I2999">
        <v>19.072700000000001</v>
      </c>
      <c r="J2999">
        <v>123.83880000000001</v>
      </c>
      <c r="K2999">
        <v>120.1186</v>
      </c>
      <c r="L2999">
        <v>242.44669999999999</v>
      </c>
      <c r="M2999">
        <v>513.23680000000002</v>
      </c>
      <c r="N2999">
        <v>275.38440000000003</v>
      </c>
      <c r="O2999">
        <v>275.49919999999997</v>
      </c>
      <c r="P2999">
        <v>229</v>
      </c>
      <c r="Q2999" t="s">
        <v>6338</v>
      </c>
    </row>
    <row r="3000" spans="1:17" x14ac:dyDescent="0.3">
      <c r="A3000" t="s">
        <v>4664</v>
      </c>
      <c r="B3000" t="str">
        <f>"002317"</f>
        <v>002317</v>
      </c>
      <c r="C3000" t="s">
        <v>6339</v>
      </c>
      <c r="D3000" t="s">
        <v>188</v>
      </c>
      <c r="F3000">
        <v>231.09370000000001</v>
      </c>
      <c r="G3000">
        <v>290.13029999999998</v>
      </c>
      <c r="H3000">
        <v>159.07859999999999</v>
      </c>
      <c r="I3000">
        <v>150.7612</v>
      </c>
      <c r="J3000">
        <v>156.3963</v>
      </c>
      <c r="K3000">
        <v>180.5213</v>
      </c>
      <c r="L3000">
        <v>132.1677</v>
      </c>
      <c r="M3000">
        <v>133.68450000000001</v>
      </c>
      <c r="N3000">
        <v>112.4558</v>
      </c>
      <c r="O3000">
        <v>143.14930000000001</v>
      </c>
      <c r="P3000">
        <v>344</v>
      </c>
      <c r="Q3000" t="s">
        <v>6340</v>
      </c>
    </row>
    <row r="3001" spans="1:17" x14ac:dyDescent="0.3">
      <c r="A3001" t="s">
        <v>4664</v>
      </c>
      <c r="B3001" t="str">
        <f>"002318"</f>
        <v>002318</v>
      </c>
      <c r="C3001" t="s">
        <v>6341</v>
      </c>
      <c r="D3001" t="s">
        <v>281</v>
      </c>
      <c r="F3001">
        <v>152.84889999999999</v>
      </c>
      <c r="G3001">
        <v>176.17619999999999</v>
      </c>
      <c r="H3001">
        <v>173.0693</v>
      </c>
      <c r="I3001">
        <v>167.72569999999999</v>
      </c>
      <c r="J3001">
        <v>219.0642</v>
      </c>
      <c r="K3001">
        <v>184.85650000000001</v>
      </c>
      <c r="L3001">
        <v>221.91730000000001</v>
      </c>
      <c r="M3001">
        <v>182.67269999999999</v>
      </c>
      <c r="N3001">
        <v>158.08439999999999</v>
      </c>
      <c r="O3001">
        <v>161.45349999999999</v>
      </c>
      <c r="P3001">
        <v>451</v>
      </c>
      <c r="Q3001" t="s">
        <v>6342</v>
      </c>
    </row>
    <row r="3002" spans="1:17" x14ac:dyDescent="0.3">
      <c r="A3002" t="s">
        <v>4664</v>
      </c>
      <c r="B3002" t="str">
        <f>"002319"</f>
        <v>002319</v>
      </c>
      <c r="C3002" t="s">
        <v>6343</v>
      </c>
      <c r="D3002" t="s">
        <v>2570</v>
      </c>
      <c r="F3002">
        <v>78.108999999999995</v>
      </c>
      <c r="G3002">
        <v>78.9529</v>
      </c>
      <c r="H3002">
        <v>66.715999999999994</v>
      </c>
      <c r="I3002">
        <v>83.966899999999995</v>
      </c>
      <c r="J3002">
        <v>90.424499999999995</v>
      </c>
      <c r="K3002">
        <v>93.104799999999997</v>
      </c>
      <c r="L3002">
        <v>144.34989999999999</v>
      </c>
      <c r="M3002">
        <v>107.45010000000001</v>
      </c>
      <c r="N3002">
        <v>133.11760000000001</v>
      </c>
      <c r="O3002">
        <v>146.39959999999999</v>
      </c>
      <c r="P3002">
        <v>55</v>
      </c>
      <c r="Q3002" t="s">
        <v>6344</v>
      </c>
    </row>
    <row r="3003" spans="1:17" x14ac:dyDescent="0.3">
      <c r="A3003" t="s">
        <v>4664</v>
      </c>
      <c r="B3003" t="str">
        <f>"002320"</f>
        <v>002320</v>
      </c>
      <c r="C3003" t="s">
        <v>6345</v>
      </c>
      <c r="D3003" t="s">
        <v>69</v>
      </c>
      <c r="F3003">
        <v>6.6405000000000003</v>
      </c>
      <c r="G3003">
        <v>10.4474</v>
      </c>
      <c r="H3003">
        <v>10.0556</v>
      </c>
      <c r="I3003">
        <v>13.850899999999999</v>
      </c>
      <c r="J3003">
        <v>11.4697</v>
      </c>
      <c r="K3003">
        <v>12.030900000000001</v>
      </c>
      <c r="L3003">
        <v>11.0466</v>
      </c>
      <c r="M3003">
        <v>15.0745</v>
      </c>
      <c r="N3003">
        <v>16.820599999999999</v>
      </c>
      <c r="O3003">
        <v>20.439800000000002</v>
      </c>
      <c r="P3003">
        <v>174</v>
      </c>
      <c r="Q3003" t="s">
        <v>6346</v>
      </c>
    </row>
    <row r="3004" spans="1:17" x14ac:dyDescent="0.3">
      <c r="A3004" t="s">
        <v>4664</v>
      </c>
      <c r="B3004" t="str">
        <f>"002321"</f>
        <v>002321</v>
      </c>
      <c r="C3004" t="s">
        <v>6347</v>
      </c>
      <c r="D3004" t="s">
        <v>1876</v>
      </c>
      <c r="F3004">
        <v>65.838300000000004</v>
      </c>
      <c r="G3004">
        <v>129.4187</v>
      </c>
      <c r="H3004">
        <v>98.258200000000002</v>
      </c>
      <c r="I3004">
        <v>100.8313</v>
      </c>
      <c r="J3004">
        <v>116.5415</v>
      </c>
      <c r="K3004">
        <v>133.69560000000001</v>
      </c>
      <c r="L3004">
        <v>163.6919</v>
      </c>
      <c r="M3004">
        <v>150.1464</v>
      </c>
      <c r="N3004">
        <v>136.35769999999999</v>
      </c>
      <c r="O3004">
        <v>129.9015</v>
      </c>
      <c r="P3004">
        <v>111</v>
      </c>
      <c r="Q3004" t="s">
        <v>6348</v>
      </c>
    </row>
    <row r="3005" spans="1:17" x14ac:dyDescent="0.3">
      <c r="A3005" t="s">
        <v>4664</v>
      </c>
      <c r="B3005" t="str">
        <f>"002322"</f>
        <v>002322</v>
      </c>
      <c r="C3005" t="s">
        <v>6349</v>
      </c>
      <c r="D3005" t="s">
        <v>945</v>
      </c>
      <c r="F3005">
        <v>335.39060000000001</v>
      </c>
      <c r="G3005">
        <v>457.3186</v>
      </c>
      <c r="H3005">
        <v>436.4511</v>
      </c>
      <c r="I3005">
        <v>513.50750000000005</v>
      </c>
      <c r="J3005">
        <v>527.37220000000002</v>
      </c>
      <c r="K3005">
        <v>774.70709999999997</v>
      </c>
      <c r="L3005">
        <v>649.13329999999996</v>
      </c>
      <c r="M3005">
        <v>496.5059</v>
      </c>
      <c r="N3005">
        <v>310.50209999999998</v>
      </c>
      <c r="O3005">
        <v>341.2747</v>
      </c>
      <c r="P3005">
        <v>180</v>
      </c>
      <c r="Q3005" t="s">
        <v>6350</v>
      </c>
    </row>
    <row r="3006" spans="1:17" x14ac:dyDescent="0.3">
      <c r="A3006" t="s">
        <v>4664</v>
      </c>
      <c r="B3006" t="str">
        <f>"002323"</f>
        <v>002323</v>
      </c>
      <c r="C3006" t="s">
        <v>6351</v>
      </c>
      <c r="D3006" t="s">
        <v>722</v>
      </c>
      <c r="F3006">
        <v>6.9614000000000003</v>
      </c>
      <c r="G3006">
        <v>12.834099999999999</v>
      </c>
      <c r="H3006">
        <v>2137.8040999999998</v>
      </c>
      <c r="I3006">
        <v>1969.5009</v>
      </c>
      <c r="J3006">
        <v>660.91359999999997</v>
      </c>
      <c r="K3006">
        <v>622.8297</v>
      </c>
      <c r="L3006">
        <v>353.2647</v>
      </c>
      <c r="M3006">
        <v>138.29069999999999</v>
      </c>
      <c r="N3006">
        <v>203.15350000000001</v>
      </c>
      <c r="O3006">
        <v>145.7363</v>
      </c>
      <c r="P3006">
        <v>78</v>
      </c>
      <c r="Q3006" t="s">
        <v>6352</v>
      </c>
    </row>
    <row r="3007" spans="1:17" x14ac:dyDescent="0.3">
      <c r="A3007" t="s">
        <v>4664</v>
      </c>
      <c r="B3007" t="str">
        <f>"002324"</f>
        <v>002324</v>
      </c>
      <c r="C3007" t="s">
        <v>6353</v>
      </c>
      <c r="D3007" t="s">
        <v>341</v>
      </c>
      <c r="F3007">
        <v>96.455500000000001</v>
      </c>
      <c r="G3007">
        <v>99.668300000000002</v>
      </c>
      <c r="H3007">
        <v>100.98650000000001</v>
      </c>
      <c r="I3007">
        <v>102.4667</v>
      </c>
      <c r="J3007">
        <v>104.9451</v>
      </c>
      <c r="K3007">
        <v>102.94289999999999</v>
      </c>
      <c r="L3007">
        <v>80.844700000000003</v>
      </c>
      <c r="M3007">
        <v>90.346400000000003</v>
      </c>
      <c r="N3007">
        <v>96.167100000000005</v>
      </c>
      <c r="O3007">
        <v>115.1585</v>
      </c>
      <c r="P3007">
        <v>212</v>
      </c>
      <c r="Q3007" t="s">
        <v>6354</v>
      </c>
    </row>
    <row r="3008" spans="1:17" x14ac:dyDescent="0.3">
      <c r="A3008" t="s">
        <v>4664</v>
      </c>
      <c r="B3008" t="str">
        <f>"002325"</f>
        <v>002325</v>
      </c>
      <c r="C3008" t="s">
        <v>6355</v>
      </c>
      <c r="D3008" t="s">
        <v>450</v>
      </c>
      <c r="F3008">
        <v>7.2055999999999996</v>
      </c>
      <c r="G3008">
        <v>4.3091999999999997</v>
      </c>
      <c r="H3008">
        <v>4.3517999999999999</v>
      </c>
      <c r="I3008">
        <v>4.8704000000000001</v>
      </c>
      <c r="J3008">
        <v>8.2077000000000009</v>
      </c>
      <c r="K3008">
        <v>3.5062000000000002</v>
      </c>
      <c r="L3008">
        <v>5.6317000000000004</v>
      </c>
      <c r="M3008">
        <v>9.1023999999999994</v>
      </c>
      <c r="N3008">
        <v>1.3602000000000001</v>
      </c>
      <c r="O3008">
        <v>3.9258999999999999</v>
      </c>
      <c r="P3008">
        <v>171</v>
      </c>
      <c r="Q3008" t="s">
        <v>6356</v>
      </c>
    </row>
    <row r="3009" spans="1:17" x14ac:dyDescent="0.3">
      <c r="A3009" t="s">
        <v>4664</v>
      </c>
      <c r="B3009" t="str">
        <f>"002326"</f>
        <v>002326</v>
      </c>
      <c r="C3009" t="s">
        <v>6357</v>
      </c>
      <c r="D3009" t="s">
        <v>375</v>
      </c>
      <c r="F3009">
        <v>154.7559</v>
      </c>
      <c r="G3009">
        <v>144.89940000000001</v>
      </c>
      <c r="H3009">
        <v>124.0415</v>
      </c>
      <c r="I3009">
        <v>174.77549999999999</v>
      </c>
      <c r="J3009">
        <v>155.57919999999999</v>
      </c>
      <c r="K3009">
        <v>181.81229999999999</v>
      </c>
      <c r="L3009">
        <v>193.06139999999999</v>
      </c>
      <c r="M3009">
        <v>267.42599999999999</v>
      </c>
      <c r="N3009">
        <v>307.44159999999999</v>
      </c>
      <c r="O3009">
        <v>303.4083</v>
      </c>
      <c r="P3009">
        <v>298</v>
      </c>
      <c r="Q3009" t="s">
        <v>6358</v>
      </c>
    </row>
    <row r="3010" spans="1:17" x14ac:dyDescent="0.3">
      <c r="A3010" t="s">
        <v>4664</v>
      </c>
      <c r="B3010" t="str">
        <f>"002327"</f>
        <v>002327</v>
      </c>
      <c r="C3010" t="s">
        <v>6359</v>
      </c>
      <c r="D3010" t="s">
        <v>2862</v>
      </c>
      <c r="F3010">
        <v>343.95209999999997</v>
      </c>
      <c r="G3010">
        <v>406.59030000000001</v>
      </c>
      <c r="H3010">
        <v>368.79750000000001</v>
      </c>
      <c r="I3010">
        <v>354.82049999999998</v>
      </c>
      <c r="J3010">
        <v>338.36529999999999</v>
      </c>
      <c r="K3010">
        <v>334.30950000000001</v>
      </c>
      <c r="L3010">
        <v>336.36250000000001</v>
      </c>
      <c r="M3010">
        <v>325.8587</v>
      </c>
      <c r="N3010">
        <v>297.56560000000002</v>
      </c>
      <c r="O3010">
        <v>279.59129999999999</v>
      </c>
      <c r="P3010">
        <v>1306</v>
      </c>
      <c r="Q3010" t="s">
        <v>6360</v>
      </c>
    </row>
    <row r="3011" spans="1:17" x14ac:dyDescent="0.3">
      <c r="A3011" t="s">
        <v>4664</v>
      </c>
      <c r="B3011" t="str">
        <f>"002328"</f>
        <v>002328</v>
      </c>
      <c r="C3011" t="s">
        <v>6361</v>
      </c>
      <c r="D3011" t="s">
        <v>985</v>
      </c>
      <c r="F3011">
        <v>101.29810000000001</v>
      </c>
      <c r="G3011">
        <v>100.7525</v>
      </c>
      <c r="H3011">
        <v>69.212699999999998</v>
      </c>
      <c r="I3011">
        <v>64.614400000000003</v>
      </c>
      <c r="J3011">
        <v>71.998800000000003</v>
      </c>
      <c r="K3011">
        <v>57.754899999999999</v>
      </c>
      <c r="L3011">
        <v>55.781799999999997</v>
      </c>
      <c r="M3011">
        <v>48.887599999999999</v>
      </c>
      <c r="N3011">
        <v>43.558199999999999</v>
      </c>
      <c r="O3011">
        <v>40.5518</v>
      </c>
      <c r="P3011">
        <v>110</v>
      </c>
      <c r="Q3011" t="s">
        <v>6362</v>
      </c>
    </row>
    <row r="3012" spans="1:17" x14ac:dyDescent="0.3">
      <c r="A3012" t="s">
        <v>4664</v>
      </c>
      <c r="B3012" t="str">
        <f>"002329"</f>
        <v>002329</v>
      </c>
      <c r="C3012" t="s">
        <v>6363</v>
      </c>
      <c r="D3012" t="s">
        <v>900</v>
      </c>
      <c r="F3012">
        <v>73.693600000000004</v>
      </c>
      <c r="G3012">
        <v>62.3705</v>
      </c>
      <c r="H3012">
        <v>51.614699999999999</v>
      </c>
      <c r="I3012">
        <v>59.138500000000001</v>
      </c>
      <c r="J3012">
        <v>141.96780000000001</v>
      </c>
      <c r="K3012">
        <v>55.4268</v>
      </c>
      <c r="L3012">
        <v>89.960899999999995</v>
      </c>
      <c r="M3012">
        <v>67.027000000000001</v>
      </c>
      <c r="N3012">
        <v>60.615900000000003</v>
      </c>
      <c r="O3012">
        <v>71.779399999999995</v>
      </c>
      <c r="P3012">
        <v>186</v>
      </c>
      <c r="Q3012" t="s">
        <v>6364</v>
      </c>
    </row>
    <row r="3013" spans="1:17" x14ac:dyDescent="0.3">
      <c r="A3013" t="s">
        <v>4664</v>
      </c>
      <c r="B3013" t="str">
        <f>"002330"</f>
        <v>002330</v>
      </c>
      <c r="C3013" t="s">
        <v>6365</v>
      </c>
      <c r="D3013" t="s">
        <v>170</v>
      </c>
      <c r="F3013">
        <v>33.473599999999998</v>
      </c>
      <c r="G3013">
        <v>34.886800000000001</v>
      </c>
      <c r="H3013">
        <v>55.511699999999998</v>
      </c>
      <c r="I3013">
        <v>52.164400000000001</v>
      </c>
      <c r="J3013">
        <v>59.4758</v>
      </c>
      <c r="K3013">
        <v>64.392099999999999</v>
      </c>
      <c r="L3013">
        <v>79.091700000000003</v>
      </c>
      <c r="M3013">
        <v>81.9529</v>
      </c>
      <c r="N3013">
        <v>63.736400000000003</v>
      </c>
      <c r="O3013">
        <v>58.014200000000002</v>
      </c>
      <c r="P3013">
        <v>540</v>
      </c>
      <c r="Q3013" t="s">
        <v>6366</v>
      </c>
    </row>
    <row r="3014" spans="1:17" x14ac:dyDescent="0.3">
      <c r="A3014" t="s">
        <v>4664</v>
      </c>
      <c r="B3014" t="str">
        <f>"002331"</f>
        <v>002331</v>
      </c>
      <c r="C3014" t="s">
        <v>6367</v>
      </c>
      <c r="D3014" t="s">
        <v>316</v>
      </c>
      <c r="F3014">
        <v>322.9529</v>
      </c>
      <c r="G3014">
        <v>276.45310000000001</v>
      </c>
      <c r="H3014">
        <v>243.2518</v>
      </c>
      <c r="I3014">
        <v>253.23009999999999</v>
      </c>
      <c r="J3014">
        <v>195.72</v>
      </c>
      <c r="K3014">
        <v>166.2902</v>
      </c>
      <c r="L3014">
        <v>167.9486</v>
      </c>
      <c r="M3014">
        <v>158.16970000000001</v>
      </c>
      <c r="N3014">
        <v>143.02119999999999</v>
      </c>
      <c r="O3014">
        <v>163.50129999999999</v>
      </c>
      <c r="P3014">
        <v>121</v>
      </c>
      <c r="Q3014" t="s">
        <v>6368</v>
      </c>
    </row>
    <row r="3015" spans="1:17" x14ac:dyDescent="0.3">
      <c r="A3015" t="s">
        <v>4664</v>
      </c>
      <c r="B3015" t="str">
        <f>"002332"</f>
        <v>002332</v>
      </c>
      <c r="C3015" t="s">
        <v>6369</v>
      </c>
      <c r="D3015" t="s">
        <v>143</v>
      </c>
      <c r="F3015">
        <v>208.20939999999999</v>
      </c>
      <c r="G3015">
        <v>205.3048</v>
      </c>
      <c r="H3015">
        <v>221.35759999999999</v>
      </c>
      <c r="I3015">
        <v>196.1217</v>
      </c>
      <c r="J3015">
        <v>155.04400000000001</v>
      </c>
      <c r="K3015">
        <v>135.41399999999999</v>
      </c>
      <c r="L3015">
        <v>125.8265</v>
      </c>
      <c r="M3015">
        <v>150.49420000000001</v>
      </c>
      <c r="N3015">
        <v>156.57400000000001</v>
      </c>
      <c r="O3015">
        <v>189.32910000000001</v>
      </c>
      <c r="P3015">
        <v>385</v>
      </c>
      <c r="Q3015" t="s">
        <v>6370</v>
      </c>
    </row>
    <row r="3016" spans="1:17" x14ac:dyDescent="0.3">
      <c r="A3016" t="s">
        <v>4664</v>
      </c>
      <c r="B3016" t="str">
        <f>"002333"</f>
        <v>002333</v>
      </c>
      <c r="C3016" t="s">
        <v>6371</v>
      </c>
      <c r="D3016" t="s">
        <v>722</v>
      </c>
      <c r="F3016">
        <v>51.249699999999997</v>
      </c>
      <c r="G3016">
        <v>88.307199999999995</v>
      </c>
      <c r="H3016">
        <v>97.858699999999999</v>
      </c>
      <c r="I3016">
        <v>91.544600000000003</v>
      </c>
      <c r="J3016">
        <v>85.854699999999994</v>
      </c>
      <c r="K3016">
        <v>83.307299999999998</v>
      </c>
      <c r="L3016">
        <v>74.167400000000001</v>
      </c>
      <c r="M3016">
        <v>75.651600000000002</v>
      </c>
      <c r="N3016">
        <v>61.5227</v>
      </c>
      <c r="O3016">
        <v>56.084800000000001</v>
      </c>
      <c r="P3016">
        <v>59</v>
      </c>
      <c r="Q3016" t="s">
        <v>6372</v>
      </c>
    </row>
    <row r="3017" spans="1:17" x14ac:dyDescent="0.3">
      <c r="A3017" t="s">
        <v>4664</v>
      </c>
      <c r="B3017" t="str">
        <f>"002334"</f>
        <v>002334</v>
      </c>
      <c r="C3017" t="s">
        <v>6373</v>
      </c>
      <c r="D3017" t="s">
        <v>2423</v>
      </c>
      <c r="F3017">
        <v>142.952</v>
      </c>
      <c r="G3017">
        <v>146.2227</v>
      </c>
      <c r="H3017">
        <v>193.33709999999999</v>
      </c>
      <c r="I3017">
        <v>193.6987</v>
      </c>
      <c r="J3017">
        <v>199.4933</v>
      </c>
      <c r="K3017">
        <v>190.69659999999999</v>
      </c>
      <c r="L3017">
        <v>161.92189999999999</v>
      </c>
      <c r="M3017">
        <v>125.8061</v>
      </c>
      <c r="N3017">
        <v>137.80080000000001</v>
      </c>
      <c r="O3017">
        <v>162.37629999999999</v>
      </c>
      <c r="P3017">
        <v>222</v>
      </c>
      <c r="Q3017" t="s">
        <v>6374</v>
      </c>
    </row>
    <row r="3018" spans="1:17" x14ac:dyDescent="0.3">
      <c r="A3018" t="s">
        <v>4664</v>
      </c>
      <c r="B3018" t="str">
        <f>"002335"</f>
        <v>002335</v>
      </c>
      <c r="C3018" t="s">
        <v>6375</v>
      </c>
      <c r="D3018" t="s">
        <v>880</v>
      </c>
      <c r="F3018">
        <v>71.207899999999995</v>
      </c>
      <c r="G3018">
        <v>77.1387</v>
      </c>
      <c r="H3018">
        <v>102.2367</v>
      </c>
      <c r="I3018">
        <v>89.356099999999998</v>
      </c>
      <c r="J3018">
        <v>101.6622</v>
      </c>
      <c r="K3018">
        <v>152.71709999999999</v>
      </c>
      <c r="L3018">
        <v>154.29470000000001</v>
      </c>
      <c r="M3018">
        <v>153.89879999999999</v>
      </c>
      <c r="N3018">
        <v>124.77330000000001</v>
      </c>
      <c r="O3018">
        <v>127.1666</v>
      </c>
      <c r="P3018">
        <v>431</v>
      </c>
      <c r="Q3018" t="s">
        <v>6376</v>
      </c>
    </row>
    <row r="3019" spans="1:17" x14ac:dyDescent="0.3">
      <c r="A3019" t="s">
        <v>4664</v>
      </c>
      <c r="B3019" t="str">
        <f>"002336"</f>
        <v>002336</v>
      </c>
      <c r="C3019" t="s">
        <v>6377</v>
      </c>
      <c r="D3019" t="s">
        <v>798</v>
      </c>
      <c r="F3019">
        <v>157.4066</v>
      </c>
      <c r="G3019">
        <v>164.71520000000001</v>
      </c>
      <c r="H3019">
        <v>103.6437</v>
      </c>
      <c r="I3019">
        <v>94.508399999999995</v>
      </c>
      <c r="J3019">
        <v>92.356800000000007</v>
      </c>
      <c r="K3019">
        <v>90.382499999999993</v>
      </c>
      <c r="L3019">
        <v>87.749300000000005</v>
      </c>
      <c r="M3019">
        <v>81.181899999999999</v>
      </c>
      <c r="N3019">
        <v>68.340199999999996</v>
      </c>
      <c r="O3019">
        <v>73.589699999999993</v>
      </c>
      <c r="P3019">
        <v>69</v>
      </c>
      <c r="Q3019" t="s">
        <v>6378</v>
      </c>
    </row>
    <row r="3020" spans="1:17" x14ac:dyDescent="0.3">
      <c r="A3020" t="s">
        <v>4664</v>
      </c>
      <c r="B3020" t="str">
        <f>"002337"</f>
        <v>002337</v>
      </c>
      <c r="C3020" t="s">
        <v>6379</v>
      </c>
      <c r="D3020" t="s">
        <v>741</v>
      </c>
      <c r="F3020">
        <v>340.03879999999998</v>
      </c>
      <c r="G3020">
        <v>553.51139999999998</v>
      </c>
      <c r="H3020">
        <v>747.29669999999999</v>
      </c>
      <c r="I3020">
        <v>611.19219999999996</v>
      </c>
      <c r="J3020">
        <v>453.37939999999998</v>
      </c>
      <c r="K3020">
        <v>695.93830000000003</v>
      </c>
      <c r="L3020">
        <v>456.71690000000001</v>
      </c>
      <c r="M3020">
        <v>328.12439999999998</v>
      </c>
      <c r="N3020">
        <v>327.92759999999998</v>
      </c>
      <c r="O3020">
        <v>347.68860000000001</v>
      </c>
      <c r="P3020">
        <v>92</v>
      </c>
      <c r="Q3020" t="s">
        <v>6380</v>
      </c>
    </row>
    <row r="3021" spans="1:17" x14ac:dyDescent="0.3">
      <c r="A3021" t="s">
        <v>4664</v>
      </c>
      <c r="B3021" t="str">
        <f>"002338"</f>
        <v>002338</v>
      </c>
      <c r="C3021" t="s">
        <v>6381</v>
      </c>
      <c r="D3021" t="s">
        <v>1136</v>
      </c>
      <c r="F3021">
        <v>417.10500000000002</v>
      </c>
      <c r="G3021">
        <v>552.2808</v>
      </c>
      <c r="H3021">
        <v>562.07470000000001</v>
      </c>
      <c r="I3021">
        <v>585.8211</v>
      </c>
      <c r="J3021">
        <v>735.62760000000003</v>
      </c>
      <c r="K3021">
        <v>711.66980000000001</v>
      </c>
      <c r="L3021">
        <v>672.7998</v>
      </c>
      <c r="M3021">
        <v>518.75980000000004</v>
      </c>
      <c r="N3021">
        <v>500.5702</v>
      </c>
      <c r="O3021">
        <v>398.3562</v>
      </c>
      <c r="P3021">
        <v>147</v>
      </c>
      <c r="Q3021" t="s">
        <v>6382</v>
      </c>
    </row>
    <row r="3022" spans="1:17" x14ac:dyDescent="0.3">
      <c r="A3022" t="s">
        <v>4664</v>
      </c>
      <c r="B3022" t="str">
        <f>"002339"</f>
        <v>002339</v>
      </c>
      <c r="C3022" t="s">
        <v>6383</v>
      </c>
      <c r="D3022" t="s">
        <v>610</v>
      </c>
      <c r="F3022">
        <v>297.80680000000001</v>
      </c>
      <c r="G3022">
        <v>312.4819</v>
      </c>
      <c r="H3022">
        <v>277.71879999999999</v>
      </c>
      <c r="I3022">
        <v>224.17439999999999</v>
      </c>
      <c r="J3022">
        <v>302.47039999999998</v>
      </c>
      <c r="K3022">
        <v>200.87620000000001</v>
      </c>
      <c r="L3022">
        <v>279.38479999999998</v>
      </c>
      <c r="M3022">
        <v>273.03059999999999</v>
      </c>
      <c r="N3022">
        <v>226.33500000000001</v>
      </c>
      <c r="O3022">
        <v>211.00989999999999</v>
      </c>
      <c r="P3022">
        <v>120</v>
      </c>
      <c r="Q3022" t="s">
        <v>6384</v>
      </c>
    </row>
    <row r="3023" spans="1:17" x14ac:dyDescent="0.3">
      <c r="A3023" t="s">
        <v>4664</v>
      </c>
      <c r="B3023" t="str">
        <f>"002340"</f>
        <v>002340</v>
      </c>
      <c r="C3023" t="s">
        <v>6385</v>
      </c>
      <c r="D3023" t="s">
        <v>1786</v>
      </c>
      <c r="F3023">
        <v>202.5051</v>
      </c>
      <c r="G3023">
        <v>292.5095</v>
      </c>
      <c r="H3023">
        <v>245.11869999999999</v>
      </c>
      <c r="I3023">
        <v>218.59639999999999</v>
      </c>
      <c r="J3023">
        <v>221.9924</v>
      </c>
      <c r="K3023">
        <v>265.85449999999997</v>
      </c>
      <c r="L3023">
        <v>331.36079999999998</v>
      </c>
      <c r="M3023">
        <v>275.07589999999999</v>
      </c>
      <c r="N3023">
        <v>297.54579999999999</v>
      </c>
      <c r="O3023">
        <v>398.00009999999997</v>
      </c>
      <c r="P3023">
        <v>1302</v>
      </c>
      <c r="Q3023" t="s">
        <v>6386</v>
      </c>
    </row>
    <row r="3024" spans="1:17" x14ac:dyDescent="0.3">
      <c r="A3024" t="s">
        <v>4664</v>
      </c>
      <c r="B3024" t="str">
        <f>"002341"</f>
        <v>002341</v>
      </c>
      <c r="C3024" t="s">
        <v>6387</v>
      </c>
      <c r="D3024" t="s">
        <v>324</v>
      </c>
      <c r="F3024">
        <v>121.37009999999999</v>
      </c>
      <c r="G3024">
        <v>161.8733</v>
      </c>
      <c r="H3024">
        <v>128.84440000000001</v>
      </c>
      <c r="I3024">
        <v>108.14109999999999</v>
      </c>
      <c r="J3024">
        <v>143.29910000000001</v>
      </c>
      <c r="K3024">
        <v>165.93860000000001</v>
      </c>
      <c r="L3024">
        <v>189.78700000000001</v>
      </c>
      <c r="M3024">
        <v>143.71510000000001</v>
      </c>
      <c r="N3024">
        <v>145.2296</v>
      </c>
      <c r="O3024">
        <v>138.61070000000001</v>
      </c>
      <c r="P3024">
        <v>276</v>
      </c>
      <c r="Q3024" t="s">
        <v>6388</v>
      </c>
    </row>
    <row r="3025" spans="1:17" x14ac:dyDescent="0.3">
      <c r="A3025" t="s">
        <v>4664</v>
      </c>
      <c r="B3025" t="str">
        <f>"002342"</f>
        <v>002342</v>
      </c>
      <c r="C3025" t="s">
        <v>6389</v>
      </c>
      <c r="D3025" t="s">
        <v>274</v>
      </c>
      <c r="F3025">
        <v>179.2773</v>
      </c>
      <c r="G3025">
        <v>220.23220000000001</v>
      </c>
      <c r="H3025">
        <v>267.74110000000002</v>
      </c>
      <c r="I3025">
        <v>267.1465</v>
      </c>
      <c r="J3025">
        <v>269.91269999999997</v>
      </c>
      <c r="K3025">
        <v>279.91390000000001</v>
      </c>
      <c r="L3025">
        <v>290.85090000000002</v>
      </c>
      <c r="M3025">
        <v>302.47710000000001</v>
      </c>
      <c r="N3025">
        <v>288.8159</v>
      </c>
      <c r="O3025">
        <v>269.20440000000002</v>
      </c>
      <c r="P3025">
        <v>112</v>
      </c>
      <c r="Q3025" t="s">
        <v>6390</v>
      </c>
    </row>
    <row r="3026" spans="1:17" x14ac:dyDescent="0.3">
      <c r="A3026" t="s">
        <v>4664</v>
      </c>
      <c r="B3026" t="str">
        <f>"002343"</f>
        <v>002343</v>
      </c>
      <c r="C3026" t="s">
        <v>6391</v>
      </c>
      <c r="D3026" t="s">
        <v>113</v>
      </c>
      <c r="F3026">
        <v>1290.8284000000001</v>
      </c>
      <c r="G3026">
        <v>1419.0876000000001</v>
      </c>
      <c r="H3026">
        <v>467.95929999999998</v>
      </c>
      <c r="I3026">
        <v>375.11489999999998</v>
      </c>
      <c r="J3026">
        <v>1416.8033</v>
      </c>
      <c r="K3026">
        <v>487.22449999999998</v>
      </c>
      <c r="L3026">
        <v>1034.8418999999999</v>
      </c>
      <c r="M3026">
        <v>94.931600000000003</v>
      </c>
      <c r="N3026">
        <v>95.019400000000005</v>
      </c>
      <c r="O3026">
        <v>87.882400000000004</v>
      </c>
      <c r="P3026">
        <v>183</v>
      </c>
      <c r="Q3026" t="s">
        <v>6392</v>
      </c>
    </row>
    <row r="3027" spans="1:17" x14ac:dyDescent="0.3">
      <c r="A3027" t="s">
        <v>4664</v>
      </c>
      <c r="B3027" t="str">
        <f>"002344"</f>
        <v>002344</v>
      </c>
      <c r="C3027" t="s">
        <v>6393</v>
      </c>
      <c r="D3027" t="s">
        <v>271</v>
      </c>
      <c r="F3027">
        <v>596.94129999999996</v>
      </c>
      <c r="G3027">
        <v>612.15830000000005</v>
      </c>
      <c r="H3027">
        <v>975.63890000000004</v>
      </c>
      <c r="I3027">
        <v>613.65099999999995</v>
      </c>
      <c r="J3027">
        <v>694.94939999999997</v>
      </c>
      <c r="K3027">
        <v>1050.4178999999999</v>
      </c>
      <c r="L3027">
        <v>1043.2134000000001</v>
      </c>
      <c r="M3027">
        <v>1087.0431000000001</v>
      </c>
      <c r="N3027">
        <v>567.54190000000006</v>
      </c>
      <c r="O3027">
        <v>780.6857</v>
      </c>
      <c r="P3027">
        <v>145</v>
      </c>
      <c r="Q3027" t="s">
        <v>6394</v>
      </c>
    </row>
    <row r="3028" spans="1:17" x14ac:dyDescent="0.3">
      <c r="A3028" t="s">
        <v>4664</v>
      </c>
      <c r="B3028" t="str">
        <f>"002345"</f>
        <v>002345</v>
      </c>
      <c r="C3028" t="s">
        <v>6395</v>
      </c>
      <c r="D3028" t="s">
        <v>1238</v>
      </c>
      <c r="F3028">
        <v>371.98320000000001</v>
      </c>
      <c r="G3028">
        <v>503.79199999999997</v>
      </c>
      <c r="H3028">
        <v>420.24680000000001</v>
      </c>
      <c r="I3028">
        <v>448.85849999999999</v>
      </c>
      <c r="J3028">
        <v>447.25459999999998</v>
      </c>
      <c r="K3028">
        <v>477.8492</v>
      </c>
      <c r="L3028">
        <v>446.8399</v>
      </c>
      <c r="M3028">
        <v>455.27429999999998</v>
      </c>
      <c r="N3028">
        <v>445.29320000000001</v>
      </c>
      <c r="O3028">
        <v>590.47559999999999</v>
      </c>
      <c r="P3028">
        <v>137</v>
      </c>
      <c r="Q3028" t="s">
        <v>6396</v>
      </c>
    </row>
    <row r="3029" spans="1:17" x14ac:dyDescent="0.3">
      <c r="A3029" t="s">
        <v>4664</v>
      </c>
      <c r="B3029" t="str">
        <f>"002346"</f>
        <v>002346</v>
      </c>
      <c r="C3029" t="s">
        <v>6397</v>
      </c>
      <c r="D3029" t="s">
        <v>210</v>
      </c>
      <c r="F3029">
        <v>163.80170000000001</v>
      </c>
      <c r="G3029">
        <v>128.38839999999999</v>
      </c>
      <c r="H3029">
        <v>133.8527</v>
      </c>
      <c r="I3029">
        <v>57.668900000000001</v>
      </c>
      <c r="J3029">
        <v>202.0172</v>
      </c>
      <c r="K3029">
        <v>121.1913</v>
      </c>
      <c r="L3029">
        <v>201.87819999999999</v>
      </c>
      <c r="M3029">
        <v>146.06440000000001</v>
      </c>
      <c r="N3029">
        <v>226.84350000000001</v>
      </c>
      <c r="O3029">
        <v>136.50720000000001</v>
      </c>
      <c r="P3029">
        <v>105</v>
      </c>
      <c r="Q3029" t="s">
        <v>6398</v>
      </c>
    </row>
    <row r="3030" spans="1:17" x14ac:dyDescent="0.3">
      <c r="A3030" t="s">
        <v>4664</v>
      </c>
      <c r="B3030" t="str">
        <f>"002347"</f>
        <v>002347</v>
      </c>
      <c r="C3030" t="s">
        <v>6399</v>
      </c>
      <c r="D3030" t="s">
        <v>274</v>
      </c>
      <c r="F3030">
        <v>356.82839999999999</v>
      </c>
      <c r="G3030">
        <v>474.45150000000001</v>
      </c>
      <c r="H3030">
        <v>466.66660000000002</v>
      </c>
      <c r="I3030">
        <v>564.24239999999998</v>
      </c>
      <c r="J3030">
        <v>857.92819999999995</v>
      </c>
      <c r="K3030">
        <v>766.09090000000003</v>
      </c>
      <c r="L3030">
        <v>724.54719999999998</v>
      </c>
      <c r="M3030">
        <v>708.65430000000003</v>
      </c>
      <c r="N3030">
        <v>598.17560000000003</v>
      </c>
      <c r="O3030">
        <v>360.81459999999998</v>
      </c>
      <c r="P3030">
        <v>75</v>
      </c>
      <c r="Q3030" t="s">
        <v>6400</v>
      </c>
    </row>
    <row r="3031" spans="1:17" x14ac:dyDescent="0.3">
      <c r="A3031" t="s">
        <v>4664</v>
      </c>
      <c r="B3031" t="str">
        <f>"002348"</f>
        <v>002348</v>
      </c>
      <c r="C3031" t="s">
        <v>6401</v>
      </c>
      <c r="D3031" t="s">
        <v>2904</v>
      </c>
      <c r="F3031">
        <v>158.3595</v>
      </c>
      <c r="G3031">
        <v>212.46629999999999</v>
      </c>
      <c r="H3031">
        <v>126.7616</v>
      </c>
      <c r="I3031">
        <v>80.135000000000005</v>
      </c>
      <c r="J3031">
        <v>79.147000000000006</v>
      </c>
      <c r="K3031">
        <v>89.293899999999994</v>
      </c>
      <c r="L3031">
        <v>135.06030000000001</v>
      </c>
      <c r="M3031">
        <v>150.51310000000001</v>
      </c>
      <c r="N3031">
        <v>145.87719999999999</v>
      </c>
      <c r="O3031">
        <v>108.1116</v>
      </c>
      <c r="P3031">
        <v>112</v>
      </c>
      <c r="Q3031" t="s">
        <v>6402</v>
      </c>
    </row>
    <row r="3032" spans="1:17" x14ac:dyDescent="0.3">
      <c r="A3032" t="s">
        <v>4664</v>
      </c>
      <c r="B3032" t="str">
        <f>"002349"</f>
        <v>002349</v>
      </c>
      <c r="C3032" t="s">
        <v>6403</v>
      </c>
      <c r="D3032" t="s">
        <v>188</v>
      </c>
      <c r="F3032">
        <v>216.15989999999999</v>
      </c>
      <c r="G3032">
        <v>258.10829999999999</v>
      </c>
      <c r="H3032">
        <v>358.2996</v>
      </c>
      <c r="I3032">
        <v>369.59589999999997</v>
      </c>
      <c r="J3032">
        <v>355.65960000000001</v>
      </c>
      <c r="K3032">
        <v>266.7878</v>
      </c>
      <c r="L3032">
        <v>251.1096</v>
      </c>
      <c r="M3032">
        <v>208.7175</v>
      </c>
      <c r="N3032">
        <v>113.5748</v>
      </c>
      <c r="O3032">
        <v>91.680400000000006</v>
      </c>
      <c r="P3032">
        <v>194</v>
      </c>
      <c r="Q3032" t="s">
        <v>6404</v>
      </c>
    </row>
    <row r="3033" spans="1:17" x14ac:dyDescent="0.3">
      <c r="A3033" t="s">
        <v>4664</v>
      </c>
      <c r="B3033" t="str">
        <f>"002350"</f>
        <v>002350</v>
      </c>
      <c r="C3033" t="s">
        <v>6405</v>
      </c>
      <c r="D3033" t="s">
        <v>657</v>
      </c>
      <c r="F3033">
        <v>142.316</v>
      </c>
      <c r="G3033">
        <v>175.6961</v>
      </c>
      <c r="H3033">
        <v>174.56059999999999</v>
      </c>
      <c r="I3033">
        <v>182.73589999999999</v>
      </c>
      <c r="J3033">
        <v>149.48660000000001</v>
      </c>
      <c r="K3033">
        <v>156.32499999999999</v>
      </c>
      <c r="L3033">
        <v>166.0813</v>
      </c>
      <c r="M3033">
        <v>151.30420000000001</v>
      </c>
      <c r="N3033">
        <v>164.4521</v>
      </c>
      <c r="O3033">
        <v>163.99420000000001</v>
      </c>
      <c r="P3033">
        <v>104</v>
      </c>
      <c r="Q3033" t="s">
        <v>6406</v>
      </c>
    </row>
    <row r="3034" spans="1:17" x14ac:dyDescent="0.3">
      <c r="A3034" t="s">
        <v>4664</v>
      </c>
      <c r="B3034" t="str">
        <f>"002351"</f>
        <v>002351</v>
      </c>
      <c r="C3034" t="s">
        <v>6407</v>
      </c>
      <c r="D3034" t="s">
        <v>3499</v>
      </c>
      <c r="F3034">
        <v>191.0598</v>
      </c>
      <c r="G3034">
        <v>210.77170000000001</v>
      </c>
      <c r="H3034">
        <v>234.80090000000001</v>
      </c>
      <c r="I3034">
        <v>297.25630000000001</v>
      </c>
      <c r="J3034">
        <v>195.1422</v>
      </c>
      <c r="K3034">
        <v>180.29490000000001</v>
      </c>
      <c r="L3034">
        <v>133.2817</v>
      </c>
      <c r="M3034">
        <v>111.8503</v>
      </c>
      <c r="N3034">
        <v>100.1973</v>
      </c>
      <c r="O3034">
        <v>91.630899999999997</v>
      </c>
      <c r="P3034">
        <v>339</v>
      </c>
      <c r="Q3034" t="s">
        <v>6408</v>
      </c>
    </row>
    <row r="3035" spans="1:17" x14ac:dyDescent="0.3">
      <c r="A3035" t="s">
        <v>4664</v>
      </c>
      <c r="B3035" t="str">
        <f>"002352"</f>
        <v>002352</v>
      </c>
      <c r="C3035" t="s">
        <v>6409</v>
      </c>
      <c r="D3035" t="s">
        <v>537</v>
      </c>
      <c r="F3035">
        <v>3.4762</v>
      </c>
      <c r="G3035">
        <v>3.5718000000000001</v>
      </c>
      <c r="H3035">
        <v>4.5430000000000001</v>
      </c>
      <c r="I3035">
        <v>4.0682999999999998</v>
      </c>
      <c r="J3035">
        <v>3.8262999999999998</v>
      </c>
      <c r="K3035">
        <v>165.42269999999999</v>
      </c>
      <c r="L3035">
        <v>119.9996</v>
      </c>
      <c r="M3035">
        <v>110.68899999999999</v>
      </c>
      <c r="N3035">
        <v>123.4228</v>
      </c>
      <c r="O3035">
        <v>82.464299999999994</v>
      </c>
      <c r="P3035">
        <v>3728</v>
      </c>
      <c r="Q3035" t="s">
        <v>6410</v>
      </c>
    </row>
    <row r="3036" spans="1:17" x14ac:dyDescent="0.3">
      <c r="A3036" t="s">
        <v>4664</v>
      </c>
      <c r="B3036" t="str">
        <f>"002353"</f>
        <v>002353</v>
      </c>
      <c r="C3036" t="s">
        <v>6411</v>
      </c>
      <c r="D3036" t="s">
        <v>395</v>
      </c>
      <c r="F3036">
        <v>494.0573</v>
      </c>
      <c r="G3036">
        <v>503.40100000000001</v>
      </c>
      <c r="H3036">
        <v>425.09320000000002</v>
      </c>
      <c r="I3036">
        <v>320.38229999999999</v>
      </c>
      <c r="J3036">
        <v>417.84559999999999</v>
      </c>
      <c r="K3036">
        <v>576.52239999999995</v>
      </c>
      <c r="L3036">
        <v>639.66549999999995</v>
      </c>
      <c r="M3036">
        <v>350.51519999999999</v>
      </c>
      <c r="N3036">
        <v>312.58260000000001</v>
      </c>
      <c r="O3036">
        <v>293.18959999999998</v>
      </c>
      <c r="P3036">
        <v>861</v>
      </c>
      <c r="Q3036" t="s">
        <v>6412</v>
      </c>
    </row>
    <row r="3037" spans="1:17" x14ac:dyDescent="0.3">
      <c r="A3037" t="s">
        <v>4664</v>
      </c>
      <c r="B3037" t="str">
        <f>"002354"</f>
        <v>002354</v>
      </c>
      <c r="C3037" t="s">
        <v>6413</v>
      </c>
      <c r="D3037" t="s">
        <v>517</v>
      </c>
      <c r="F3037">
        <v>9.4133999999999993</v>
      </c>
      <c r="G3037">
        <v>30.706</v>
      </c>
      <c r="H3037">
        <v>23.231100000000001</v>
      </c>
      <c r="I3037">
        <v>26.3691</v>
      </c>
      <c r="J3037">
        <v>13.367699999999999</v>
      </c>
      <c r="K3037">
        <v>0</v>
      </c>
      <c r="L3037">
        <v>0</v>
      </c>
      <c r="M3037">
        <v>627.59</v>
      </c>
      <c r="N3037">
        <v>321.79289999999997</v>
      </c>
      <c r="O3037">
        <v>319.85250000000002</v>
      </c>
      <c r="P3037">
        <v>265</v>
      </c>
      <c r="Q3037" t="s">
        <v>6414</v>
      </c>
    </row>
    <row r="3038" spans="1:17" x14ac:dyDescent="0.3">
      <c r="A3038" t="s">
        <v>4664</v>
      </c>
      <c r="B3038" t="str">
        <f>"002355"</f>
        <v>002355</v>
      </c>
      <c r="C3038" t="s">
        <v>6415</v>
      </c>
      <c r="D3038" t="s">
        <v>422</v>
      </c>
      <c r="F3038">
        <v>346.97660000000002</v>
      </c>
      <c r="G3038">
        <v>433.01299999999998</v>
      </c>
      <c r="H3038">
        <v>400.5009</v>
      </c>
      <c r="I3038">
        <v>390.76740000000001</v>
      </c>
      <c r="J3038">
        <v>346.66539999999998</v>
      </c>
      <c r="K3038">
        <v>410.2851</v>
      </c>
      <c r="L3038">
        <v>379.45170000000002</v>
      </c>
      <c r="M3038">
        <v>300.3698</v>
      </c>
      <c r="N3038">
        <v>286.1157</v>
      </c>
      <c r="O3038">
        <v>257.01600000000002</v>
      </c>
      <c r="P3038">
        <v>120</v>
      </c>
      <c r="Q3038" t="s">
        <v>6416</v>
      </c>
    </row>
    <row r="3039" spans="1:17" x14ac:dyDescent="0.3">
      <c r="A3039" t="s">
        <v>4664</v>
      </c>
      <c r="B3039" t="str">
        <f>"002356"</f>
        <v>002356</v>
      </c>
      <c r="C3039" t="s">
        <v>6417</v>
      </c>
      <c r="D3039" t="s">
        <v>1404</v>
      </c>
      <c r="F3039">
        <v>279.65640000000002</v>
      </c>
      <c r="G3039">
        <v>432.59910000000002</v>
      </c>
      <c r="H3039">
        <v>413.55410000000001</v>
      </c>
      <c r="I3039">
        <v>466.08609999999999</v>
      </c>
      <c r="J3039">
        <v>526.79449999999997</v>
      </c>
      <c r="K3039">
        <v>477.26560000000001</v>
      </c>
      <c r="L3039">
        <v>680.83209999999997</v>
      </c>
      <c r="M3039">
        <v>623.33029999999997</v>
      </c>
      <c r="N3039">
        <v>297.47199999999998</v>
      </c>
      <c r="O3039">
        <v>340.27140000000003</v>
      </c>
      <c r="P3039">
        <v>75</v>
      </c>
      <c r="Q3039" t="s">
        <v>6418</v>
      </c>
    </row>
    <row r="3040" spans="1:17" x14ac:dyDescent="0.3">
      <c r="A3040" t="s">
        <v>4664</v>
      </c>
      <c r="B3040" t="str">
        <f>"002357"</f>
        <v>002357</v>
      </c>
      <c r="C3040" t="s">
        <v>6419</v>
      </c>
      <c r="D3040" t="s">
        <v>1133</v>
      </c>
      <c r="F3040">
        <v>1.1261000000000001</v>
      </c>
      <c r="G3040">
        <v>1.2831999999999999</v>
      </c>
      <c r="H3040">
        <v>0.67830000000000001</v>
      </c>
      <c r="I3040">
        <v>1.1621999999999999</v>
      </c>
      <c r="J3040">
        <v>1.9765999999999999</v>
      </c>
      <c r="K3040">
        <v>4.7915999999999999</v>
      </c>
      <c r="L3040">
        <v>2.8435999999999999</v>
      </c>
      <c r="M3040">
        <v>6.1100000000000002E-2</v>
      </c>
      <c r="N3040">
        <v>3.4200000000000001E-2</v>
      </c>
      <c r="O3040">
        <v>4.6800000000000001E-2</v>
      </c>
      <c r="P3040">
        <v>102</v>
      </c>
      <c r="Q3040" t="s">
        <v>6420</v>
      </c>
    </row>
    <row r="3041" spans="1:17" x14ac:dyDescent="0.3">
      <c r="A3041" t="s">
        <v>4664</v>
      </c>
      <c r="B3041" t="str">
        <f>"002358"</f>
        <v>002358</v>
      </c>
      <c r="C3041" t="s">
        <v>6421</v>
      </c>
      <c r="D3041" t="s">
        <v>210</v>
      </c>
      <c r="F3041">
        <v>246.8278</v>
      </c>
      <c r="G3041">
        <v>346.94400000000002</v>
      </c>
      <c r="H3041">
        <v>319.77870000000001</v>
      </c>
      <c r="I3041">
        <v>151.90440000000001</v>
      </c>
      <c r="J3041">
        <v>132.5369</v>
      </c>
      <c r="K3041">
        <v>194.36259999999999</v>
      </c>
      <c r="L3041">
        <v>329.6069</v>
      </c>
      <c r="M3041">
        <v>344.11489999999998</v>
      </c>
      <c r="N3041">
        <v>259.56180000000001</v>
      </c>
      <c r="O3041">
        <v>155.52850000000001</v>
      </c>
      <c r="P3041">
        <v>142</v>
      </c>
      <c r="Q3041" t="s">
        <v>6422</v>
      </c>
    </row>
    <row r="3042" spans="1:17" x14ac:dyDescent="0.3">
      <c r="A3042" t="s">
        <v>4664</v>
      </c>
      <c r="B3042" t="str">
        <f>"002359"</f>
        <v>002359</v>
      </c>
      <c r="C3042" t="s">
        <v>6423</v>
      </c>
      <c r="G3042">
        <v>146.34569999999999</v>
      </c>
      <c r="H3042">
        <v>131.82810000000001</v>
      </c>
      <c r="I3042">
        <v>39.789499999999997</v>
      </c>
      <c r="J3042">
        <v>96.479399999999998</v>
      </c>
      <c r="K3042">
        <v>187.95429999999999</v>
      </c>
      <c r="L3042">
        <v>170.3031</v>
      </c>
      <c r="M3042">
        <v>180.018</v>
      </c>
      <c r="N3042">
        <v>212.00049999999999</v>
      </c>
      <c r="O3042">
        <v>186.0607</v>
      </c>
      <c r="P3042">
        <v>68</v>
      </c>
      <c r="Q3042" t="s">
        <v>6424</v>
      </c>
    </row>
    <row r="3043" spans="1:17" x14ac:dyDescent="0.3">
      <c r="A3043" t="s">
        <v>4664</v>
      </c>
      <c r="B3043" t="str">
        <f>"002360"</f>
        <v>002360</v>
      </c>
      <c r="C3043" t="s">
        <v>6425</v>
      </c>
      <c r="D3043" t="s">
        <v>2713</v>
      </c>
      <c r="F3043">
        <v>57.135399999999997</v>
      </c>
      <c r="G3043">
        <v>59.992600000000003</v>
      </c>
      <c r="H3043">
        <v>56.1477</v>
      </c>
      <c r="I3043">
        <v>42.003900000000002</v>
      </c>
      <c r="J3043">
        <v>56.0884</v>
      </c>
      <c r="K3043">
        <v>88.753500000000003</v>
      </c>
      <c r="L3043">
        <v>104.41930000000001</v>
      </c>
      <c r="M3043">
        <v>87.804400000000001</v>
      </c>
      <c r="N3043">
        <v>83.841800000000006</v>
      </c>
      <c r="O3043">
        <v>78.047899999999998</v>
      </c>
      <c r="P3043">
        <v>111</v>
      </c>
      <c r="Q3043" t="s">
        <v>6426</v>
      </c>
    </row>
    <row r="3044" spans="1:17" x14ac:dyDescent="0.3">
      <c r="A3044" t="s">
        <v>4664</v>
      </c>
      <c r="B3044" t="str">
        <f>"002361"</f>
        <v>002361</v>
      </c>
      <c r="C3044" t="s">
        <v>6427</v>
      </c>
      <c r="D3044" t="s">
        <v>3350</v>
      </c>
      <c r="F3044">
        <v>94.006500000000003</v>
      </c>
      <c r="G3044">
        <v>116.84690000000001</v>
      </c>
      <c r="H3044">
        <v>87.888400000000004</v>
      </c>
      <c r="I3044">
        <v>85.909300000000002</v>
      </c>
      <c r="J3044">
        <v>61.933500000000002</v>
      </c>
      <c r="K3044">
        <v>59.927799999999998</v>
      </c>
      <c r="L3044">
        <v>48.612499999999997</v>
      </c>
      <c r="M3044">
        <v>38.359900000000003</v>
      </c>
      <c r="N3044">
        <v>44.747599999999998</v>
      </c>
      <c r="O3044">
        <v>35.398800000000001</v>
      </c>
      <c r="P3044">
        <v>89</v>
      </c>
      <c r="Q3044" t="s">
        <v>6428</v>
      </c>
    </row>
    <row r="3045" spans="1:17" x14ac:dyDescent="0.3">
      <c r="A3045" t="s">
        <v>4664</v>
      </c>
      <c r="B3045" t="str">
        <f>"002362"</f>
        <v>002362</v>
      </c>
      <c r="C3045" t="s">
        <v>6429</v>
      </c>
      <c r="D3045" t="s">
        <v>945</v>
      </c>
      <c r="F3045">
        <v>315.96010000000001</v>
      </c>
      <c r="G3045">
        <v>254.86320000000001</v>
      </c>
      <c r="H3045">
        <v>189.255</v>
      </c>
      <c r="I3045">
        <v>244.56209999999999</v>
      </c>
      <c r="J3045">
        <v>179.87909999999999</v>
      </c>
      <c r="K3045">
        <v>219.29239999999999</v>
      </c>
      <c r="L3045">
        <v>232.82339999999999</v>
      </c>
      <c r="M3045">
        <v>176.8271</v>
      </c>
      <c r="N3045">
        <v>391.82679999999999</v>
      </c>
      <c r="O3045">
        <v>325.24</v>
      </c>
      <c r="P3045">
        <v>197</v>
      </c>
      <c r="Q3045" t="s">
        <v>6430</v>
      </c>
    </row>
    <row r="3046" spans="1:17" x14ac:dyDescent="0.3">
      <c r="A3046" t="s">
        <v>4664</v>
      </c>
      <c r="B3046" t="str">
        <f>"002363"</f>
        <v>002363</v>
      </c>
      <c r="C3046" t="s">
        <v>6431</v>
      </c>
      <c r="D3046" t="s">
        <v>348</v>
      </c>
      <c r="F3046">
        <v>210.82689999999999</v>
      </c>
      <c r="G3046">
        <v>236.66739999999999</v>
      </c>
      <c r="H3046">
        <v>199.18379999999999</v>
      </c>
      <c r="I3046">
        <v>144.76179999999999</v>
      </c>
      <c r="J3046">
        <v>126.2062</v>
      </c>
      <c r="K3046">
        <v>176.12129999999999</v>
      </c>
      <c r="L3046">
        <v>206.08770000000001</v>
      </c>
      <c r="M3046">
        <v>288.274</v>
      </c>
      <c r="N3046">
        <v>280.53109999999998</v>
      </c>
      <c r="O3046">
        <v>254.3612</v>
      </c>
      <c r="P3046">
        <v>126</v>
      </c>
      <c r="Q3046" t="s">
        <v>6432</v>
      </c>
    </row>
    <row r="3047" spans="1:17" x14ac:dyDescent="0.3">
      <c r="A3047" t="s">
        <v>4664</v>
      </c>
      <c r="B3047" t="str">
        <f>"002364"</f>
        <v>002364</v>
      </c>
      <c r="C3047" t="s">
        <v>6433</v>
      </c>
      <c r="D3047" t="s">
        <v>880</v>
      </c>
      <c r="F3047">
        <v>332.81240000000003</v>
      </c>
      <c r="G3047">
        <v>313.78769999999997</v>
      </c>
      <c r="H3047">
        <v>314.07909999999998</v>
      </c>
      <c r="I3047">
        <v>338.91320000000002</v>
      </c>
      <c r="J3047">
        <v>320.64370000000002</v>
      </c>
      <c r="K3047">
        <v>355.8109</v>
      </c>
      <c r="L3047">
        <v>309.86860000000001</v>
      </c>
      <c r="M3047">
        <v>330.92430000000002</v>
      </c>
      <c r="N3047">
        <v>258.714</v>
      </c>
      <c r="O3047">
        <v>233.74010000000001</v>
      </c>
      <c r="P3047">
        <v>219</v>
      </c>
      <c r="Q3047" t="s">
        <v>6434</v>
      </c>
    </row>
    <row r="3048" spans="1:17" x14ac:dyDescent="0.3">
      <c r="A3048" t="s">
        <v>4664</v>
      </c>
      <c r="B3048" t="str">
        <f>"002365"</f>
        <v>002365</v>
      </c>
      <c r="C3048" t="s">
        <v>6435</v>
      </c>
      <c r="D3048" t="s">
        <v>496</v>
      </c>
      <c r="F3048">
        <v>41.703400000000002</v>
      </c>
      <c r="G3048">
        <v>65.256799999999998</v>
      </c>
      <c r="H3048">
        <v>42.434100000000001</v>
      </c>
      <c r="I3048">
        <v>65.8767</v>
      </c>
      <c r="J3048">
        <v>58.338999999999999</v>
      </c>
      <c r="K3048">
        <v>54.736899999999999</v>
      </c>
      <c r="L3048">
        <v>52.233199999999997</v>
      </c>
      <c r="M3048">
        <v>30.273900000000001</v>
      </c>
      <c r="N3048">
        <v>25.415800000000001</v>
      </c>
      <c r="O3048">
        <v>30.5657</v>
      </c>
      <c r="P3048">
        <v>195</v>
      </c>
      <c r="Q3048" t="s">
        <v>6436</v>
      </c>
    </row>
    <row r="3049" spans="1:17" x14ac:dyDescent="0.3">
      <c r="A3049" t="s">
        <v>4664</v>
      </c>
      <c r="B3049" t="str">
        <f>"002366"</f>
        <v>002366</v>
      </c>
      <c r="C3049" t="s">
        <v>6437</v>
      </c>
      <c r="D3049" t="s">
        <v>880</v>
      </c>
      <c r="F3049">
        <v>502.06479999999999</v>
      </c>
      <c r="G3049">
        <v>1383.8562999999999</v>
      </c>
      <c r="H3049">
        <v>2100.4254999999998</v>
      </c>
      <c r="I3049">
        <v>2517.6113</v>
      </c>
      <c r="J3049">
        <v>899.39729999999997</v>
      </c>
      <c r="K3049">
        <v>1593.3679999999999</v>
      </c>
      <c r="L3049">
        <v>2841.6149999999998</v>
      </c>
      <c r="M3049">
        <v>78.7941</v>
      </c>
      <c r="N3049">
        <v>98.214600000000004</v>
      </c>
      <c r="O3049">
        <v>80.203400000000002</v>
      </c>
      <c r="P3049">
        <v>175</v>
      </c>
      <c r="Q3049" t="s">
        <v>6438</v>
      </c>
    </row>
    <row r="3050" spans="1:17" x14ac:dyDescent="0.3">
      <c r="A3050" t="s">
        <v>4664</v>
      </c>
      <c r="B3050" t="str">
        <f>"002367"</f>
        <v>002367</v>
      </c>
      <c r="C3050" t="s">
        <v>6439</v>
      </c>
      <c r="D3050" t="s">
        <v>1689</v>
      </c>
      <c r="F3050">
        <v>185.857</v>
      </c>
      <c r="G3050">
        <v>192.9734</v>
      </c>
      <c r="H3050">
        <v>174.79470000000001</v>
      </c>
      <c r="I3050">
        <v>158.84540000000001</v>
      </c>
      <c r="J3050">
        <v>142.6961</v>
      </c>
      <c r="K3050">
        <v>167.74889999999999</v>
      </c>
      <c r="L3050">
        <v>181.09440000000001</v>
      </c>
      <c r="M3050">
        <v>202.3424</v>
      </c>
      <c r="N3050">
        <v>204.9443</v>
      </c>
      <c r="O3050">
        <v>189.1721</v>
      </c>
      <c r="P3050">
        <v>388</v>
      </c>
      <c r="Q3050" t="s">
        <v>6440</v>
      </c>
    </row>
    <row r="3051" spans="1:17" x14ac:dyDescent="0.3">
      <c r="A3051" t="s">
        <v>4664</v>
      </c>
      <c r="B3051" t="str">
        <f>"002368"</f>
        <v>002368</v>
      </c>
      <c r="C3051" t="s">
        <v>6441</v>
      </c>
      <c r="D3051" t="s">
        <v>316</v>
      </c>
      <c r="F3051">
        <v>172.62739999999999</v>
      </c>
      <c r="G3051">
        <v>135.25960000000001</v>
      </c>
      <c r="H3051">
        <v>173.3741</v>
      </c>
      <c r="I3051">
        <v>179.69589999999999</v>
      </c>
      <c r="J3051">
        <v>138.60120000000001</v>
      </c>
      <c r="K3051">
        <v>74.700599999999994</v>
      </c>
      <c r="L3051">
        <v>43.048299999999998</v>
      </c>
      <c r="M3051">
        <v>23.451599999999999</v>
      </c>
      <c r="N3051">
        <v>17.387799999999999</v>
      </c>
      <c r="O3051">
        <v>11.9092</v>
      </c>
      <c r="P3051">
        <v>373</v>
      </c>
      <c r="Q3051" t="s">
        <v>6442</v>
      </c>
    </row>
    <row r="3052" spans="1:17" x14ac:dyDescent="0.3">
      <c r="A3052" t="s">
        <v>4664</v>
      </c>
      <c r="B3052" t="str">
        <f>"002369"</f>
        <v>002369</v>
      </c>
      <c r="C3052" t="s">
        <v>6443</v>
      </c>
      <c r="D3052" t="s">
        <v>313</v>
      </c>
      <c r="F3052">
        <v>29.214400000000001</v>
      </c>
      <c r="G3052">
        <v>39.892000000000003</v>
      </c>
      <c r="H3052">
        <v>69.557100000000005</v>
      </c>
      <c r="I3052">
        <v>130.3098</v>
      </c>
      <c r="J3052">
        <v>85.251900000000006</v>
      </c>
      <c r="K3052">
        <v>78.773600000000002</v>
      </c>
      <c r="L3052">
        <v>59.310499999999998</v>
      </c>
      <c r="M3052">
        <v>60.709200000000003</v>
      </c>
      <c r="N3052">
        <v>74.945300000000003</v>
      </c>
      <c r="O3052">
        <v>66.046599999999998</v>
      </c>
      <c r="P3052">
        <v>179</v>
      </c>
      <c r="Q3052" t="s">
        <v>6444</v>
      </c>
    </row>
    <row r="3053" spans="1:17" x14ac:dyDescent="0.3">
      <c r="A3053" t="s">
        <v>4664</v>
      </c>
      <c r="B3053" t="str">
        <f>"002370"</f>
        <v>002370</v>
      </c>
      <c r="C3053" t="s">
        <v>6445</v>
      </c>
      <c r="D3053" t="s">
        <v>143</v>
      </c>
      <c r="F3053">
        <v>158.8032</v>
      </c>
      <c r="G3053">
        <v>229.75040000000001</v>
      </c>
      <c r="H3053">
        <v>144.97730000000001</v>
      </c>
      <c r="I3053">
        <v>94.753200000000007</v>
      </c>
      <c r="J3053">
        <v>61.282200000000003</v>
      </c>
      <c r="K3053">
        <v>97.009699999999995</v>
      </c>
      <c r="L3053">
        <v>231.73650000000001</v>
      </c>
      <c r="M3053">
        <v>178.2407</v>
      </c>
      <c r="N3053">
        <v>234.89179999999999</v>
      </c>
      <c r="O3053">
        <v>180.86580000000001</v>
      </c>
      <c r="P3053">
        <v>201</v>
      </c>
      <c r="Q3053" t="s">
        <v>6446</v>
      </c>
    </row>
    <row r="3054" spans="1:17" x14ac:dyDescent="0.3">
      <c r="A3054" t="s">
        <v>4664</v>
      </c>
      <c r="B3054" t="str">
        <f>"002371"</f>
        <v>002371</v>
      </c>
      <c r="C3054" t="s">
        <v>6447</v>
      </c>
      <c r="D3054" t="s">
        <v>3160</v>
      </c>
      <c r="F3054">
        <v>619.14459999999997</v>
      </c>
      <c r="G3054">
        <v>602.36429999999996</v>
      </c>
      <c r="H3054">
        <v>749.55830000000003</v>
      </c>
      <c r="I3054">
        <v>705.41449999999998</v>
      </c>
      <c r="J3054">
        <v>583.18169999999998</v>
      </c>
      <c r="K3054">
        <v>517.67020000000002</v>
      </c>
      <c r="L3054">
        <v>823.61440000000005</v>
      </c>
      <c r="M3054">
        <v>716.90219999999999</v>
      </c>
      <c r="N3054">
        <v>560.8664</v>
      </c>
      <c r="O3054">
        <v>413.61290000000002</v>
      </c>
      <c r="P3054">
        <v>1587</v>
      </c>
      <c r="Q3054" t="s">
        <v>6448</v>
      </c>
    </row>
    <row r="3055" spans="1:17" x14ac:dyDescent="0.3">
      <c r="A3055" t="s">
        <v>4664</v>
      </c>
      <c r="B3055" t="str">
        <f>"002372"</f>
        <v>002372</v>
      </c>
      <c r="C3055" t="s">
        <v>6449</v>
      </c>
      <c r="D3055" t="s">
        <v>3320</v>
      </c>
      <c r="F3055">
        <v>124.6747</v>
      </c>
      <c r="G3055">
        <v>154.39500000000001</v>
      </c>
      <c r="H3055">
        <v>152.64420000000001</v>
      </c>
      <c r="I3055">
        <v>128.5556</v>
      </c>
      <c r="J3055">
        <v>131.50829999999999</v>
      </c>
      <c r="K3055">
        <v>140.04650000000001</v>
      </c>
      <c r="L3055">
        <v>138.22669999999999</v>
      </c>
      <c r="M3055">
        <v>138.8126</v>
      </c>
      <c r="N3055">
        <v>135.73220000000001</v>
      </c>
      <c r="O3055">
        <v>139.73840000000001</v>
      </c>
      <c r="P3055">
        <v>10689</v>
      </c>
      <c r="Q3055" t="s">
        <v>6450</v>
      </c>
    </row>
    <row r="3056" spans="1:17" x14ac:dyDescent="0.3">
      <c r="A3056" t="s">
        <v>4664</v>
      </c>
      <c r="B3056" t="str">
        <f>"002373"</f>
        <v>002373</v>
      </c>
      <c r="C3056" t="s">
        <v>6451</v>
      </c>
      <c r="D3056" t="s">
        <v>316</v>
      </c>
      <c r="F3056">
        <v>217.71080000000001</v>
      </c>
      <c r="G3056">
        <v>246.81710000000001</v>
      </c>
      <c r="H3056">
        <v>206.35149999999999</v>
      </c>
      <c r="I3056">
        <v>185.6463</v>
      </c>
      <c r="J3056">
        <v>391.19839999999999</v>
      </c>
      <c r="K3056">
        <v>273.05290000000002</v>
      </c>
      <c r="L3056">
        <v>237.23079999999999</v>
      </c>
      <c r="M3056">
        <v>215.6942</v>
      </c>
      <c r="N3056">
        <v>443.20929999999998</v>
      </c>
      <c r="O3056">
        <v>271.50850000000003</v>
      </c>
      <c r="P3056">
        <v>713</v>
      </c>
      <c r="Q3056" t="s">
        <v>6452</v>
      </c>
    </row>
    <row r="3057" spans="1:17" x14ac:dyDescent="0.3">
      <c r="A3057" t="s">
        <v>4664</v>
      </c>
      <c r="B3057" t="str">
        <f>"002374"</f>
        <v>002374</v>
      </c>
      <c r="C3057" t="s">
        <v>6453</v>
      </c>
      <c r="D3057" t="s">
        <v>2364</v>
      </c>
      <c r="F3057">
        <v>161.19929999999999</v>
      </c>
      <c r="G3057">
        <v>455.52850000000001</v>
      </c>
      <c r="H3057">
        <v>503.53089999999997</v>
      </c>
      <c r="I3057">
        <v>615.04409999999996</v>
      </c>
      <c r="J3057">
        <v>383.69099999999997</v>
      </c>
      <c r="K3057">
        <v>401.94920000000002</v>
      </c>
      <c r="L3057">
        <v>418.97890000000001</v>
      </c>
      <c r="M3057">
        <v>199.33279999999999</v>
      </c>
      <c r="N3057">
        <v>166.5187</v>
      </c>
      <c r="O3057">
        <v>157.31979999999999</v>
      </c>
      <c r="P3057">
        <v>92</v>
      </c>
      <c r="Q3057" t="s">
        <v>6454</v>
      </c>
    </row>
    <row r="3058" spans="1:17" x14ac:dyDescent="0.3">
      <c r="A3058" t="s">
        <v>4664</v>
      </c>
      <c r="B3058" t="str">
        <f>"002375"</f>
        <v>002375</v>
      </c>
      <c r="C3058" t="s">
        <v>6455</v>
      </c>
      <c r="D3058" t="s">
        <v>450</v>
      </c>
      <c r="F3058">
        <v>103.5425</v>
      </c>
      <c r="G3058">
        <v>118.3659</v>
      </c>
      <c r="H3058">
        <v>108.3546</v>
      </c>
      <c r="I3058">
        <v>130.494</v>
      </c>
      <c r="J3058">
        <v>106.5354</v>
      </c>
      <c r="K3058">
        <v>80.361599999999996</v>
      </c>
      <c r="L3058">
        <v>61.420499999999997</v>
      </c>
      <c r="M3058">
        <v>25.658799999999999</v>
      </c>
      <c r="N3058">
        <v>26.673400000000001</v>
      </c>
      <c r="O3058">
        <v>25.418199999999999</v>
      </c>
      <c r="P3058">
        <v>176</v>
      </c>
      <c r="Q3058" t="s">
        <v>6456</v>
      </c>
    </row>
    <row r="3059" spans="1:17" x14ac:dyDescent="0.3">
      <c r="A3059" t="s">
        <v>4664</v>
      </c>
      <c r="B3059" t="str">
        <f>"002376"</f>
        <v>002376</v>
      </c>
      <c r="C3059" t="s">
        <v>6457</v>
      </c>
      <c r="D3059" t="s">
        <v>236</v>
      </c>
      <c r="F3059">
        <v>229.91239999999999</v>
      </c>
      <c r="G3059">
        <v>250.70820000000001</v>
      </c>
      <c r="H3059">
        <v>214.0239</v>
      </c>
      <c r="I3059">
        <v>177.30090000000001</v>
      </c>
      <c r="J3059">
        <v>204.40430000000001</v>
      </c>
      <c r="K3059">
        <v>197.00800000000001</v>
      </c>
      <c r="L3059">
        <v>178.786</v>
      </c>
      <c r="M3059">
        <v>189.09909999999999</v>
      </c>
      <c r="N3059">
        <v>175.0027</v>
      </c>
      <c r="O3059">
        <v>112.9062</v>
      </c>
      <c r="P3059">
        <v>298</v>
      </c>
      <c r="Q3059" t="s">
        <v>6458</v>
      </c>
    </row>
    <row r="3060" spans="1:17" x14ac:dyDescent="0.3">
      <c r="A3060" t="s">
        <v>4664</v>
      </c>
      <c r="B3060" t="str">
        <f>"002377"</f>
        <v>002377</v>
      </c>
      <c r="C3060" t="s">
        <v>6459</v>
      </c>
      <c r="D3060" t="s">
        <v>4982</v>
      </c>
      <c r="F3060">
        <v>25.658300000000001</v>
      </c>
      <c r="G3060">
        <v>30.224799999999998</v>
      </c>
      <c r="H3060">
        <v>24.285900000000002</v>
      </c>
      <c r="I3060">
        <v>29.152200000000001</v>
      </c>
      <c r="J3060">
        <v>56.134599999999999</v>
      </c>
      <c r="K3060">
        <v>94.843299999999999</v>
      </c>
      <c r="L3060">
        <v>53.599499999999999</v>
      </c>
      <c r="M3060">
        <v>155.846</v>
      </c>
      <c r="N3060">
        <v>250.75190000000001</v>
      </c>
      <c r="O3060">
        <v>180.976</v>
      </c>
      <c r="P3060">
        <v>95</v>
      </c>
      <c r="Q3060" t="s">
        <v>6460</v>
      </c>
    </row>
    <row r="3061" spans="1:17" x14ac:dyDescent="0.3">
      <c r="A3061" t="s">
        <v>4664</v>
      </c>
      <c r="B3061" t="str">
        <f>"002378"</f>
        <v>002378</v>
      </c>
      <c r="C3061" t="s">
        <v>6461</v>
      </c>
      <c r="D3061" t="s">
        <v>1110</v>
      </c>
      <c r="F3061">
        <v>201.8921</v>
      </c>
      <c r="G3061">
        <v>256.48340000000002</v>
      </c>
      <c r="H3061">
        <v>262.81130000000002</v>
      </c>
      <c r="I3061">
        <v>297.37580000000003</v>
      </c>
      <c r="J3061">
        <v>201.8227</v>
      </c>
      <c r="K3061">
        <v>239.8835</v>
      </c>
      <c r="L3061">
        <v>224.2784</v>
      </c>
      <c r="M3061">
        <v>201.93680000000001</v>
      </c>
      <c r="N3061">
        <v>249.70070000000001</v>
      </c>
      <c r="O3061">
        <v>265.87650000000002</v>
      </c>
      <c r="P3061">
        <v>128</v>
      </c>
      <c r="Q3061" t="s">
        <v>6462</v>
      </c>
    </row>
    <row r="3062" spans="1:17" x14ac:dyDescent="0.3">
      <c r="A3062" t="s">
        <v>4664</v>
      </c>
      <c r="B3062" t="str">
        <f>"002379"</f>
        <v>002379</v>
      </c>
      <c r="C3062" t="s">
        <v>6463</v>
      </c>
      <c r="D3062" t="s">
        <v>504</v>
      </c>
      <c r="F3062">
        <v>85.930499999999995</v>
      </c>
      <c r="G3062">
        <v>101.8533</v>
      </c>
      <c r="H3062">
        <v>62.056800000000003</v>
      </c>
      <c r="I3062">
        <v>39.884999999999998</v>
      </c>
      <c r="J3062">
        <v>30.8248</v>
      </c>
      <c r="K3062">
        <v>29.3323</v>
      </c>
      <c r="L3062">
        <v>82.740099999999998</v>
      </c>
      <c r="M3062">
        <v>112.3608</v>
      </c>
      <c r="N3062">
        <v>103.241</v>
      </c>
      <c r="O3062">
        <v>120.21559999999999</v>
      </c>
      <c r="P3062">
        <v>88</v>
      </c>
      <c r="Q3062" t="s">
        <v>6464</v>
      </c>
    </row>
    <row r="3063" spans="1:17" x14ac:dyDescent="0.3">
      <c r="A3063" t="s">
        <v>4664</v>
      </c>
      <c r="B3063" t="str">
        <f>"002380"</f>
        <v>002380</v>
      </c>
      <c r="C3063" t="s">
        <v>6465</v>
      </c>
      <c r="D3063" t="s">
        <v>316</v>
      </c>
      <c r="F3063">
        <v>301.57979999999998</v>
      </c>
      <c r="G3063">
        <v>251.97659999999999</v>
      </c>
      <c r="H3063">
        <v>194.3878</v>
      </c>
      <c r="I3063">
        <v>226.0008</v>
      </c>
      <c r="J3063">
        <v>236.40629999999999</v>
      </c>
      <c r="K3063">
        <v>309.16559999999998</v>
      </c>
      <c r="L3063">
        <v>337.48360000000002</v>
      </c>
      <c r="M3063">
        <v>327.24400000000003</v>
      </c>
      <c r="N3063">
        <v>276.45150000000001</v>
      </c>
      <c r="O3063">
        <v>245.8613</v>
      </c>
      <c r="P3063">
        <v>131</v>
      </c>
      <c r="Q3063" t="s">
        <v>6466</v>
      </c>
    </row>
    <row r="3064" spans="1:17" x14ac:dyDescent="0.3">
      <c r="A3064" t="s">
        <v>4664</v>
      </c>
      <c r="B3064" t="str">
        <f>"002381"</f>
        <v>002381</v>
      </c>
      <c r="C3064" t="s">
        <v>6467</v>
      </c>
      <c r="D3064" t="s">
        <v>2460</v>
      </c>
      <c r="F3064">
        <v>133.42269999999999</v>
      </c>
      <c r="G3064">
        <v>123.2482</v>
      </c>
      <c r="H3064">
        <v>118.6978</v>
      </c>
      <c r="I3064">
        <v>112.1585</v>
      </c>
      <c r="J3064">
        <v>170.1729</v>
      </c>
      <c r="K3064">
        <v>160.67269999999999</v>
      </c>
      <c r="L3064">
        <v>119.2722</v>
      </c>
      <c r="M3064">
        <v>112.31229999999999</v>
      </c>
      <c r="N3064">
        <v>93.471500000000006</v>
      </c>
      <c r="O3064">
        <v>92.8142</v>
      </c>
      <c r="P3064">
        <v>276</v>
      </c>
      <c r="Q3064" t="s">
        <v>6468</v>
      </c>
    </row>
    <row r="3065" spans="1:17" x14ac:dyDescent="0.3">
      <c r="A3065" t="s">
        <v>4664</v>
      </c>
      <c r="B3065" t="str">
        <f>"002382"</f>
        <v>002382</v>
      </c>
      <c r="C3065" t="s">
        <v>6469</v>
      </c>
      <c r="D3065" t="s">
        <v>1077</v>
      </c>
      <c r="F3065">
        <v>107.2752</v>
      </c>
      <c r="G3065">
        <v>113.30070000000001</v>
      </c>
      <c r="H3065">
        <v>106.9983</v>
      </c>
      <c r="I3065">
        <v>120.45869999999999</v>
      </c>
      <c r="J3065">
        <v>84.861800000000002</v>
      </c>
      <c r="K3065">
        <v>79.283699999999996</v>
      </c>
      <c r="L3065">
        <v>77.205799999999996</v>
      </c>
      <c r="M3065">
        <v>78.453699999999998</v>
      </c>
      <c r="N3065">
        <v>98.649199999999993</v>
      </c>
      <c r="O3065">
        <v>82.382199999999997</v>
      </c>
      <c r="P3065">
        <v>849</v>
      </c>
      <c r="Q3065" t="s">
        <v>6470</v>
      </c>
    </row>
    <row r="3066" spans="1:17" x14ac:dyDescent="0.3">
      <c r="A3066" t="s">
        <v>4664</v>
      </c>
      <c r="B3066" t="str">
        <f>"002383"</f>
        <v>002383</v>
      </c>
      <c r="C3066" t="s">
        <v>6471</v>
      </c>
      <c r="D3066" t="s">
        <v>1136</v>
      </c>
      <c r="F3066">
        <v>391.2079</v>
      </c>
      <c r="G3066">
        <v>321.33120000000002</v>
      </c>
      <c r="H3066">
        <v>487.27749999999997</v>
      </c>
      <c r="I3066">
        <v>89.090199999999996</v>
      </c>
      <c r="J3066">
        <v>333.9794</v>
      </c>
      <c r="K3066">
        <v>492.13200000000001</v>
      </c>
      <c r="L3066">
        <v>343.36829999999998</v>
      </c>
      <c r="M3066">
        <v>439.86649999999997</v>
      </c>
      <c r="N3066">
        <v>262.53980000000001</v>
      </c>
      <c r="O3066">
        <v>366.01069999999999</v>
      </c>
      <c r="P3066">
        <v>211</v>
      </c>
      <c r="Q3066" t="s">
        <v>6472</v>
      </c>
    </row>
    <row r="3067" spans="1:17" x14ac:dyDescent="0.3">
      <c r="A3067" t="s">
        <v>4664</v>
      </c>
      <c r="B3067" t="str">
        <f>"002384"</f>
        <v>002384</v>
      </c>
      <c r="C3067" t="s">
        <v>6473</v>
      </c>
      <c r="D3067" t="s">
        <v>425</v>
      </c>
      <c r="F3067">
        <v>131.5052</v>
      </c>
      <c r="G3067">
        <v>123.4705</v>
      </c>
      <c r="H3067">
        <v>119.089</v>
      </c>
      <c r="I3067">
        <v>124.8156</v>
      </c>
      <c r="J3067">
        <v>129.9589</v>
      </c>
      <c r="K3067">
        <v>142.51179999999999</v>
      </c>
      <c r="L3067">
        <v>174.9101</v>
      </c>
      <c r="M3067">
        <v>124.8981</v>
      </c>
      <c r="N3067">
        <v>127.61279999999999</v>
      </c>
      <c r="O3067">
        <v>155.5111</v>
      </c>
      <c r="P3067">
        <v>1070</v>
      </c>
      <c r="Q3067" t="s">
        <v>6474</v>
      </c>
    </row>
    <row r="3068" spans="1:17" x14ac:dyDescent="0.3">
      <c r="A3068" t="s">
        <v>4664</v>
      </c>
      <c r="B3068" t="str">
        <f>"002385"</f>
        <v>002385</v>
      </c>
      <c r="C3068" t="s">
        <v>6475</v>
      </c>
      <c r="D3068" t="s">
        <v>2859</v>
      </c>
      <c r="F3068">
        <v>61.3919</v>
      </c>
      <c r="G3068">
        <v>79.9375</v>
      </c>
      <c r="H3068">
        <v>75.339699999999993</v>
      </c>
      <c r="I3068">
        <v>75.039699999999996</v>
      </c>
      <c r="J3068">
        <v>72.680499999999995</v>
      </c>
      <c r="K3068">
        <v>65.705299999999994</v>
      </c>
      <c r="L3068">
        <v>68.983099999999993</v>
      </c>
      <c r="M3068">
        <v>63.685499999999998</v>
      </c>
      <c r="N3068">
        <v>53.790199999999999</v>
      </c>
      <c r="O3068">
        <v>62.633299999999998</v>
      </c>
      <c r="P3068">
        <v>890</v>
      </c>
      <c r="Q3068" t="s">
        <v>6476</v>
      </c>
    </row>
    <row r="3069" spans="1:17" x14ac:dyDescent="0.3">
      <c r="A3069" t="s">
        <v>4664</v>
      </c>
      <c r="B3069" t="str">
        <f>"002386"</f>
        <v>002386</v>
      </c>
      <c r="C3069" t="s">
        <v>6477</v>
      </c>
      <c r="D3069" t="s">
        <v>175</v>
      </c>
      <c r="F3069">
        <v>22.070900000000002</v>
      </c>
      <c r="G3069">
        <v>15.3492</v>
      </c>
      <c r="H3069">
        <v>11.162800000000001</v>
      </c>
      <c r="I3069">
        <v>15.4909</v>
      </c>
      <c r="J3069">
        <v>18.593800000000002</v>
      </c>
      <c r="K3069">
        <v>19.066099999999999</v>
      </c>
      <c r="L3069">
        <v>34.063099999999999</v>
      </c>
      <c r="M3069">
        <v>39.491500000000002</v>
      </c>
      <c r="N3069">
        <v>41.74</v>
      </c>
      <c r="O3069">
        <v>74.200299999999999</v>
      </c>
      <c r="P3069">
        <v>143</v>
      </c>
      <c r="Q3069" t="s">
        <v>6478</v>
      </c>
    </row>
    <row r="3070" spans="1:17" x14ac:dyDescent="0.3">
      <c r="A3070" t="s">
        <v>4664</v>
      </c>
      <c r="B3070" t="str">
        <f>"002387"</f>
        <v>002387</v>
      </c>
      <c r="C3070" t="s">
        <v>6479</v>
      </c>
      <c r="D3070" t="s">
        <v>1117</v>
      </c>
      <c r="F3070">
        <v>98.419399999999996</v>
      </c>
      <c r="G3070">
        <v>177.98869999999999</v>
      </c>
      <c r="H3070">
        <v>195.096</v>
      </c>
      <c r="I3070">
        <v>177.0762</v>
      </c>
      <c r="J3070">
        <v>0</v>
      </c>
      <c r="K3070">
        <v>82.948999999999998</v>
      </c>
      <c r="L3070">
        <v>129.46799999999999</v>
      </c>
      <c r="M3070">
        <v>197.7193</v>
      </c>
      <c r="N3070">
        <v>200.0215</v>
      </c>
      <c r="O3070">
        <v>148.006</v>
      </c>
      <c r="P3070">
        <v>274</v>
      </c>
      <c r="Q3070" t="s">
        <v>6480</v>
      </c>
    </row>
    <row r="3071" spans="1:17" x14ac:dyDescent="0.3">
      <c r="A3071" t="s">
        <v>4664</v>
      </c>
      <c r="B3071" t="str">
        <f>"002388"</f>
        <v>002388</v>
      </c>
      <c r="C3071" t="s">
        <v>6481</v>
      </c>
      <c r="D3071" t="s">
        <v>651</v>
      </c>
      <c r="F3071">
        <v>86.862899999999996</v>
      </c>
      <c r="G3071">
        <v>117.6138</v>
      </c>
      <c r="H3071">
        <v>121.13379999999999</v>
      </c>
      <c r="I3071">
        <v>129.95169999999999</v>
      </c>
      <c r="J3071">
        <v>90.758899999999997</v>
      </c>
      <c r="K3071">
        <v>88.378399999999999</v>
      </c>
      <c r="L3071">
        <v>86.2988</v>
      </c>
      <c r="M3071">
        <v>89.468400000000003</v>
      </c>
      <c r="N3071">
        <v>128.71209999999999</v>
      </c>
      <c r="O3071">
        <v>92.851799999999997</v>
      </c>
      <c r="P3071">
        <v>148</v>
      </c>
      <c r="Q3071" t="s">
        <v>6482</v>
      </c>
    </row>
    <row r="3072" spans="1:17" x14ac:dyDescent="0.3">
      <c r="A3072" t="s">
        <v>4664</v>
      </c>
      <c r="B3072" t="str">
        <f>"002389"</f>
        <v>002389</v>
      </c>
      <c r="C3072" t="s">
        <v>6483</v>
      </c>
      <c r="D3072" t="s">
        <v>98</v>
      </c>
      <c r="F3072">
        <v>184.55340000000001</v>
      </c>
      <c r="G3072">
        <v>148.46109999999999</v>
      </c>
      <c r="H3072">
        <v>171.80160000000001</v>
      </c>
      <c r="I3072">
        <v>158.39769999999999</v>
      </c>
      <c r="J3072">
        <v>90.450500000000005</v>
      </c>
      <c r="K3072">
        <v>132.99209999999999</v>
      </c>
      <c r="L3072">
        <v>131.0463</v>
      </c>
      <c r="M3072">
        <v>124.0919</v>
      </c>
      <c r="N3072">
        <v>122.584</v>
      </c>
      <c r="O3072">
        <v>115.761</v>
      </c>
      <c r="P3072">
        <v>435</v>
      </c>
      <c r="Q3072" t="s">
        <v>6484</v>
      </c>
    </row>
    <row r="3073" spans="1:17" x14ac:dyDescent="0.3">
      <c r="A3073" t="s">
        <v>4664</v>
      </c>
      <c r="B3073" t="str">
        <f>"002390"</f>
        <v>002390</v>
      </c>
      <c r="C3073" t="s">
        <v>6485</v>
      </c>
      <c r="D3073" t="s">
        <v>188</v>
      </c>
      <c r="F3073">
        <v>86.580399999999997</v>
      </c>
      <c r="G3073">
        <v>97.050299999999993</v>
      </c>
      <c r="H3073">
        <v>91.950999999999993</v>
      </c>
      <c r="I3073">
        <v>80.044799999999995</v>
      </c>
      <c r="J3073">
        <v>71.872500000000002</v>
      </c>
      <c r="K3073">
        <v>90.315299999999993</v>
      </c>
      <c r="L3073">
        <v>95.004800000000003</v>
      </c>
      <c r="M3073">
        <v>148.428</v>
      </c>
      <c r="N3073">
        <v>553.31640000000004</v>
      </c>
      <c r="O3073">
        <v>482.47539999999998</v>
      </c>
      <c r="P3073">
        <v>272</v>
      </c>
      <c r="Q3073" t="s">
        <v>6486</v>
      </c>
    </row>
    <row r="3074" spans="1:17" x14ac:dyDescent="0.3">
      <c r="A3074" t="s">
        <v>4664</v>
      </c>
      <c r="B3074" t="str">
        <f>"002391"</f>
        <v>002391</v>
      </c>
      <c r="C3074" t="s">
        <v>6487</v>
      </c>
      <c r="D3074" t="s">
        <v>853</v>
      </c>
      <c r="F3074">
        <v>209.0282</v>
      </c>
      <c r="G3074">
        <v>204.0498</v>
      </c>
      <c r="H3074">
        <v>166.15450000000001</v>
      </c>
      <c r="I3074">
        <v>161.0138</v>
      </c>
      <c r="J3074">
        <v>212.50470000000001</v>
      </c>
      <c r="K3074">
        <v>204.62620000000001</v>
      </c>
      <c r="L3074">
        <v>182.1557</v>
      </c>
      <c r="M3074">
        <v>150.95359999999999</v>
      </c>
      <c r="N3074">
        <v>149.07310000000001</v>
      </c>
      <c r="O3074">
        <v>164.05860000000001</v>
      </c>
      <c r="P3074">
        <v>192</v>
      </c>
      <c r="Q3074" t="s">
        <v>6488</v>
      </c>
    </row>
    <row r="3075" spans="1:17" x14ac:dyDescent="0.3">
      <c r="A3075" t="s">
        <v>4664</v>
      </c>
      <c r="B3075" t="str">
        <f>"002392"</f>
        <v>002392</v>
      </c>
      <c r="C3075" t="s">
        <v>6489</v>
      </c>
      <c r="D3075" t="s">
        <v>5835</v>
      </c>
      <c r="F3075">
        <v>119.4451</v>
      </c>
      <c r="G3075">
        <v>110.56140000000001</v>
      </c>
      <c r="H3075">
        <v>155.4479</v>
      </c>
      <c r="I3075">
        <v>155.68119999999999</v>
      </c>
      <c r="J3075">
        <v>195.95679999999999</v>
      </c>
      <c r="K3075">
        <v>196.46629999999999</v>
      </c>
      <c r="L3075">
        <v>203.4144</v>
      </c>
      <c r="M3075">
        <v>161.71469999999999</v>
      </c>
      <c r="N3075">
        <v>180.35329999999999</v>
      </c>
      <c r="O3075">
        <v>170.07300000000001</v>
      </c>
      <c r="P3075">
        <v>142</v>
      </c>
      <c r="Q3075" t="s">
        <v>6490</v>
      </c>
    </row>
    <row r="3076" spans="1:17" x14ac:dyDescent="0.3">
      <c r="A3076" t="s">
        <v>4664</v>
      </c>
      <c r="B3076" t="str">
        <f>"002393"</f>
        <v>002393</v>
      </c>
      <c r="C3076" t="s">
        <v>6491</v>
      </c>
      <c r="D3076" t="s">
        <v>143</v>
      </c>
      <c r="F3076">
        <v>240.49879999999999</v>
      </c>
      <c r="G3076">
        <v>260.36590000000001</v>
      </c>
      <c r="H3076">
        <v>289.4667</v>
      </c>
      <c r="I3076">
        <v>313.41320000000002</v>
      </c>
      <c r="J3076">
        <v>318.87580000000003</v>
      </c>
      <c r="K3076">
        <v>258.67450000000002</v>
      </c>
      <c r="L3076">
        <v>272.30919999999998</v>
      </c>
      <c r="M3076">
        <v>276.79379999999998</v>
      </c>
      <c r="N3076">
        <v>269.73790000000002</v>
      </c>
      <c r="O3076">
        <v>171.6694</v>
      </c>
      <c r="P3076">
        <v>153</v>
      </c>
      <c r="Q3076" t="s">
        <v>6492</v>
      </c>
    </row>
    <row r="3077" spans="1:17" x14ac:dyDescent="0.3">
      <c r="A3077" t="s">
        <v>4664</v>
      </c>
      <c r="B3077" t="str">
        <f>"002394"</f>
        <v>002394</v>
      </c>
      <c r="C3077" t="s">
        <v>6493</v>
      </c>
      <c r="D3077" t="s">
        <v>1009</v>
      </c>
      <c r="F3077">
        <v>85.070599999999999</v>
      </c>
      <c r="G3077">
        <v>112.2509</v>
      </c>
      <c r="H3077">
        <v>107.199</v>
      </c>
      <c r="I3077">
        <v>96.660899999999998</v>
      </c>
      <c r="J3077">
        <v>99.833299999999994</v>
      </c>
      <c r="K3077">
        <v>89.592299999999994</v>
      </c>
      <c r="L3077">
        <v>87.802300000000002</v>
      </c>
      <c r="M3077">
        <v>99.505600000000001</v>
      </c>
      <c r="N3077">
        <v>109.0579</v>
      </c>
      <c r="O3077">
        <v>103.0226</v>
      </c>
      <c r="P3077">
        <v>673</v>
      </c>
      <c r="Q3077" t="s">
        <v>6494</v>
      </c>
    </row>
    <row r="3078" spans="1:17" x14ac:dyDescent="0.3">
      <c r="A3078" t="s">
        <v>4664</v>
      </c>
      <c r="B3078" t="str">
        <f>"002395"</f>
        <v>002395</v>
      </c>
      <c r="C3078" t="s">
        <v>6495</v>
      </c>
      <c r="D3078" t="s">
        <v>3350</v>
      </c>
      <c r="F3078">
        <v>144.63650000000001</v>
      </c>
      <c r="G3078">
        <v>160.56030000000001</v>
      </c>
      <c r="H3078">
        <v>142.29239999999999</v>
      </c>
      <c r="I3078">
        <v>138.9675</v>
      </c>
      <c r="J3078">
        <v>127.1298</v>
      </c>
      <c r="K3078">
        <v>148.386</v>
      </c>
      <c r="L3078">
        <v>184.87039999999999</v>
      </c>
      <c r="M3078">
        <v>204.60040000000001</v>
      </c>
      <c r="N3078">
        <v>259.91379999999998</v>
      </c>
      <c r="O3078">
        <v>271.1943</v>
      </c>
      <c r="P3078">
        <v>59</v>
      </c>
      <c r="Q3078" t="s">
        <v>6496</v>
      </c>
    </row>
    <row r="3079" spans="1:17" x14ac:dyDescent="0.3">
      <c r="A3079" t="s">
        <v>4664</v>
      </c>
      <c r="B3079" t="str">
        <f>"002396"</f>
        <v>002396</v>
      </c>
      <c r="C3079" t="s">
        <v>6497</v>
      </c>
      <c r="D3079" t="s">
        <v>1019</v>
      </c>
      <c r="F3079">
        <v>183.92060000000001</v>
      </c>
      <c r="G3079">
        <v>169.81100000000001</v>
      </c>
      <c r="H3079">
        <v>162.4024</v>
      </c>
      <c r="I3079">
        <v>131.0479</v>
      </c>
      <c r="J3079">
        <v>159.11429999999999</v>
      </c>
      <c r="K3079">
        <v>184.5685</v>
      </c>
      <c r="L3079">
        <v>194.8235</v>
      </c>
      <c r="M3079">
        <v>164.68180000000001</v>
      </c>
      <c r="N3079">
        <v>165.14750000000001</v>
      </c>
      <c r="O3079">
        <v>182.37469999999999</v>
      </c>
      <c r="P3079">
        <v>3694</v>
      </c>
      <c r="Q3079" t="s">
        <v>6498</v>
      </c>
    </row>
    <row r="3080" spans="1:17" x14ac:dyDescent="0.3">
      <c r="A3080" t="s">
        <v>4664</v>
      </c>
      <c r="B3080" t="str">
        <f>"002397"</f>
        <v>002397</v>
      </c>
      <c r="C3080" t="s">
        <v>6499</v>
      </c>
      <c r="D3080" t="s">
        <v>2862</v>
      </c>
      <c r="F3080">
        <v>347.79079999999999</v>
      </c>
      <c r="G3080">
        <v>314.54939999999999</v>
      </c>
      <c r="H3080">
        <v>281.02749999999997</v>
      </c>
      <c r="I3080">
        <v>372.51670000000001</v>
      </c>
      <c r="J3080">
        <v>398.71159999999998</v>
      </c>
      <c r="K3080">
        <v>452.56560000000002</v>
      </c>
      <c r="L3080">
        <v>380.95310000000001</v>
      </c>
      <c r="M3080">
        <v>362.00740000000002</v>
      </c>
      <c r="N3080">
        <v>371.45</v>
      </c>
      <c r="O3080">
        <v>363.18560000000002</v>
      </c>
      <c r="P3080">
        <v>109</v>
      </c>
      <c r="Q3080" t="s">
        <v>6500</v>
      </c>
    </row>
    <row r="3081" spans="1:17" x14ac:dyDescent="0.3">
      <c r="A3081" t="s">
        <v>4664</v>
      </c>
      <c r="B3081" t="str">
        <f>"002398"</f>
        <v>002398</v>
      </c>
      <c r="C3081" t="s">
        <v>6501</v>
      </c>
      <c r="D3081" t="s">
        <v>722</v>
      </c>
      <c r="F3081">
        <v>19.102699999999999</v>
      </c>
      <c r="G3081">
        <v>21.056999999999999</v>
      </c>
      <c r="H3081">
        <v>19.864599999999999</v>
      </c>
      <c r="I3081">
        <v>20.875499999999999</v>
      </c>
      <c r="J3081">
        <v>21.9846</v>
      </c>
      <c r="K3081">
        <v>24.4208</v>
      </c>
      <c r="L3081">
        <v>29.318300000000001</v>
      </c>
      <c r="M3081">
        <v>26.305399999999999</v>
      </c>
      <c r="N3081">
        <v>23.986799999999999</v>
      </c>
      <c r="O3081">
        <v>22.1084</v>
      </c>
      <c r="P3081">
        <v>217</v>
      </c>
      <c r="Q3081" t="s">
        <v>6502</v>
      </c>
    </row>
    <row r="3082" spans="1:17" x14ac:dyDescent="0.3">
      <c r="A3082" t="s">
        <v>4664</v>
      </c>
      <c r="B3082" t="str">
        <f>"002399"</f>
        <v>002399</v>
      </c>
      <c r="C3082" t="s">
        <v>6503</v>
      </c>
      <c r="D3082" t="s">
        <v>496</v>
      </c>
      <c r="F3082">
        <v>415.44110000000001</v>
      </c>
      <c r="G3082">
        <v>478.61579999999998</v>
      </c>
      <c r="H3082">
        <v>330.75170000000003</v>
      </c>
      <c r="I3082">
        <v>217.51910000000001</v>
      </c>
      <c r="J3082">
        <v>198.96799999999999</v>
      </c>
      <c r="K3082">
        <v>186.56370000000001</v>
      </c>
      <c r="L3082">
        <v>255.08160000000001</v>
      </c>
      <c r="M3082">
        <v>286.94110000000001</v>
      </c>
      <c r="N3082">
        <v>234.3449</v>
      </c>
      <c r="O3082">
        <v>180.22919999999999</v>
      </c>
      <c r="P3082">
        <v>285</v>
      </c>
      <c r="Q3082" t="s">
        <v>6504</v>
      </c>
    </row>
    <row r="3083" spans="1:17" x14ac:dyDescent="0.3">
      <c r="A3083" t="s">
        <v>4664</v>
      </c>
      <c r="B3083" t="str">
        <f>"002400"</f>
        <v>002400</v>
      </c>
      <c r="C3083" t="s">
        <v>6505</v>
      </c>
      <c r="D3083" t="s">
        <v>207</v>
      </c>
      <c r="F3083">
        <v>3.9800000000000002E-2</v>
      </c>
      <c r="G3083">
        <v>9.7000000000000003E-3</v>
      </c>
      <c r="H3083">
        <v>5.0799999999999998E-2</v>
      </c>
      <c r="I3083">
        <v>9.2999999999999999E-2</v>
      </c>
      <c r="J3083">
        <v>0.12759999999999999</v>
      </c>
      <c r="K3083">
        <v>0.12</v>
      </c>
      <c r="L3083">
        <v>0.39500000000000002</v>
      </c>
      <c r="M3083">
        <v>0.13880000000000001</v>
      </c>
      <c r="N3083">
        <v>0.16450000000000001</v>
      </c>
      <c r="O3083">
        <v>7.7899999999999997E-2</v>
      </c>
      <c r="P3083">
        <v>328</v>
      </c>
      <c r="Q3083" t="s">
        <v>6506</v>
      </c>
    </row>
    <row r="3084" spans="1:17" x14ac:dyDescent="0.3">
      <c r="A3084" t="s">
        <v>4664</v>
      </c>
      <c r="B3084" t="str">
        <f>"002401"</f>
        <v>002401</v>
      </c>
      <c r="C3084" t="s">
        <v>6507</v>
      </c>
      <c r="D3084" t="s">
        <v>316</v>
      </c>
      <c r="F3084">
        <v>508.44119999999998</v>
      </c>
      <c r="G3084">
        <v>584.37530000000004</v>
      </c>
      <c r="H3084">
        <v>479.30880000000002</v>
      </c>
      <c r="I3084">
        <v>284.69670000000002</v>
      </c>
      <c r="J3084">
        <v>175.97579999999999</v>
      </c>
      <c r="K3084">
        <v>130.69579999999999</v>
      </c>
      <c r="L3084">
        <v>68.846599999999995</v>
      </c>
      <c r="M3084">
        <v>70.328500000000005</v>
      </c>
      <c r="N3084">
        <v>55.701799999999999</v>
      </c>
      <c r="O3084">
        <v>82.032700000000006</v>
      </c>
      <c r="P3084">
        <v>152</v>
      </c>
      <c r="Q3084" t="s">
        <v>6508</v>
      </c>
    </row>
    <row r="3085" spans="1:17" x14ac:dyDescent="0.3">
      <c r="A3085" t="s">
        <v>4664</v>
      </c>
      <c r="B3085" t="str">
        <f>"002402"</f>
        <v>002402</v>
      </c>
      <c r="C3085" t="s">
        <v>6509</v>
      </c>
      <c r="D3085" t="s">
        <v>313</v>
      </c>
      <c r="F3085">
        <v>127.3699</v>
      </c>
      <c r="G3085">
        <v>113.2974</v>
      </c>
      <c r="H3085">
        <v>101.82859999999999</v>
      </c>
      <c r="I3085">
        <v>100.69</v>
      </c>
      <c r="J3085">
        <v>96.390500000000003</v>
      </c>
      <c r="K3085">
        <v>97.001400000000004</v>
      </c>
      <c r="L3085">
        <v>99.923199999999994</v>
      </c>
      <c r="M3085">
        <v>114.2152</v>
      </c>
      <c r="N3085">
        <v>103.2484</v>
      </c>
      <c r="O3085">
        <v>120.6771</v>
      </c>
      <c r="P3085">
        <v>1281</v>
      </c>
      <c r="Q3085" t="s">
        <v>6510</v>
      </c>
    </row>
    <row r="3086" spans="1:17" x14ac:dyDescent="0.3">
      <c r="A3086" t="s">
        <v>4664</v>
      </c>
      <c r="B3086" t="str">
        <f>"002403"</f>
        <v>002403</v>
      </c>
      <c r="C3086" t="s">
        <v>6511</v>
      </c>
      <c r="D3086" t="s">
        <v>5712</v>
      </c>
      <c r="F3086">
        <v>203.6968</v>
      </c>
      <c r="G3086">
        <v>251.08539999999999</v>
      </c>
      <c r="H3086">
        <v>189.43199999999999</v>
      </c>
      <c r="I3086">
        <v>193.751</v>
      </c>
      <c r="J3086">
        <v>173.59739999999999</v>
      </c>
      <c r="K3086">
        <v>165.44810000000001</v>
      </c>
      <c r="L3086">
        <v>184.74189999999999</v>
      </c>
      <c r="M3086">
        <v>195.81049999999999</v>
      </c>
      <c r="N3086">
        <v>203.5153</v>
      </c>
      <c r="O3086">
        <v>220.73929999999999</v>
      </c>
      <c r="P3086">
        <v>151</v>
      </c>
      <c r="Q3086" t="s">
        <v>6512</v>
      </c>
    </row>
    <row r="3087" spans="1:17" x14ac:dyDescent="0.3">
      <c r="A3087" t="s">
        <v>4664</v>
      </c>
      <c r="B3087" t="str">
        <f>"002404"</f>
        <v>002404</v>
      </c>
      <c r="C3087" t="s">
        <v>6513</v>
      </c>
      <c r="D3087" t="s">
        <v>366</v>
      </c>
      <c r="F3087">
        <v>94.300399999999996</v>
      </c>
      <c r="G3087">
        <v>96.694400000000002</v>
      </c>
      <c r="H3087">
        <v>57.502600000000001</v>
      </c>
      <c r="I3087">
        <v>64.884699999999995</v>
      </c>
      <c r="J3087">
        <v>80.6999</v>
      </c>
      <c r="K3087">
        <v>103.9087</v>
      </c>
      <c r="L3087">
        <v>109.66249999999999</v>
      </c>
      <c r="M3087">
        <v>131.0684</v>
      </c>
      <c r="N3087">
        <v>122.96720000000001</v>
      </c>
      <c r="O3087">
        <v>86.114900000000006</v>
      </c>
      <c r="P3087">
        <v>108</v>
      </c>
      <c r="Q3087" t="s">
        <v>6514</v>
      </c>
    </row>
    <row r="3088" spans="1:17" x14ac:dyDescent="0.3">
      <c r="A3088" t="s">
        <v>4664</v>
      </c>
      <c r="B3088" t="str">
        <f>"002405"</f>
        <v>002405</v>
      </c>
      <c r="C3088" t="s">
        <v>6515</v>
      </c>
      <c r="D3088" t="s">
        <v>945</v>
      </c>
      <c r="F3088">
        <v>103.0746</v>
      </c>
      <c r="G3088">
        <v>54.250300000000003</v>
      </c>
      <c r="H3088">
        <v>77.494299999999996</v>
      </c>
      <c r="I3088">
        <v>87.195800000000006</v>
      </c>
      <c r="J3088">
        <v>98.098299999999995</v>
      </c>
      <c r="K3088">
        <v>74.043499999999995</v>
      </c>
      <c r="L3088">
        <v>79.603700000000003</v>
      </c>
      <c r="M3088">
        <v>124.6323</v>
      </c>
      <c r="N3088">
        <v>65.485100000000003</v>
      </c>
      <c r="O3088">
        <v>14.5724</v>
      </c>
      <c r="P3088">
        <v>3861</v>
      </c>
      <c r="Q3088" t="s">
        <v>6516</v>
      </c>
    </row>
    <row r="3089" spans="1:17" x14ac:dyDescent="0.3">
      <c r="A3089" t="s">
        <v>4664</v>
      </c>
      <c r="B3089" t="str">
        <f>"002406"</f>
        <v>002406</v>
      </c>
      <c r="C3089" t="s">
        <v>6517</v>
      </c>
      <c r="D3089" t="s">
        <v>348</v>
      </c>
      <c r="F3089">
        <v>110.4864</v>
      </c>
      <c r="G3089">
        <v>96.348399999999998</v>
      </c>
      <c r="H3089">
        <v>101.8535</v>
      </c>
      <c r="I3089">
        <v>101.8749</v>
      </c>
      <c r="J3089">
        <v>110.2221</v>
      </c>
      <c r="K3089">
        <v>172.97200000000001</v>
      </c>
      <c r="L3089">
        <v>194.2355</v>
      </c>
      <c r="M3089">
        <v>174.53399999999999</v>
      </c>
      <c r="N3089">
        <v>192.13030000000001</v>
      </c>
      <c r="O3089">
        <v>182.11660000000001</v>
      </c>
      <c r="P3089">
        <v>272</v>
      </c>
      <c r="Q3089" t="s">
        <v>6518</v>
      </c>
    </row>
    <row r="3090" spans="1:17" x14ac:dyDescent="0.3">
      <c r="A3090" t="s">
        <v>4664</v>
      </c>
      <c r="B3090" t="str">
        <f>"002407"</f>
        <v>002407</v>
      </c>
      <c r="C3090" t="s">
        <v>6519</v>
      </c>
      <c r="D3090" t="s">
        <v>375</v>
      </c>
      <c r="F3090">
        <v>92.040300000000002</v>
      </c>
      <c r="G3090">
        <v>118.2072</v>
      </c>
      <c r="H3090">
        <v>146.07300000000001</v>
      </c>
      <c r="I3090">
        <v>179.3279</v>
      </c>
      <c r="J3090">
        <v>147.23570000000001</v>
      </c>
      <c r="K3090">
        <v>145.82900000000001</v>
      </c>
      <c r="L3090">
        <v>106.0454</v>
      </c>
      <c r="M3090">
        <v>90.150700000000001</v>
      </c>
      <c r="N3090">
        <v>113.22</v>
      </c>
      <c r="O3090">
        <v>133.67420000000001</v>
      </c>
      <c r="P3090">
        <v>566</v>
      </c>
      <c r="Q3090" t="s">
        <v>6520</v>
      </c>
    </row>
    <row r="3091" spans="1:17" x14ac:dyDescent="0.3">
      <c r="A3091" t="s">
        <v>4664</v>
      </c>
      <c r="B3091" t="str">
        <f>"002408"</f>
        <v>002408</v>
      </c>
      <c r="C3091" t="s">
        <v>6521</v>
      </c>
      <c r="D3091" t="s">
        <v>1615</v>
      </c>
      <c r="F3091">
        <v>15.637499999999999</v>
      </c>
      <c r="G3091">
        <v>22.951599999999999</v>
      </c>
      <c r="H3091">
        <v>12.4229</v>
      </c>
      <c r="I3091">
        <v>20.4925</v>
      </c>
      <c r="J3091">
        <v>24.275500000000001</v>
      </c>
      <c r="K3091">
        <v>78.353700000000003</v>
      </c>
      <c r="L3091">
        <v>61.767200000000003</v>
      </c>
      <c r="M3091">
        <v>54.931399999999996</v>
      </c>
      <c r="N3091">
        <v>57.621400000000001</v>
      </c>
      <c r="O3091">
        <v>33.576700000000002</v>
      </c>
      <c r="P3091">
        <v>317</v>
      </c>
      <c r="Q3091" t="s">
        <v>6522</v>
      </c>
    </row>
    <row r="3092" spans="1:17" x14ac:dyDescent="0.3">
      <c r="A3092" t="s">
        <v>4664</v>
      </c>
      <c r="B3092" t="str">
        <f>"002409"</f>
        <v>002409</v>
      </c>
      <c r="C3092" t="s">
        <v>6523</v>
      </c>
      <c r="D3092" t="s">
        <v>475</v>
      </c>
      <c r="F3092">
        <v>123.3557</v>
      </c>
      <c r="G3092">
        <v>138.84899999999999</v>
      </c>
      <c r="H3092">
        <v>131.72030000000001</v>
      </c>
      <c r="I3092">
        <v>116.5253</v>
      </c>
      <c r="J3092">
        <v>96.643500000000003</v>
      </c>
      <c r="K3092">
        <v>95.651600000000002</v>
      </c>
      <c r="L3092">
        <v>93.658799999999999</v>
      </c>
      <c r="M3092">
        <v>71.257999999999996</v>
      </c>
      <c r="N3092">
        <v>60.86</v>
      </c>
      <c r="O3092">
        <v>55.974800000000002</v>
      </c>
      <c r="P3092">
        <v>496</v>
      </c>
      <c r="Q3092" t="s">
        <v>6524</v>
      </c>
    </row>
    <row r="3093" spans="1:17" x14ac:dyDescent="0.3">
      <c r="A3093" t="s">
        <v>4664</v>
      </c>
      <c r="B3093" t="str">
        <f>"002410"</f>
        <v>002410</v>
      </c>
      <c r="C3093" t="s">
        <v>6525</v>
      </c>
      <c r="D3093" t="s">
        <v>945</v>
      </c>
      <c r="F3093">
        <v>43.175199999999997</v>
      </c>
      <c r="G3093">
        <v>52.344000000000001</v>
      </c>
      <c r="H3093">
        <v>32.338000000000001</v>
      </c>
      <c r="I3093">
        <v>44.102800000000002</v>
      </c>
      <c r="J3093">
        <v>63.218800000000002</v>
      </c>
      <c r="K3093">
        <v>54.822600000000001</v>
      </c>
      <c r="L3093">
        <v>76.004400000000004</v>
      </c>
      <c r="M3093">
        <v>49.871600000000001</v>
      </c>
      <c r="N3093">
        <v>49.8339</v>
      </c>
      <c r="O3093">
        <v>45.825899999999997</v>
      </c>
      <c r="P3093">
        <v>2190</v>
      </c>
      <c r="Q3093" t="s">
        <v>6526</v>
      </c>
    </row>
    <row r="3094" spans="1:17" x14ac:dyDescent="0.3">
      <c r="A3094" t="s">
        <v>4664</v>
      </c>
      <c r="B3094" t="str">
        <f>"002411"</f>
        <v>002411</v>
      </c>
      <c r="C3094" t="s">
        <v>6527</v>
      </c>
      <c r="D3094" t="s">
        <v>125</v>
      </c>
      <c r="F3094">
        <v>75.418199999999999</v>
      </c>
      <c r="G3094">
        <v>77.635300000000001</v>
      </c>
      <c r="H3094">
        <v>49.082000000000001</v>
      </c>
      <c r="I3094">
        <v>55.236400000000003</v>
      </c>
      <c r="J3094">
        <v>67.073999999999998</v>
      </c>
      <c r="K3094">
        <v>80.930599999999998</v>
      </c>
      <c r="L3094">
        <v>98.213999999999999</v>
      </c>
      <c r="M3094">
        <v>69.941999999999993</v>
      </c>
      <c r="N3094">
        <v>65.232200000000006</v>
      </c>
      <c r="O3094">
        <v>54.469799999999999</v>
      </c>
      <c r="P3094">
        <v>244</v>
      </c>
      <c r="Q3094" t="s">
        <v>6528</v>
      </c>
    </row>
    <row r="3095" spans="1:17" x14ac:dyDescent="0.3">
      <c r="A3095" t="s">
        <v>4664</v>
      </c>
      <c r="B3095" t="str">
        <f>"002412"</f>
        <v>002412</v>
      </c>
      <c r="C3095" t="s">
        <v>6529</v>
      </c>
      <c r="D3095" t="s">
        <v>188</v>
      </c>
      <c r="F3095">
        <v>173.56360000000001</v>
      </c>
      <c r="G3095">
        <v>215.06180000000001</v>
      </c>
      <c r="H3095">
        <v>193.7354</v>
      </c>
      <c r="I3095">
        <v>199.88200000000001</v>
      </c>
      <c r="J3095">
        <v>193.62289999999999</v>
      </c>
      <c r="K3095">
        <v>169.8245</v>
      </c>
      <c r="L3095">
        <v>195.5035</v>
      </c>
      <c r="M3095">
        <v>224.46950000000001</v>
      </c>
      <c r="N3095">
        <v>103.1382</v>
      </c>
      <c r="O3095">
        <v>98.079400000000007</v>
      </c>
      <c r="P3095">
        <v>155</v>
      </c>
      <c r="Q3095" t="s">
        <v>6530</v>
      </c>
    </row>
    <row r="3096" spans="1:17" x14ac:dyDescent="0.3">
      <c r="A3096" t="s">
        <v>4664</v>
      </c>
      <c r="B3096" t="str">
        <f>"002413"</f>
        <v>002413</v>
      </c>
      <c r="C3096" t="s">
        <v>6531</v>
      </c>
      <c r="D3096" t="s">
        <v>1136</v>
      </c>
      <c r="F3096">
        <v>505.88549999999998</v>
      </c>
      <c r="G3096">
        <v>531.95060000000001</v>
      </c>
      <c r="H3096">
        <v>458.20350000000002</v>
      </c>
      <c r="I3096">
        <v>405.67009999999999</v>
      </c>
      <c r="J3096">
        <v>492.98669999999998</v>
      </c>
      <c r="K3096">
        <v>357.62939999999998</v>
      </c>
      <c r="L3096">
        <v>87.382199999999997</v>
      </c>
      <c r="M3096">
        <v>75.168300000000002</v>
      </c>
      <c r="N3096">
        <v>84.331599999999995</v>
      </c>
      <c r="O3096">
        <v>110.9633</v>
      </c>
      <c r="P3096">
        <v>218</v>
      </c>
      <c r="Q3096" t="s">
        <v>6532</v>
      </c>
    </row>
    <row r="3097" spans="1:17" x14ac:dyDescent="0.3">
      <c r="A3097" t="s">
        <v>4664</v>
      </c>
      <c r="B3097" t="str">
        <f>"002414"</f>
        <v>002414</v>
      </c>
      <c r="C3097" t="s">
        <v>6533</v>
      </c>
      <c r="D3097" t="s">
        <v>1136</v>
      </c>
      <c r="F3097">
        <v>568.04970000000003</v>
      </c>
      <c r="G3097">
        <v>707.44529999999997</v>
      </c>
      <c r="H3097">
        <v>619.87509999999997</v>
      </c>
      <c r="I3097">
        <v>1338.5191</v>
      </c>
      <c r="J3097">
        <v>1827.1522</v>
      </c>
      <c r="K3097">
        <v>1209.8184000000001</v>
      </c>
      <c r="L3097">
        <v>1084.2258999999999</v>
      </c>
      <c r="M3097">
        <v>1777.1045999999999</v>
      </c>
      <c r="N3097">
        <v>1938.3465000000001</v>
      </c>
      <c r="O3097">
        <v>1992.829</v>
      </c>
      <c r="P3097">
        <v>789</v>
      </c>
      <c r="Q3097" t="s">
        <v>6534</v>
      </c>
    </row>
    <row r="3098" spans="1:17" x14ac:dyDescent="0.3">
      <c r="A3098" t="s">
        <v>4664</v>
      </c>
      <c r="B3098" t="str">
        <f>"002415"</f>
        <v>002415</v>
      </c>
      <c r="C3098" t="s">
        <v>6535</v>
      </c>
      <c r="D3098" t="s">
        <v>2953</v>
      </c>
      <c r="F3098">
        <v>184.08029999999999</v>
      </c>
      <c r="G3098">
        <v>183.68799999999999</v>
      </c>
      <c r="H3098">
        <v>131.34520000000001</v>
      </c>
      <c r="I3098">
        <v>103.79179999999999</v>
      </c>
      <c r="J3098">
        <v>107.758</v>
      </c>
      <c r="K3098">
        <v>104.8599</v>
      </c>
      <c r="L3098">
        <v>90.726500000000001</v>
      </c>
      <c r="M3098">
        <v>122.767</v>
      </c>
      <c r="N3098">
        <v>134.58019999999999</v>
      </c>
      <c r="O3098">
        <v>127.5159</v>
      </c>
      <c r="P3098">
        <v>63223</v>
      </c>
      <c r="Q3098" t="s">
        <v>6536</v>
      </c>
    </row>
    <row r="3099" spans="1:17" x14ac:dyDescent="0.3">
      <c r="A3099" t="s">
        <v>4664</v>
      </c>
      <c r="B3099" t="str">
        <f>"002416"</f>
        <v>002416</v>
      </c>
      <c r="C3099" t="s">
        <v>6537</v>
      </c>
      <c r="D3099" t="s">
        <v>295</v>
      </c>
      <c r="F3099">
        <v>14.677300000000001</v>
      </c>
      <c r="G3099">
        <v>17.997299999999999</v>
      </c>
      <c r="H3099">
        <v>23.627700000000001</v>
      </c>
      <c r="I3099">
        <v>28.890999999999998</v>
      </c>
      <c r="J3099">
        <v>26.861799999999999</v>
      </c>
      <c r="K3099">
        <v>36.768999999999998</v>
      </c>
      <c r="L3099">
        <v>36.107599999999998</v>
      </c>
      <c r="M3099">
        <v>34.683300000000003</v>
      </c>
      <c r="N3099">
        <v>29.811</v>
      </c>
      <c r="O3099">
        <v>51.592399999999998</v>
      </c>
      <c r="P3099">
        <v>251</v>
      </c>
      <c r="Q3099" t="s">
        <v>6538</v>
      </c>
    </row>
    <row r="3100" spans="1:17" x14ac:dyDescent="0.3">
      <c r="A3100" t="s">
        <v>4664</v>
      </c>
      <c r="B3100" t="str">
        <f>"002417"</f>
        <v>002417</v>
      </c>
      <c r="C3100" t="s">
        <v>6539</v>
      </c>
      <c r="D3100" t="s">
        <v>316</v>
      </c>
      <c r="F3100">
        <v>152.96610000000001</v>
      </c>
      <c r="G3100">
        <v>224.8399</v>
      </c>
      <c r="H3100">
        <v>218.50649999999999</v>
      </c>
      <c r="I3100">
        <v>77.579800000000006</v>
      </c>
      <c r="J3100">
        <v>543.43340000000001</v>
      </c>
      <c r="K3100">
        <v>453.08929999999998</v>
      </c>
      <c r="L3100">
        <v>438.47469999999998</v>
      </c>
      <c r="M3100">
        <v>599.14210000000003</v>
      </c>
      <c r="N3100">
        <v>541.00220000000002</v>
      </c>
      <c r="O3100">
        <v>578.3297</v>
      </c>
      <c r="P3100">
        <v>140</v>
      </c>
      <c r="Q3100" t="s">
        <v>6540</v>
      </c>
    </row>
    <row r="3101" spans="1:17" x14ac:dyDescent="0.3">
      <c r="A3101" t="s">
        <v>4664</v>
      </c>
      <c r="B3101" t="str">
        <f>"002418"</f>
        <v>002418</v>
      </c>
      <c r="C3101" t="s">
        <v>6541</v>
      </c>
      <c r="D3101" t="s">
        <v>1253</v>
      </c>
      <c r="F3101">
        <v>54.261200000000002</v>
      </c>
      <c r="G3101">
        <v>70.974000000000004</v>
      </c>
      <c r="H3101">
        <v>137.2559</v>
      </c>
      <c r="I3101">
        <v>77.943100000000001</v>
      </c>
      <c r="J3101">
        <v>64.427000000000007</v>
      </c>
      <c r="K3101">
        <v>65.349699999999999</v>
      </c>
      <c r="L3101">
        <v>65.772800000000004</v>
      </c>
      <c r="M3101">
        <v>75.208500000000001</v>
      </c>
      <c r="N3101">
        <v>112.52509999999999</v>
      </c>
      <c r="O3101">
        <v>111.2638</v>
      </c>
      <c r="P3101">
        <v>94</v>
      </c>
      <c r="Q3101" t="s">
        <v>6542</v>
      </c>
    </row>
    <row r="3102" spans="1:17" x14ac:dyDescent="0.3">
      <c r="A3102" t="s">
        <v>4664</v>
      </c>
      <c r="B3102" t="str">
        <f>"002419"</f>
        <v>002419</v>
      </c>
      <c r="C3102" t="s">
        <v>6543</v>
      </c>
      <c r="D3102" t="s">
        <v>633</v>
      </c>
      <c r="F3102">
        <v>51.607199999999999</v>
      </c>
      <c r="G3102">
        <v>56.331699999999998</v>
      </c>
      <c r="H3102">
        <v>33.751399999999997</v>
      </c>
      <c r="I3102">
        <v>46.656300000000002</v>
      </c>
      <c r="J3102">
        <v>60.278100000000002</v>
      </c>
      <c r="K3102">
        <v>42.2239</v>
      </c>
      <c r="L3102">
        <v>58.618000000000002</v>
      </c>
      <c r="M3102">
        <v>43.381100000000004</v>
      </c>
      <c r="N3102">
        <v>18.281700000000001</v>
      </c>
      <c r="O3102">
        <v>18.939499999999999</v>
      </c>
      <c r="P3102">
        <v>421</v>
      </c>
      <c r="Q3102" t="s">
        <v>6544</v>
      </c>
    </row>
    <row r="3103" spans="1:17" x14ac:dyDescent="0.3">
      <c r="A3103" t="s">
        <v>4664</v>
      </c>
      <c r="B3103" t="str">
        <f>"002420"</f>
        <v>002420</v>
      </c>
      <c r="C3103" t="s">
        <v>6545</v>
      </c>
      <c r="D3103" t="s">
        <v>1253</v>
      </c>
      <c r="F3103">
        <v>49.285499999999999</v>
      </c>
      <c r="G3103">
        <v>73.403099999999995</v>
      </c>
      <c r="H3103">
        <v>75.255799999999994</v>
      </c>
      <c r="I3103">
        <v>85.195899999999995</v>
      </c>
      <c r="J3103">
        <v>102.2718</v>
      </c>
      <c r="K3103">
        <v>93.385400000000004</v>
      </c>
      <c r="L3103">
        <v>93.124799999999993</v>
      </c>
      <c r="M3103">
        <v>85.260300000000001</v>
      </c>
      <c r="N3103">
        <v>109.1228</v>
      </c>
      <c r="O3103">
        <v>138.33250000000001</v>
      </c>
      <c r="P3103">
        <v>82</v>
      </c>
      <c r="Q3103" t="s">
        <v>6546</v>
      </c>
    </row>
    <row r="3104" spans="1:17" x14ac:dyDescent="0.3">
      <c r="A3104" t="s">
        <v>4664</v>
      </c>
      <c r="B3104" t="str">
        <f>"002421"</f>
        <v>002421</v>
      </c>
      <c r="C3104" t="s">
        <v>6547</v>
      </c>
      <c r="D3104" t="s">
        <v>316</v>
      </c>
      <c r="F3104">
        <v>107.7932</v>
      </c>
      <c r="G3104">
        <v>115.3454</v>
      </c>
      <c r="H3104">
        <v>123.13890000000001</v>
      </c>
      <c r="I3104">
        <v>89.143100000000004</v>
      </c>
      <c r="J3104">
        <v>84.651300000000006</v>
      </c>
      <c r="K3104">
        <v>92.035799999999995</v>
      </c>
      <c r="L3104">
        <v>115.8368</v>
      </c>
      <c r="M3104">
        <v>136.22059999999999</v>
      </c>
      <c r="N3104">
        <v>113.87350000000001</v>
      </c>
      <c r="O3104">
        <v>121.3413</v>
      </c>
      <c r="P3104">
        <v>199</v>
      </c>
      <c r="Q3104" t="s">
        <v>6548</v>
      </c>
    </row>
    <row r="3105" spans="1:17" x14ac:dyDescent="0.3">
      <c r="A3105" t="s">
        <v>4664</v>
      </c>
      <c r="B3105" t="str">
        <f>"002422"</f>
        <v>002422</v>
      </c>
      <c r="C3105" t="s">
        <v>6549</v>
      </c>
      <c r="D3105" t="s">
        <v>143</v>
      </c>
      <c r="F3105">
        <v>216.38640000000001</v>
      </c>
      <c r="G3105">
        <v>225.7826</v>
      </c>
      <c r="H3105">
        <v>204.6046</v>
      </c>
      <c r="I3105">
        <v>171.30340000000001</v>
      </c>
      <c r="J3105">
        <v>178.81299999999999</v>
      </c>
      <c r="K3105">
        <v>201.53100000000001</v>
      </c>
      <c r="L3105">
        <v>214.9119</v>
      </c>
      <c r="M3105">
        <v>185.70150000000001</v>
      </c>
      <c r="N3105">
        <v>194.5033</v>
      </c>
      <c r="O3105">
        <v>165.8167</v>
      </c>
      <c r="P3105">
        <v>927</v>
      </c>
      <c r="Q3105" t="s">
        <v>6550</v>
      </c>
    </row>
    <row r="3106" spans="1:17" x14ac:dyDescent="0.3">
      <c r="A3106" t="s">
        <v>4664</v>
      </c>
      <c r="B3106" t="str">
        <f>"002423"</f>
        <v>002423</v>
      </c>
      <c r="C3106" t="s">
        <v>6551</v>
      </c>
      <c r="D3106" t="s">
        <v>140</v>
      </c>
      <c r="F3106">
        <v>0</v>
      </c>
      <c r="G3106">
        <v>0</v>
      </c>
      <c r="H3106">
        <v>216.8193</v>
      </c>
      <c r="I3106">
        <v>193.5556</v>
      </c>
      <c r="J3106">
        <v>199.4888</v>
      </c>
      <c r="K3106">
        <v>211.958</v>
      </c>
      <c r="L3106">
        <v>201.2132</v>
      </c>
      <c r="M3106">
        <v>182.15299999999999</v>
      </c>
      <c r="N3106">
        <v>164.73249999999999</v>
      </c>
      <c r="O3106">
        <v>127.3211</v>
      </c>
      <c r="P3106">
        <v>145</v>
      </c>
      <c r="Q3106" t="s">
        <v>6552</v>
      </c>
    </row>
    <row r="3107" spans="1:17" x14ac:dyDescent="0.3">
      <c r="A3107" t="s">
        <v>4664</v>
      </c>
      <c r="B3107" t="str">
        <f>"002424"</f>
        <v>002424</v>
      </c>
      <c r="C3107" t="s">
        <v>6553</v>
      </c>
      <c r="D3107" t="s">
        <v>188</v>
      </c>
      <c r="F3107">
        <v>414.2955</v>
      </c>
      <c r="G3107">
        <v>452.34829999999999</v>
      </c>
      <c r="H3107">
        <v>415.97120000000001</v>
      </c>
      <c r="I3107">
        <v>436.44639999999998</v>
      </c>
      <c r="J3107">
        <v>400.78629999999998</v>
      </c>
      <c r="K3107">
        <v>412.94319999999999</v>
      </c>
      <c r="L3107">
        <v>553.61239999999998</v>
      </c>
      <c r="M3107">
        <v>682.32050000000004</v>
      </c>
      <c r="N3107">
        <v>723.6404</v>
      </c>
      <c r="O3107">
        <v>696.02719999999999</v>
      </c>
      <c r="P3107">
        <v>472</v>
      </c>
      <c r="Q3107" t="s">
        <v>6554</v>
      </c>
    </row>
    <row r="3108" spans="1:17" x14ac:dyDescent="0.3">
      <c r="A3108" t="s">
        <v>4664</v>
      </c>
      <c r="B3108" t="str">
        <f>"002425"</f>
        <v>002425</v>
      </c>
      <c r="C3108" t="s">
        <v>6555</v>
      </c>
      <c r="D3108" t="s">
        <v>517</v>
      </c>
      <c r="F3108">
        <v>0</v>
      </c>
      <c r="G3108">
        <v>44.383899999999997</v>
      </c>
      <c r="H3108">
        <v>145.70189999999999</v>
      </c>
      <c r="I3108">
        <v>246.77719999999999</v>
      </c>
      <c r="J3108">
        <v>521.28070000000002</v>
      </c>
      <c r="K3108">
        <v>913.64469999999994</v>
      </c>
      <c r="L3108">
        <v>440.22570000000002</v>
      </c>
      <c r="M3108">
        <v>680.2518</v>
      </c>
      <c r="N3108">
        <v>833.351</v>
      </c>
      <c r="O3108">
        <v>851.0086</v>
      </c>
      <c r="P3108">
        <v>257</v>
      </c>
      <c r="Q3108" t="s">
        <v>6556</v>
      </c>
    </row>
    <row r="3109" spans="1:17" x14ac:dyDescent="0.3">
      <c r="A3109" t="s">
        <v>4664</v>
      </c>
      <c r="B3109" t="str">
        <f>"002426"</f>
        <v>002426</v>
      </c>
      <c r="C3109" t="s">
        <v>6557</v>
      </c>
      <c r="D3109" t="s">
        <v>274</v>
      </c>
      <c r="F3109">
        <v>162.54400000000001</v>
      </c>
      <c r="G3109">
        <v>127.77719999999999</v>
      </c>
      <c r="H3109">
        <v>102.43040000000001</v>
      </c>
      <c r="I3109">
        <v>75.164599999999993</v>
      </c>
      <c r="J3109">
        <v>62.193899999999999</v>
      </c>
      <c r="K3109">
        <v>54.920499999999997</v>
      </c>
      <c r="L3109">
        <v>92.6477</v>
      </c>
      <c r="M3109">
        <v>95.085099999999997</v>
      </c>
      <c r="N3109">
        <v>91.68</v>
      </c>
      <c r="O3109">
        <v>98.758499999999998</v>
      </c>
      <c r="P3109">
        <v>207</v>
      </c>
      <c r="Q3109" t="s">
        <v>6558</v>
      </c>
    </row>
    <row r="3110" spans="1:17" x14ac:dyDescent="0.3">
      <c r="A3110" t="s">
        <v>4664</v>
      </c>
      <c r="B3110" t="str">
        <f>"002427"</f>
        <v>002427</v>
      </c>
      <c r="C3110" t="s">
        <v>6559</v>
      </c>
      <c r="D3110" t="s">
        <v>2708</v>
      </c>
      <c r="F3110">
        <v>49.184699999999999</v>
      </c>
      <c r="G3110">
        <v>58.917000000000002</v>
      </c>
      <c r="H3110">
        <v>73.593000000000004</v>
      </c>
      <c r="I3110">
        <v>73.619399999999999</v>
      </c>
      <c r="J3110">
        <v>46.676200000000001</v>
      </c>
      <c r="K3110">
        <v>85.831000000000003</v>
      </c>
      <c r="L3110">
        <v>108.2182</v>
      </c>
      <c r="M3110">
        <v>81.283199999999994</v>
      </c>
      <c r="N3110">
        <v>102.5326</v>
      </c>
      <c r="O3110">
        <v>95.305099999999996</v>
      </c>
      <c r="P3110">
        <v>82</v>
      </c>
      <c r="Q3110" t="s">
        <v>6560</v>
      </c>
    </row>
    <row r="3111" spans="1:17" x14ac:dyDescent="0.3">
      <c r="A3111" t="s">
        <v>4664</v>
      </c>
      <c r="B3111" t="str">
        <f>"002428"</f>
        <v>002428</v>
      </c>
      <c r="C3111" t="s">
        <v>6561</v>
      </c>
      <c r="D3111" t="s">
        <v>636</v>
      </c>
      <c r="F3111">
        <v>451.71519999999998</v>
      </c>
      <c r="G3111">
        <v>312.37810000000002</v>
      </c>
      <c r="H3111">
        <v>410.82560000000001</v>
      </c>
      <c r="I3111">
        <v>317.51</v>
      </c>
      <c r="J3111">
        <v>312.86250000000001</v>
      </c>
      <c r="K3111">
        <v>410.09160000000003</v>
      </c>
      <c r="L3111">
        <v>460.11720000000003</v>
      </c>
      <c r="M3111">
        <v>243.18459999999999</v>
      </c>
      <c r="N3111">
        <v>161.98570000000001</v>
      </c>
      <c r="O3111">
        <v>353.17360000000002</v>
      </c>
      <c r="P3111">
        <v>186</v>
      </c>
      <c r="Q3111" t="s">
        <v>6562</v>
      </c>
    </row>
    <row r="3112" spans="1:17" x14ac:dyDescent="0.3">
      <c r="A3112" t="s">
        <v>4664</v>
      </c>
      <c r="B3112" t="str">
        <f>"002429"</f>
        <v>002429</v>
      </c>
      <c r="C3112" t="s">
        <v>6563</v>
      </c>
      <c r="D3112" t="s">
        <v>137</v>
      </c>
      <c r="F3112">
        <v>53.843200000000003</v>
      </c>
      <c r="G3112">
        <v>74.827699999999993</v>
      </c>
      <c r="H3112">
        <v>69.960899999999995</v>
      </c>
      <c r="I3112">
        <v>79.505300000000005</v>
      </c>
      <c r="J3112">
        <v>88.2393</v>
      </c>
      <c r="K3112">
        <v>92.668099999999995</v>
      </c>
      <c r="L3112">
        <v>91.144599999999997</v>
      </c>
      <c r="M3112">
        <v>72.352199999999996</v>
      </c>
      <c r="N3112">
        <v>84.357699999999994</v>
      </c>
      <c r="O3112">
        <v>65.318200000000004</v>
      </c>
      <c r="P3112">
        <v>454</v>
      </c>
      <c r="Q3112" t="s">
        <v>6564</v>
      </c>
    </row>
    <row r="3113" spans="1:17" x14ac:dyDescent="0.3">
      <c r="A3113" t="s">
        <v>4664</v>
      </c>
      <c r="B3113" t="str">
        <f>"002430"</f>
        <v>002430</v>
      </c>
      <c r="C3113" t="s">
        <v>6565</v>
      </c>
      <c r="D3113" t="s">
        <v>741</v>
      </c>
      <c r="F3113">
        <v>116.04649999999999</v>
      </c>
      <c r="G3113">
        <v>115.1756</v>
      </c>
      <c r="H3113">
        <v>105.5718</v>
      </c>
      <c r="I3113">
        <v>84.575199999999995</v>
      </c>
      <c r="J3113">
        <v>84.228300000000004</v>
      </c>
      <c r="K3113">
        <v>97.876400000000004</v>
      </c>
      <c r="L3113">
        <v>89.465900000000005</v>
      </c>
      <c r="M3113">
        <v>96.229500000000002</v>
      </c>
      <c r="N3113">
        <v>106.9873</v>
      </c>
      <c r="O3113">
        <v>124.8325</v>
      </c>
      <c r="P3113">
        <v>395</v>
      </c>
      <c r="Q3113" t="s">
        <v>6566</v>
      </c>
    </row>
    <row r="3114" spans="1:17" x14ac:dyDescent="0.3">
      <c r="A3114" t="s">
        <v>4664</v>
      </c>
      <c r="B3114" t="str">
        <f>"002431"</f>
        <v>002431</v>
      </c>
      <c r="C3114" t="s">
        <v>6567</v>
      </c>
      <c r="D3114" t="s">
        <v>2408</v>
      </c>
      <c r="F3114">
        <v>121.8212</v>
      </c>
      <c r="G3114">
        <v>415.10320000000002</v>
      </c>
      <c r="H3114">
        <v>1497.2152000000001</v>
      </c>
      <c r="I3114">
        <v>692.63419999999996</v>
      </c>
      <c r="J3114">
        <v>697.89949999999999</v>
      </c>
      <c r="K3114">
        <v>868.17729999999995</v>
      </c>
      <c r="L3114">
        <v>732.68420000000003</v>
      </c>
      <c r="M3114">
        <v>569.77139999999997</v>
      </c>
      <c r="N3114">
        <v>449.49930000000001</v>
      </c>
      <c r="O3114">
        <v>357.90109999999999</v>
      </c>
      <c r="P3114">
        <v>124</v>
      </c>
      <c r="Q3114" t="s">
        <v>6568</v>
      </c>
    </row>
    <row r="3115" spans="1:17" x14ac:dyDescent="0.3">
      <c r="A3115" t="s">
        <v>4664</v>
      </c>
      <c r="B3115" t="str">
        <f>"002432"</f>
        <v>002432</v>
      </c>
      <c r="C3115" t="s">
        <v>6569</v>
      </c>
      <c r="D3115" t="s">
        <v>122</v>
      </c>
      <c r="F3115">
        <v>210.5282</v>
      </c>
      <c r="G3115">
        <v>135.86779999999999</v>
      </c>
      <c r="H3115">
        <v>232.22460000000001</v>
      </c>
      <c r="I3115">
        <v>278.95299999999997</v>
      </c>
      <c r="J3115">
        <v>253.30179999999999</v>
      </c>
      <c r="K3115">
        <v>398.98509999999999</v>
      </c>
      <c r="L3115">
        <v>460.00130000000001</v>
      </c>
      <c r="M3115">
        <v>329.95530000000002</v>
      </c>
      <c r="N3115">
        <v>266.77589999999998</v>
      </c>
      <c r="O3115">
        <v>335.995</v>
      </c>
      <c r="P3115">
        <v>281</v>
      </c>
      <c r="Q3115" t="s">
        <v>6570</v>
      </c>
    </row>
    <row r="3116" spans="1:17" x14ac:dyDescent="0.3">
      <c r="A3116" t="s">
        <v>4664</v>
      </c>
      <c r="B3116" t="str">
        <f>"002433"</f>
        <v>002433</v>
      </c>
      <c r="C3116" t="s">
        <v>6571</v>
      </c>
      <c r="D3116" t="s">
        <v>188</v>
      </c>
      <c r="F3116">
        <v>1043.9314999999999</v>
      </c>
      <c r="G3116">
        <v>582.2242</v>
      </c>
      <c r="H3116">
        <v>451.63350000000003</v>
      </c>
      <c r="I3116">
        <v>722.33519999999999</v>
      </c>
      <c r="J3116">
        <v>695.46029999999996</v>
      </c>
      <c r="K3116">
        <v>718.60720000000003</v>
      </c>
      <c r="L3116">
        <v>537.73329999999999</v>
      </c>
      <c r="M3116">
        <v>511.7072</v>
      </c>
      <c r="N3116">
        <v>524.86260000000004</v>
      </c>
      <c r="O3116">
        <v>574.83550000000002</v>
      </c>
      <c r="P3116">
        <v>235</v>
      </c>
      <c r="Q3116" t="s">
        <v>6572</v>
      </c>
    </row>
    <row r="3117" spans="1:17" x14ac:dyDescent="0.3">
      <c r="A3117" t="s">
        <v>4664</v>
      </c>
      <c r="B3117" t="str">
        <f>"002434"</f>
        <v>002434</v>
      </c>
      <c r="C3117" t="s">
        <v>6573</v>
      </c>
      <c r="D3117" t="s">
        <v>348</v>
      </c>
      <c r="F3117">
        <v>96.289199999999994</v>
      </c>
      <c r="G3117">
        <v>90.349000000000004</v>
      </c>
      <c r="H3117">
        <v>114.8082</v>
      </c>
      <c r="I3117">
        <v>125.5736</v>
      </c>
      <c r="J3117">
        <v>117.06959999999999</v>
      </c>
      <c r="K3117">
        <v>145.0119</v>
      </c>
      <c r="L3117">
        <v>170.2201</v>
      </c>
      <c r="M3117">
        <v>180.02600000000001</v>
      </c>
      <c r="N3117">
        <v>155.6551</v>
      </c>
      <c r="O3117">
        <v>152.73689999999999</v>
      </c>
      <c r="P3117">
        <v>238</v>
      </c>
      <c r="Q3117" t="s">
        <v>6574</v>
      </c>
    </row>
    <row r="3118" spans="1:17" x14ac:dyDescent="0.3">
      <c r="A3118" t="s">
        <v>4664</v>
      </c>
      <c r="B3118" t="str">
        <f>"002435"</f>
        <v>002435</v>
      </c>
      <c r="C3118" t="s">
        <v>6575</v>
      </c>
      <c r="D3118" t="s">
        <v>143</v>
      </c>
      <c r="F3118">
        <v>146.94839999999999</v>
      </c>
      <c r="G3118">
        <v>204.4375</v>
      </c>
      <c r="H3118">
        <v>181.17840000000001</v>
      </c>
      <c r="I3118">
        <v>169.9196</v>
      </c>
      <c r="J3118">
        <v>135.01429999999999</v>
      </c>
      <c r="K3118">
        <v>100.3429</v>
      </c>
      <c r="L3118">
        <v>113.02249999999999</v>
      </c>
      <c r="M3118">
        <v>114.30419999999999</v>
      </c>
      <c r="N3118">
        <v>104.21420000000001</v>
      </c>
      <c r="O3118">
        <v>127.5907</v>
      </c>
      <c r="P3118">
        <v>139</v>
      </c>
      <c r="Q3118" t="s">
        <v>6576</v>
      </c>
    </row>
    <row r="3119" spans="1:17" x14ac:dyDescent="0.3">
      <c r="A3119" t="s">
        <v>4664</v>
      </c>
      <c r="B3119" t="str">
        <f>"002436"</f>
        <v>002436</v>
      </c>
      <c r="C3119" t="s">
        <v>6577</v>
      </c>
      <c r="D3119" t="s">
        <v>425</v>
      </c>
      <c r="F3119">
        <v>74.56</v>
      </c>
      <c r="G3119">
        <v>65.415999999999997</v>
      </c>
      <c r="H3119">
        <v>71.860200000000006</v>
      </c>
      <c r="I3119">
        <v>71.687100000000001</v>
      </c>
      <c r="J3119">
        <v>61.266399999999997</v>
      </c>
      <c r="K3119">
        <v>54.450200000000002</v>
      </c>
      <c r="L3119">
        <v>52.607700000000001</v>
      </c>
      <c r="M3119">
        <v>50.506900000000002</v>
      </c>
      <c r="N3119">
        <v>43.976300000000002</v>
      </c>
      <c r="O3119">
        <v>28.364899999999999</v>
      </c>
      <c r="P3119">
        <v>563</v>
      </c>
      <c r="Q3119" t="s">
        <v>6578</v>
      </c>
    </row>
    <row r="3120" spans="1:17" x14ac:dyDescent="0.3">
      <c r="A3120" t="s">
        <v>4664</v>
      </c>
      <c r="B3120" t="str">
        <f>"002437"</f>
        <v>002437</v>
      </c>
      <c r="C3120" t="s">
        <v>6579</v>
      </c>
      <c r="D3120" t="s">
        <v>143</v>
      </c>
      <c r="F3120">
        <v>249.96250000000001</v>
      </c>
      <c r="G3120">
        <v>290.28480000000002</v>
      </c>
      <c r="H3120">
        <v>150.46639999999999</v>
      </c>
      <c r="I3120">
        <v>162.03100000000001</v>
      </c>
      <c r="J3120">
        <v>161.14420000000001</v>
      </c>
      <c r="K3120">
        <v>123.0992</v>
      </c>
      <c r="L3120">
        <v>108.55459999999999</v>
      </c>
      <c r="M3120">
        <v>105.6575</v>
      </c>
      <c r="N3120">
        <v>175.9965</v>
      </c>
      <c r="O3120">
        <v>155.30009999999999</v>
      </c>
      <c r="P3120">
        <v>189</v>
      </c>
      <c r="Q3120" t="s">
        <v>6580</v>
      </c>
    </row>
    <row r="3121" spans="1:17" x14ac:dyDescent="0.3">
      <c r="A3121" t="s">
        <v>4664</v>
      </c>
      <c r="B3121" t="str">
        <f>"002438"</f>
        <v>002438</v>
      </c>
      <c r="C3121" t="s">
        <v>6581</v>
      </c>
      <c r="D3121" t="s">
        <v>274</v>
      </c>
      <c r="F3121">
        <v>260.33760000000001</v>
      </c>
      <c r="G3121">
        <v>364.31540000000001</v>
      </c>
      <c r="H3121">
        <v>372.79739999999998</v>
      </c>
      <c r="I3121">
        <v>374.94540000000001</v>
      </c>
      <c r="J3121">
        <v>477.30840000000001</v>
      </c>
      <c r="K3121">
        <v>447.3492</v>
      </c>
      <c r="L3121">
        <v>493.35890000000001</v>
      </c>
      <c r="M3121">
        <v>373.03809999999999</v>
      </c>
      <c r="N3121">
        <v>377.11880000000002</v>
      </c>
      <c r="O3121">
        <v>350.95359999999999</v>
      </c>
      <c r="P3121">
        <v>185</v>
      </c>
      <c r="Q3121" t="s">
        <v>6582</v>
      </c>
    </row>
    <row r="3122" spans="1:17" x14ac:dyDescent="0.3">
      <c r="A3122" t="s">
        <v>4664</v>
      </c>
      <c r="B3122" t="str">
        <f>"002439"</f>
        <v>002439</v>
      </c>
      <c r="C3122" t="s">
        <v>6583</v>
      </c>
      <c r="D3122" t="s">
        <v>1189</v>
      </c>
      <c r="F3122">
        <v>228.8955</v>
      </c>
      <c r="G3122">
        <v>231.39269999999999</v>
      </c>
      <c r="H3122">
        <v>136.5284</v>
      </c>
      <c r="I3122">
        <v>142.71379999999999</v>
      </c>
      <c r="J3122">
        <v>172.75909999999999</v>
      </c>
      <c r="K3122">
        <v>207.80189999999999</v>
      </c>
      <c r="L3122">
        <v>196.24780000000001</v>
      </c>
      <c r="M3122">
        <v>156.59970000000001</v>
      </c>
      <c r="N3122">
        <v>176.73259999999999</v>
      </c>
      <c r="O3122">
        <v>111.9046</v>
      </c>
      <c r="P3122">
        <v>1190</v>
      </c>
      <c r="Q3122" t="s">
        <v>6584</v>
      </c>
    </row>
    <row r="3123" spans="1:17" x14ac:dyDescent="0.3">
      <c r="A3123" t="s">
        <v>4664</v>
      </c>
      <c r="B3123" t="str">
        <f>"002440"</f>
        <v>002440</v>
      </c>
      <c r="C3123" t="s">
        <v>6585</v>
      </c>
      <c r="D3123" t="s">
        <v>779</v>
      </c>
      <c r="F3123">
        <v>130.2336</v>
      </c>
      <c r="G3123">
        <v>167.70230000000001</v>
      </c>
      <c r="H3123">
        <v>144.8108</v>
      </c>
      <c r="I3123">
        <v>155.9248</v>
      </c>
      <c r="J3123">
        <v>142.13810000000001</v>
      </c>
      <c r="K3123">
        <v>209.35419999999999</v>
      </c>
      <c r="L3123">
        <v>223.06209999999999</v>
      </c>
      <c r="M3123">
        <v>171.8665</v>
      </c>
      <c r="N3123">
        <v>123.6636</v>
      </c>
      <c r="O3123">
        <v>137.16849999999999</v>
      </c>
      <c r="P3123">
        <v>537</v>
      </c>
      <c r="Q3123" t="s">
        <v>6586</v>
      </c>
    </row>
    <row r="3124" spans="1:17" x14ac:dyDescent="0.3">
      <c r="A3124" t="s">
        <v>4664</v>
      </c>
      <c r="B3124" t="str">
        <f>"002441"</f>
        <v>002441</v>
      </c>
      <c r="C3124" t="s">
        <v>6587</v>
      </c>
      <c r="D3124" t="s">
        <v>657</v>
      </c>
      <c r="F3124">
        <v>57.820399999999999</v>
      </c>
      <c r="G3124">
        <v>60.866700000000002</v>
      </c>
      <c r="H3124">
        <v>56.153199999999998</v>
      </c>
      <c r="I3124">
        <v>53.9617</v>
      </c>
      <c r="J3124">
        <v>56.127400000000002</v>
      </c>
      <c r="K3124">
        <v>72.437799999999996</v>
      </c>
      <c r="L3124">
        <v>73.0364</v>
      </c>
      <c r="M3124">
        <v>61.742899999999999</v>
      </c>
      <c r="N3124">
        <v>62.389499999999998</v>
      </c>
      <c r="O3124">
        <v>68.732799999999997</v>
      </c>
      <c r="P3124">
        <v>134</v>
      </c>
      <c r="Q3124" t="s">
        <v>6588</v>
      </c>
    </row>
    <row r="3125" spans="1:17" x14ac:dyDescent="0.3">
      <c r="A3125" t="s">
        <v>4664</v>
      </c>
      <c r="B3125" t="str">
        <f>"002442"</f>
        <v>002442</v>
      </c>
      <c r="C3125" t="s">
        <v>6589</v>
      </c>
      <c r="D3125" t="s">
        <v>3619</v>
      </c>
      <c r="F3125">
        <v>61.4666</v>
      </c>
      <c r="G3125">
        <v>77.661799999999999</v>
      </c>
      <c r="H3125">
        <v>70.936700000000002</v>
      </c>
      <c r="I3125">
        <v>74.272900000000007</v>
      </c>
      <c r="J3125">
        <v>69.504599999999996</v>
      </c>
      <c r="K3125">
        <v>89.454800000000006</v>
      </c>
      <c r="L3125">
        <v>119.1096</v>
      </c>
      <c r="M3125">
        <v>75.642899999999997</v>
      </c>
      <c r="N3125">
        <v>95.878500000000003</v>
      </c>
      <c r="O3125">
        <v>95.290300000000002</v>
      </c>
      <c r="P3125">
        <v>105</v>
      </c>
      <c r="Q3125" t="s">
        <v>6590</v>
      </c>
    </row>
    <row r="3126" spans="1:17" x14ac:dyDescent="0.3">
      <c r="A3126" t="s">
        <v>4664</v>
      </c>
      <c r="B3126" t="str">
        <f>"002443"</f>
        <v>002443</v>
      </c>
      <c r="C3126" t="s">
        <v>6591</v>
      </c>
      <c r="D3126" t="s">
        <v>281</v>
      </c>
      <c r="F3126">
        <v>91.995000000000005</v>
      </c>
      <c r="G3126">
        <v>121.307</v>
      </c>
      <c r="H3126">
        <v>102.9149</v>
      </c>
      <c r="I3126">
        <v>108.2184</v>
      </c>
      <c r="J3126">
        <v>92.818799999999996</v>
      </c>
      <c r="K3126">
        <v>120.75409999999999</v>
      </c>
      <c r="L3126">
        <v>127.0355</v>
      </c>
      <c r="M3126">
        <v>120.5155</v>
      </c>
      <c r="N3126">
        <v>103.85290000000001</v>
      </c>
      <c r="O3126">
        <v>95.177000000000007</v>
      </c>
      <c r="P3126">
        <v>257</v>
      </c>
      <c r="Q3126" t="s">
        <v>6592</v>
      </c>
    </row>
    <row r="3127" spans="1:17" x14ac:dyDescent="0.3">
      <c r="A3127" t="s">
        <v>4664</v>
      </c>
      <c r="B3127" t="str">
        <f>"002444"</f>
        <v>002444</v>
      </c>
      <c r="C3127" t="s">
        <v>6593</v>
      </c>
      <c r="D3127" t="s">
        <v>560</v>
      </c>
      <c r="F3127">
        <v>113.85299999999999</v>
      </c>
      <c r="G3127">
        <v>94.682500000000005</v>
      </c>
      <c r="H3127">
        <v>128.39869999999999</v>
      </c>
      <c r="I3127">
        <v>95.438199999999995</v>
      </c>
      <c r="J3127">
        <v>111.5155</v>
      </c>
      <c r="K3127">
        <v>65.218500000000006</v>
      </c>
      <c r="L3127">
        <v>52.288899999999998</v>
      </c>
      <c r="M3127">
        <v>54.260599999999997</v>
      </c>
      <c r="N3127">
        <v>46.9009</v>
      </c>
      <c r="O3127">
        <v>46.0533</v>
      </c>
      <c r="P3127">
        <v>656</v>
      </c>
      <c r="Q3127" t="s">
        <v>6594</v>
      </c>
    </row>
    <row r="3128" spans="1:17" x14ac:dyDescent="0.3">
      <c r="A3128" t="s">
        <v>4664</v>
      </c>
      <c r="B3128" t="str">
        <f>"002445"</f>
        <v>002445</v>
      </c>
      <c r="C3128" t="s">
        <v>6595</v>
      </c>
      <c r="D3128" t="s">
        <v>517</v>
      </c>
      <c r="F3128">
        <v>458.88959999999997</v>
      </c>
      <c r="G3128">
        <v>705.65219999999999</v>
      </c>
      <c r="H3128">
        <v>716.79830000000004</v>
      </c>
      <c r="I3128">
        <v>530.7473</v>
      </c>
      <c r="J3128">
        <v>444.68369999999999</v>
      </c>
      <c r="K3128">
        <v>469.23349999999999</v>
      </c>
      <c r="L3128">
        <v>491.43680000000001</v>
      </c>
      <c r="M3128">
        <v>422.41860000000003</v>
      </c>
      <c r="N3128">
        <v>145.32550000000001</v>
      </c>
      <c r="O3128">
        <v>318.09460000000001</v>
      </c>
      <c r="P3128">
        <v>110</v>
      </c>
      <c r="Q3128" t="s">
        <v>6596</v>
      </c>
    </row>
    <row r="3129" spans="1:17" x14ac:dyDescent="0.3">
      <c r="A3129" t="s">
        <v>4664</v>
      </c>
      <c r="B3129" t="str">
        <f>"002446"</f>
        <v>002446</v>
      </c>
      <c r="C3129" t="s">
        <v>6597</v>
      </c>
      <c r="D3129" t="s">
        <v>1136</v>
      </c>
      <c r="F3129">
        <v>446.39780000000002</v>
      </c>
      <c r="G3129">
        <v>289.78480000000002</v>
      </c>
      <c r="H3129">
        <v>308.75799999999998</v>
      </c>
      <c r="I3129">
        <v>236.00409999999999</v>
      </c>
      <c r="J3129">
        <v>232.31</v>
      </c>
      <c r="K3129">
        <v>160.07429999999999</v>
      </c>
      <c r="L3129">
        <v>131.5857</v>
      </c>
      <c r="M3129">
        <v>147.79</v>
      </c>
      <c r="N3129">
        <v>131.8526</v>
      </c>
      <c r="O3129">
        <v>163.05449999999999</v>
      </c>
      <c r="P3129">
        <v>371</v>
      </c>
      <c r="Q3129" t="s">
        <v>6598</v>
      </c>
    </row>
    <row r="3130" spans="1:17" x14ac:dyDescent="0.3">
      <c r="A3130" t="s">
        <v>4664</v>
      </c>
      <c r="B3130" t="str">
        <f>"002447"</f>
        <v>002447</v>
      </c>
      <c r="C3130" t="s">
        <v>6599</v>
      </c>
      <c r="D3130" t="s">
        <v>517</v>
      </c>
      <c r="F3130">
        <v>27.76</v>
      </c>
      <c r="G3130">
        <v>27.4114</v>
      </c>
      <c r="H3130">
        <v>62.1372</v>
      </c>
      <c r="I3130">
        <v>26.160499999999999</v>
      </c>
      <c r="J3130">
        <v>2714.0479</v>
      </c>
      <c r="K3130">
        <v>1283.1353999999999</v>
      </c>
      <c r="L3130">
        <v>3184.9911999999999</v>
      </c>
      <c r="M3130">
        <v>1269.9078999999999</v>
      </c>
      <c r="N3130">
        <v>2140.6419000000001</v>
      </c>
      <c r="O3130">
        <v>2675.9594000000002</v>
      </c>
      <c r="P3130">
        <v>92</v>
      </c>
      <c r="Q3130" t="s">
        <v>6600</v>
      </c>
    </row>
    <row r="3131" spans="1:17" x14ac:dyDescent="0.3">
      <c r="A3131" t="s">
        <v>4664</v>
      </c>
      <c r="B3131" t="str">
        <f>"002448"</f>
        <v>002448</v>
      </c>
      <c r="C3131" t="s">
        <v>6601</v>
      </c>
      <c r="D3131" t="s">
        <v>348</v>
      </c>
      <c r="F3131">
        <v>144.583</v>
      </c>
      <c r="G3131">
        <v>219.6806</v>
      </c>
      <c r="H3131">
        <v>186.6103</v>
      </c>
      <c r="I3131">
        <v>177.15199999999999</v>
      </c>
      <c r="J3131">
        <v>158.9111</v>
      </c>
      <c r="K3131">
        <v>190.01050000000001</v>
      </c>
      <c r="L3131">
        <v>197.4134</v>
      </c>
      <c r="M3131">
        <v>196.65129999999999</v>
      </c>
      <c r="N3131">
        <v>190.40710000000001</v>
      </c>
      <c r="O3131">
        <v>171.97810000000001</v>
      </c>
      <c r="P3131">
        <v>194</v>
      </c>
      <c r="Q3131" t="s">
        <v>6602</v>
      </c>
    </row>
    <row r="3132" spans="1:17" x14ac:dyDescent="0.3">
      <c r="A3132" t="s">
        <v>4664</v>
      </c>
      <c r="B3132" t="str">
        <f>"002449"</f>
        <v>002449</v>
      </c>
      <c r="C3132" t="s">
        <v>6603</v>
      </c>
      <c r="D3132" t="s">
        <v>803</v>
      </c>
      <c r="F3132">
        <v>138.4579</v>
      </c>
      <c r="G3132">
        <v>172.56479999999999</v>
      </c>
      <c r="H3132">
        <v>151.15799999999999</v>
      </c>
      <c r="I3132">
        <v>142.4666</v>
      </c>
      <c r="J3132">
        <v>135.92330000000001</v>
      </c>
      <c r="K3132">
        <v>158.58709999999999</v>
      </c>
      <c r="L3132">
        <v>173.5634</v>
      </c>
      <c r="M3132">
        <v>149.44390000000001</v>
      </c>
      <c r="N3132">
        <v>150.40950000000001</v>
      </c>
      <c r="O3132">
        <v>187.7139</v>
      </c>
      <c r="P3132">
        <v>392</v>
      </c>
      <c r="Q3132" t="s">
        <v>6604</v>
      </c>
    </row>
    <row r="3133" spans="1:17" x14ac:dyDescent="0.3">
      <c r="A3133" t="s">
        <v>4664</v>
      </c>
      <c r="B3133" t="str">
        <f>"002450"</f>
        <v>002450</v>
      </c>
      <c r="C3133" t="s">
        <v>6605</v>
      </c>
      <c r="G3133">
        <v>196.45599999999999</v>
      </c>
      <c r="H3133">
        <v>203.0839</v>
      </c>
      <c r="I3133">
        <v>38.008000000000003</v>
      </c>
      <c r="J3133">
        <v>39.225200000000001</v>
      </c>
      <c r="K3133">
        <v>50.219700000000003</v>
      </c>
      <c r="L3133">
        <v>67.450699999999998</v>
      </c>
      <c r="M3133">
        <v>87.748199999999997</v>
      </c>
      <c r="N3133">
        <v>85.840400000000002</v>
      </c>
      <c r="O3133">
        <v>72.241900000000001</v>
      </c>
      <c r="P3133">
        <v>1520</v>
      </c>
      <c r="Q3133" t="s">
        <v>6606</v>
      </c>
    </row>
    <row r="3134" spans="1:17" x14ac:dyDescent="0.3">
      <c r="A3134" t="s">
        <v>4664</v>
      </c>
      <c r="B3134" t="str">
        <f>"002451"</f>
        <v>002451</v>
      </c>
      <c r="C3134" t="s">
        <v>6607</v>
      </c>
      <c r="D3134" t="s">
        <v>1164</v>
      </c>
      <c r="F3134">
        <v>54.179499999999997</v>
      </c>
      <c r="G3134">
        <v>107.785</v>
      </c>
      <c r="H3134">
        <v>153.38740000000001</v>
      </c>
      <c r="I3134">
        <v>85.248699999999999</v>
      </c>
      <c r="J3134">
        <v>139.83019999999999</v>
      </c>
      <c r="K3134">
        <v>91.577200000000005</v>
      </c>
      <c r="L3134">
        <v>110.5064</v>
      </c>
      <c r="M3134">
        <v>112.961</v>
      </c>
      <c r="N3134">
        <v>117.0959</v>
      </c>
      <c r="O3134">
        <v>147.5077</v>
      </c>
      <c r="P3134">
        <v>105</v>
      </c>
      <c r="Q3134" t="s">
        <v>6608</v>
      </c>
    </row>
    <row r="3135" spans="1:17" x14ac:dyDescent="0.3">
      <c r="A3135" t="s">
        <v>4664</v>
      </c>
      <c r="B3135" t="str">
        <f>"002452"</f>
        <v>002452</v>
      </c>
      <c r="C3135" t="s">
        <v>6609</v>
      </c>
      <c r="D3135" t="s">
        <v>210</v>
      </c>
      <c r="F3135">
        <v>187.3724</v>
      </c>
      <c r="G3135">
        <v>231.5376</v>
      </c>
      <c r="H3135">
        <v>354.7801</v>
      </c>
      <c r="I3135">
        <v>659.4742</v>
      </c>
      <c r="J3135">
        <v>413.22199999999998</v>
      </c>
      <c r="K3135">
        <v>416.51249999999999</v>
      </c>
      <c r="L3135">
        <v>585.25599999999997</v>
      </c>
      <c r="M3135">
        <v>555.99749999999995</v>
      </c>
      <c r="N3135">
        <v>444.5564</v>
      </c>
      <c r="O3135">
        <v>420.81869999999998</v>
      </c>
      <c r="P3135">
        <v>173</v>
      </c>
      <c r="Q3135" t="s">
        <v>6610</v>
      </c>
    </row>
    <row r="3136" spans="1:17" x14ac:dyDescent="0.3">
      <c r="A3136" t="s">
        <v>4664</v>
      </c>
      <c r="B3136" t="str">
        <f>"002453"</f>
        <v>002453</v>
      </c>
      <c r="C3136" t="s">
        <v>6611</v>
      </c>
      <c r="D3136" t="s">
        <v>386</v>
      </c>
      <c r="F3136">
        <v>38.897100000000002</v>
      </c>
      <c r="G3136">
        <v>25.841200000000001</v>
      </c>
      <c r="H3136">
        <v>33.499099999999999</v>
      </c>
      <c r="I3136">
        <v>50.085799999999999</v>
      </c>
      <c r="J3136">
        <v>70.595200000000006</v>
      </c>
      <c r="K3136">
        <v>120.15179999999999</v>
      </c>
      <c r="L3136">
        <v>126.2474</v>
      </c>
      <c r="M3136">
        <v>120.4165</v>
      </c>
      <c r="N3136">
        <v>99.424400000000006</v>
      </c>
      <c r="O3136">
        <v>79.400400000000005</v>
      </c>
      <c r="P3136">
        <v>125</v>
      </c>
      <c r="Q3136" t="s">
        <v>6612</v>
      </c>
    </row>
    <row r="3137" spans="1:17" x14ac:dyDescent="0.3">
      <c r="A3137" t="s">
        <v>4664</v>
      </c>
      <c r="B3137" t="str">
        <f>"002454"</f>
        <v>002454</v>
      </c>
      <c r="C3137" t="s">
        <v>6613</v>
      </c>
      <c r="D3137" t="s">
        <v>1415</v>
      </c>
      <c r="F3137">
        <v>113.5179</v>
      </c>
      <c r="G3137">
        <v>133.5488</v>
      </c>
      <c r="H3137">
        <v>127.92230000000001</v>
      </c>
      <c r="I3137">
        <v>123.5628</v>
      </c>
      <c r="J3137">
        <v>130.8776</v>
      </c>
      <c r="K3137">
        <v>128.94820000000001</v>
      </c>
      <c r="L3137">
        <v>127.96299999999999</v>
      </c>
      <c r="M3137">
        <v>107.9725</v>
      </c>
      <c r="N3137">
        <v>133.55690000000001</v>
      </c>
      <c r="O3137">
        <v>143.29320000000001</v>
      </c>
      <c r="P3137">
        <v>191</v>
      </c>
      <c r="Q3137" t="s">
        <v>6614</v>
      </c>
    </row>
    <row r="3138" spans="1:17" x14ac:dyDescent="0.3">
      <c r="A3138" t="s">
        <v>4664</v>
      </c>
      <c r="B3138" t="str">
        <f>"002455"</f>
        <v>002455</v>
      </c>
      <c r="C3138" t="s">
        <v>6615</v>
      </c>
      <c r="D3138" t="s">
        <v>386</v>
      </c>
      <c r="F3138">
        <v>77.736400000000003</v>
      </c>
      <c r="G3138">
        <v>105.8412</v>
      </c>
      <c r="H3138">
        <v>77.348600000000005</v>
      </c>
      <c r="I3138">
        <v>58.750999999999998</v>
      </c>
      <c r="J3138">
        <v>63.6614</v>
      </c>
      <c r="K3138">
        <v>75.492699999999999</v>
      </c>
      <c r="L3138">
        <v>58.5276</v>
      </c>
      <c r="M3138">
        <v>48.4739</v>
      </c>
      <c r="N3138">
        <v>54.474200000000003</v>
      </c>
      <c r="O3138">
        <v>61.271999999999998</v>
      </c>
      <c r="P3138">
        <v>209</v>
      </c>
      <c r="Q3138" t="s">
        <v>6616</v>
      </c>
    </row>
    <row r="3139" spans="1:17" x14ac:dyDescent="0.3">
      <c r="A3139" t="s">
        <v>4664</v>
      </c>
      <c r="B3139" t="str">
        <f>"002456"</f>
        <v>002456</v>
      </c>
      <c r="C3139" t="s">
        <v>6617</v>
      </c>
      <c r="D3139" t="s">
        <v>164</v>
      </c>
      <c r="F3139">
        <v>107.676</v>
      </c>
      <c r="G3139">
        <v>73.513300000000001</v>
      </c>
      <c r="H3139">
        <v>95.270499999999998</v>
      </c>
      <c r="I3139">
        <v>128.85400000000001</v>
      </c>
      <c r="J3139">
        <v>96.030100000000004</v>
      </c>
      <c r="K3139">
        <v>81.845100000000002</v>
      </c>
      <c r="L3139">
        <v>94.363799999999998</v>
      </c>
      <c r="M3139">
        <v>71.009399999999999</v>
      </c>
      <c r="N3139">
        <v>79.366299999999995</v>
      </c>
      <c r="O3139">
        <v>82.137900000000002</v>
      </c>
      <c r="P3139">
        <v>1607</v>
      </c>
      <c r="Q3139" t="s">
        <v>6618</v>
      </c>
    </row>
    <row r="3140" spans="1:17" x14ac:dyDescent="0.3">
      <c r="A3140" t="s">
        <v>4664</v>
      </c>
      <c r="B3140" t="str">
        <f>"002457"</f>
        <v>002457</v>
      </c>
      <c r="C3140" t="s">
        <v>6619</v>
      </c>
      <c r="D3140" t="s">
        <v>3320</v>
      </c>
      <c r="F3140">
        <v>303.90010000000001</v>
      </c>
      <c r="G3140">
        <v>368.74029999999999</v>
      </c>
      <c r="H3140">
        <v>224.40270000000001</v>
      </c>
      <c r="I3140">
        <v>395.74900000000002</v>
      </c>
      <c r="J3140">
        <v>542.15589999999997</v>
      </c>
      <c r="K3140">
        <v>549.36090000000002</v>
      </c>
      <c r="L3140">
        <v>345.19049999999999</v>
      </c>
      <c r="M3140">
        <v>393.9853</v>
      </c>
      <c r="N3140">
        <v>288.37849999999997</v>
      </c>
      <c r="O3140">
        <v>371.24549999999999</v>
      </c>
      <c r="P3140">
        <v>132</v>
      </c>
      <c r="Q3140" t="s">
        <v>6620</v>
      </c>
    </row>
    <row r="3141" spans="1:17" x14ac:dyDescent="0.3">
      <c r="A3141" t="s">
        <v>4664</v>
      </c>
      <c r="B3141" t="str">
        <f>"002458"</f>
        <v>002458</v>
      </c>
      <c r="C3141" t="s">
        <v>6621</v>
      </c>
      <c r="D3141" t="s">
        <v>6173</v>
      </c>
      <c r="F3141">
        <v>74.851799999999997</v>
      </c>
      <c r="G3141">
        <v>44.020400000000002</v>
      </c>
      <c r="H3141">
        <v>57.2866</v>
      </c>
      <c r="I3141">
        <v>59.652500000000003</v>
      </c>
      <c r="J3141">
        <v>76.418700000000001</v>
      </c>
      <c r="K3141">
        <v>53.406799999999997</v>
      </c>
      <c r="L3141">
        <v>57.912399999999998</v>
      </c>
      <c r="M3141">
        <v>59.832500000000003</v>
      </c>
      <c r="N3141">
        <v>49.216999999999999</v>
      </c>
      <c r="O3141">
        <v>57.467300000000002</v>
      </c>
      <c r="P3141">
        <v>815</v>
      </c>
      <c r="Q3141" t="s">
        <v>6622</v>
      </c>
    </row>
    <row r="3142" spans="1:17" x14ac:dyDescent="0.3">
      <c r="A3142" t="s">
        <v>4664</v>
      </c>
      <c r="B3142" t="str">
        <f>"002459"</f>
        <v>002459</v>
      </c>
      <c r="C3142" t="s">
        <v>6623</v>
      </c>
      <c r="D3142" t="s">
        <v>356</v>
      </c>
      <c r="F3142">
        <v>124.3922</v>
      </c>
      <c r="G3142">
        <v>107.65560000000001</v>
      </c>
      <c r="H3142">
        <v>414.6728</v>
      </c>
      <c r="I3142">
        <v>304.68450000000001</v>
      </c>
      <c r="J3142">
        <v>342.48880000000003</v>
      </c>
      <c r="K3142">
        <v>306.15890000000002</v>
      </c>
      <c r="L3142">
        <v>818.87070000000006</v>
      </c>
      <c r="M3142">
        <v>588.27459999999996</v>
      </c>
      <c r="N3142">
        <v>420.22329999999999</v>
      </c>
      <c r="O3142">
        <v>770.24300000000005</v>
      </c>
      <c r="P3142">
        <v>1227</v>
      </c>
      <c r="Q3142" t="s">
        <v>6624</v>
      </c>
    </row>
    <row r="3143" spans="1:17" x14ac:dyDescent="0.3">
      <c r="A3143" t="s">
        <v>4664</v>
      </c>
      <c r="B3143" t="str">
        <f>"002460"</f>
        <v>002460</v>
      </c>
      <c r="C3143" t="s">
        <v>6625</v>
      </c>
      <c r="D3143" t="s">
        <v>5300</v>
      </c>
      <c r="F3143">
        <v>191.74119999999999</v>
      </c>
      <c r="G3143">
        <v>249.0608</v>
      </c>
      <c r="H3143">
        <v>216.5711</v>
      </c>
      <c r="I3143">
        <v>188.6558</v>
      </c>
      <c r="J3143">
        <v>140.9494</v>
      </c>
      <c r="K3143">
        <v>126.6935</v>
      </c>
      <c r="L3143">
        <v>183.85900000000001</v>
      </c>
      <c r="M3143">
        <v>196.358</v>
      </c>
      <c r="N3143">
        <v>185.25790000000001</v>
      </c>
      <c r="O3143">
        <v>132.5042</v>
      </c>
      <c r="P3143">
        <v>2486</v>
      </c>
      <c r="Q3143" t="s">
        <v>6626</v>
      </c>
    </row>
    <row r="3144" spans="1:17" x14ac:dyDescent="0.3">
      <c r="A3144" t="s">
        <v>4664</v>
      </c>
      <c r="B3144" t="str">
        <f>"002461"</f>
        <v>002461</v>
      </c>
      <c r="C3144" t="s">
        <v>6627</v>
      </c>
      <c r="D3144" t="s">
        <v>319</v>
      </c>
      <c r="F3144">
        <v>406.57900000000001</v>
      </c>
      <c r="G3144">
        <v>110.08620000000001</v>
      </c>
      <c r="H3144">
        <v>99.426500000000004</v>
      </c>
      <c r="I3144">
        <v>101.9096</v>
      </c>
      <c r="J3144">
        <v>111.4512</v>
      </c>
      <c r="K3144">
        <v>130.77789999999999</v>
      </c>
      <c r="L3144">
        <v>144.3878</v>
      </c>
      <c r="M3144">
        <v>152.7209</v>
      </c>
      <c r="N3144">
        <v>179.0478</v>
      </c>
      <c r="O3144">
        <v>192.77709999999999</v>
      </c>
      <c r="P3144">
        <v>461</v>
      </c>
      <c r="Q3144" t="s">
        <v>6628</v>
      </c>
    </row>
    <row r="3145" spans="1:17" x14ac:dyDescent="0.3">
      <c r="A3145" t="s">
        <v>4664</v>
      </c>
      <c r="B3145" t="str">
        <f>"002462"</f>
        <v>002462</v>
      </c>
      <c r="C3145" t="s">
        <v>6629</v>
      </c>
      <c r="D3145" t="s">
        <v>125</v>
      </c>
      <c r="F3145">
        <v>41.803100000000001</v>
      </c>
      <c r="G3145">
        <v>57.125599999999999</v>
      </c>
      <c r="H3145">
        <v>46.454599999999999</v>
      </c>
      <c r="I3145">
        <v>47.177999999999997</v>
      </c>
      <c r="J3145">
        <v>49.889499999999998</v>
      </c>
      <c r="K3145">
        <v>53.415599999999998</v>
      </c>
      <c r="L3145">
        <v>55.229500000000002</v>
      </c>
      <c r="M3145">
        <v>56.5989</v>
      </c>
      <c r="N3145">
        <v>48.712200000000003</v>
      </c>
      <c r="O3145">
        <v>39.672800000000002</v>
      </c>
      <c r="P3145">
        <v>258</v>
      </c>
      <c r="Q3145" t="s">
        <v>6630</v>
      </c>
    </row>
    <row r="3146" spans="1:17" x14ac:dyDescent="0.3">
      <c r="A3146" t="s">
        <v>4664</v>
      </c>
      <c r="B3146" t="str">
        <f>"002463"</f>
        <v>002463</v>
      </c>
      <c r="C3146" t="s">
        <v>6631</v>
      </c>
      <c r="D3146" t="s">
        <v>425</v>
      </c>
      <c r="F3146">
        <v>149.31030000000001</v>
      </c>
      <c r="G3146">
        <v>137.0384</v>
      </c>
      <c r="H3146">
        <v>130.3056</v>
      </c>
      <c r="I3146">
        <v>107.3094</v>
      </c>
      <c r="J3146">
        <v>95.271799999999999</v>
      </c>
      <c r="K3146">
        <v>84.646000000000001</v>
      </c>
      <c r="L3146">
        <v>76.225499999999997</v>
      </c>
      <c r="M3146">
        <v>66.279399999999995</v>
      </c>
      <c r="N3146">
        <v>51.477800000000002</v>
      </c>
      <c r="O3146">
        <v>49.084699999999998</v>
      </c>
      <c r="P3146">
        <v>3004</v>
      </c>
      <c r="Q3146" t="s">
        <v>6632</v>
      </c>
    </row>
    <row r="3147" spans="1:17" x14ac:dyDescent="0.3">
      <c r="A3147" t="s">
        <v>4664</v>
      </c>
      <c r="B3147" t="str">
        <f>"002464"</f>
        <v>002464</v>
      </c>
      <c r="C3147" t="s">
        <v>6633</v>
      </c>
      <c r="D3147" t="s">
        <v>517</v>
      </c>
      <c r="F3147">
        <v>0.14460000000000001</v>
      </c>
      <c r="G3147">
        <v>42.871499999999997</v>
      </c>
      <c r="H3147">
        <v>0</v>
      </c>
      <c r="I3147">
        <v>0.72650000000000003</v>
      </c>
      <c r="J3147">
        <v>0</v>
      </c>
      <c r="K3147">
        <v>0</v>
      </c>
      <c r="L3147">
        <v>116.34739999999999</v>
      </c>
      <c r="M3147">
        <v>83.755300000000005</v>
      </c>
      <c r="N3147">
        <v>82.808700000000002</v>
      </c>
      <c r="O3147">
        <v>73.260199999999998</v>
      </c>
      <c r="P3147">
        <v>110</v>
      </c>
      <c r="Q3147" t="s">
        <v>6634</v>
      </c>
    </row>
    <row r="3148" spans="1:17" x14ac:dyDescent="0.3">
      <c r="A3148" t="s">
        <v>4664</v>
      </c>
      <c r="B3148" t="str">
        <f>"002465"</f>
        <v>002465</v>
      </c>
      <c r="C3148" t="s">
        <v>6635</v>
      </c>
      <c r="D3148" t="s">
        <v>1136</v>
      </c>
      <c r="F3148">
        <v>325.13080000000002</v>
      </c>
      <c r="G3148">
        <v>324.01479999999998</v>
      </c>
      <c r="H3148">
        <v>336.88510000000002</v>
      </c>
      <c r="I3148">
        <v>423.50819999999999</v>
      </c>
      <c r="J3148">
        <v>504.64260000000002</v>
      </c>
      <c r="K3148">
        <v>468.72550000000001</v>
      </c>
      <c r="L3148">
        <v>506.86700000000002</v>
      </c>
      <c r="M3148">
        <v>420.14580000000001</v>
      </c>
      <c r="N3148">
        <v>626.6499</v>
      </c>
      <c r="O3148">
        <v>676.58019999999999</v>
      </c>
      <c r="P3148">
        <v>544</v>
      </c>
      <c r="Q3148" t="s">
        <v>6636</v>
      </c>
    </row>
    <row r="3149" spans="1:17" x14ac:dyDescent="0.3">
      <c r="A3149" t="s">
        <v>4664</v>
      </c>
      <c r="B3149" t="str">
        <f>"002466"</f>
        <v>002466</v>
      </c>
      <c r="C3149" t="s">
        <v>6637</v>
      </c>
      <c r="D3149" t="s">
        <v>5300</v>
      </c>
      <c r="F3149">
        <v>175.15440000000001</v>
      </c>
      <c r="G3149">
        <v>243.38399999999999</v>
      </c>
      <c r="H3149">
        <v>162.4178</v>
      </c>
      <c r="I3149">
        <v>123.8052</v>
      </c>
      <c r="J3149">
        <v>139.0831</v>
      </c>
      <c r="K3149">
        <v>185.5624</v>
      </c>
      <c r="L3149">
        <v>268.42250000000001</v>
      </c>
      <c r="M3149">
        <v>235.005</v>
      </c>
      <c r="N3149">
        <v>412.92290000000003</v>
      </c>
      <c r="O3149">
        <v>284.19400000000002</v>
      </c>
      <c r="P3149">
        <v>2365</v>
      </c>
      <c r="Q3149" t="s">
        <v>6638</v>
      </c>
    </row>
    <row r="3150" spans="1:17" x14ac:dyDescent="0.3">
      <c r="A3150" t="s">
        <v>4664</v>
      </c>
      <c r="B3150" t="str">
        <f>"002467"</f>
        <v>002467</v>
      </c>
      <c r="C3150" t="s">
        <v>6639</v>
      </c>
      <c r="D3150" t="s">
        <v>5597</v>
      </c>
      <c r="F3150">
        <v>9.6931999999999992</v>
      </c>
      <c r="G3150">
        <v>6.74</v>
      </c>
      <c r="H3150">
        <v>3.9281999999999999</v>
      </c>
      <c r="I3150">
        <v>7.3594999999999997</v>
      </c>
      <c r="J3150">
        <v>9.7223000000000006</v>
      </c>
      <c r="K3150">
        <v>13.099299999999999</v>
      </c>
      <c r="L3150">
        <v>20.276</v>
      </c>
      <c r="M3150">
        <v>16.376999999999999</v>
      </c>
      <c r="N3150">
        <v>25.9986</v>
      </c>
      <c r="O3150">
        <v>2.8847999999999998</v>
      </c>
      <c r="P3150">
        <v>200</v>
      </c>
      <c r="Q3150" t="s">
        <v>6640</v>
      </c>
    </row>
    <row r="3151" spans="1:17" x14ac:dyDescent="0.3">
      <c r="A3151" t="s">
        <v>4664</v>
      </c>
      <c r="B3151" t="str">
        <f>"002468"</f>
        <v>002468</v>
      </c>
      <c r="C3151" t="s">
        <v>6641</v>
      </c>
      <c r="D3151" t="s">
        <v>537</v>
      </c>
      <c r="F3151">
        <v>1.3291999999999999</v>
      </c>
      <c r="G3151">
        <v>0.76690000000000003</v>
      </c>
      <c r="H3151">
        <v>0.75739999999999996</v>
      </c>
      <c r="I3151">
        <v>1.1120000000000001</v>
      </c>
      <c r="J3151">
        <v>1.4449000000000001</v>
      </c>
      <c r="K3151">
        <v>127.7437</v>
      </c>
      <c r="L3151">
        <v>141.2176</v>
      </c>
      <c r="M3151">
        <v>125.4496</v>
      </c>
      <c r="N3151">
        <v>125.8428</v>
      </c>
      <c r="O3151">
        <v>125.6096</v>
      </c>
      <c r="P3151">
        <v>638</v>
      </c>
      <c r="Q3151" t="s">
        <v>6642</v>
      </c>
    </row>
    <row r="3152" spans="1:17" x14ac:dyDescent="0.3">
      <c r="A3152" t="s">
        <v>4664</v>
      </c>
      <c r="B3152" t="str">
        <f>"002469"</f>
        <v>002469</v>
      </c>
      <c r="C3152" t="s">
        <v>6643</v>
      </c>
      <c r="D3152" t="s">
        <v>2019</v>
      </c>
      <c r="F3152">
        <v>41.591200000000001</v>
      </c>
      <c r="G3152">
        <v>122.2313</v>
      </c>
      <c r="H3152">
        <v>117.9653</v>
      </c>
      <c r="I3152">
        <v>140.45949999999999</v>
      </c>
      <c r="J3152">
        <v>89.558800000000005</v>
      </c>
      <c r="K3152">
        <v>226.0146</v>
      </c>
      <c r="L3152">
        <v>124.0622</v>
      </c>
      <c r="M3152">
        <v>185.85599999999999</v>
      </c>
      <c r="N3152">
        <v>102.16030000000001</v>
      </c>
      <c r="O3152">
        <v>113.8022</v>
      </c>
      <c r="P3152">
        <v>126</v>
      </c>
      <c r="Q3152" t="s">
        <v>6644</v>
      </c>
    </row>
    <row r="3153" spans="1:17" x14ac:dyDescent="0.3">
      <c r="A3153" t="s">
        <v>4664</v>
      </c>
      <c r="B3153" t="str">
        <f>"002470"</f>
        <v>002470</v>
      </c>
      <c r="C3153" t="s">
        <v>6645</v>
      </c>
      <c r="D3153" t="s">
        <v>5489</v>
      </c>
      <c r="F3153">
        <v>103.19159999999999</v>
      </c>
      <c r="G3153">
        <v>308.50630000000001</v>
      </c>
      <c r="H3153">
        <v>162.8058</v>
      </c>
      <c r="I3153">
        <v>62.036900000000003</v>
      </c>
      <c r="J3153">
        <v>64.739099999999993</v>
      </c>
      <c r="K3153">
        <v>32.8446</v>
      </c>
      <c r="L3153">
        <v>34.427799999999998</v>
      </c>
      <c r="M3153">
        <v>71.472800000000007</v>
      </c>
      <c r="N3153">
        <v>80.873699999999999</v>
      </c>
      <c r="O3153">
        <v>94.8506</v>
      </c>
      <c r="P3153">
        <v>4918</v>
      </c>
      <c r="Q3153" t="s">
        <v>6646</v>
      </c>
    </row>
    <row r="3154" spans="1:17" x14ac:dyDescent="0.3">
      <c r="A3154" t="s">
        <v>4664</v>
      </c>
      <c r="B3154" t="str">
        <f>"002471"</f>
        <v>002471</v>
      </c>
      <c r="C3154" t="s">
        <v>6647</v>
      </c>
      <c r="D3154" t="s">
        <v>1164</v>
      </c>
      <c r="F3154">
        <v>63.721699999999998</v>
      </c>
      <c r="G3154">
        <v>95.426900000000003</v>
      </c>
      <c r="H3154">
        <v>98.9071</v>
      </c>
      <c r="I3154">
        <v>132.47540000000001</v>
      </c>
      <c r="J3154">
        <v>155.39930000000001</v>
      </c>
      <c r="K3154">
        <v>178.16229999999999</v>
      </c>
      <c r="L3154">
        <v>152.6258</v>
      </c>
      <c r="M3154">
        <v>113.34780000000001</v>
      </c>
      <c r="N3154">
        <v>126.1388</v>
      </c>
      <c r="O3154">
        <v>110.39109999999999</v>
      </c>
      <c r="P3154">
        <v>92</v>
      </c>
      <c r="Q3154" t="s">
        <v>6648</v>
      </c>
    </row>
    <row r="3155" spans="1:17" x14ac:dyDescent="0.3">
      <c r="A3155" t="s">
        <v>4664</v>
      </c>
      <c r="B3155" t="str">
        <f>"002472"</f>
        <v>002472</v>
      </c>
      <c r="C3155" t="s">
        <v>6649</v>
      </c>
      <c r="D3155" t="s">
        <v>348</v>
      </c>
      <c r="F3155">
        <v>135.9547</v>
      </c>
      <c r="G3155">
        <v>202.68960000000001</v>
      </c>
      <c r="H3155">
        <v>229.94030000000001</v>
      </c>
      <c r="I3155">
        <v>209.91370000000001</v>
      </c>
      <c r="J3155">
        <v>193.44640000000001</v>
      </c>
      <c r="K3155">
        <v>249.4442</v>
      </c>
      <c r="L3155">
        <v>307.8646</v>
      </c>
      <c r="M3155">
        <v>298.18150000000003</v>
      </c>
      <c r="N3155">
        <v>342.17270000000002</v>
      </c>
      <c r="O3155">
        <v>352.96</v>
      </c>
      <c r="P3155">
        <v>258</v>
      </c>
      <c r="Q3155" t="s">
        <v>6650</v>
      </c>
    </row>
    <row r="3156" spans="1:17" x14ac:dyDescent="0.3">
      <c r="A3156" t="s">
        <v>4664</v>
      </c>
      <c r="B3156" t="str">
        <f>"002473"</f>
        <v>002473</v>
      </c>
      <c r="C3156" t="s">
        <v>6651</v>
      </c>
      <c r="D3156" t="s">
        <v>5712</v>
      </c>
      <c r="F3156">
        <v>26.213899999999999</v>
      </c>
      <c r="G3156">
        <v>74.890699999999995</v>
      </c>
      <c r="H3156">
        <v>100.5812</v>
      </c>
      <c r="I3156">
        <v>129.11179999999999</v>
      </c>
      <c r="J3156">
        <v>180.75829999999999</v>
      </c>
      <c r="K3156">
        <v>261.31229999999999</v>
      </c>
      <c r="L3156">
        <v>245.98150000000001</v>
      </c>
      <c r="M3156">
        <v>161.71940000000001</v>
      </c>
      <c r="N3156">
        <v>143.25909999999999</v>
      </c>
      <c r="O3156">
        <v>117.6949</v>
      </c>
      <c r="P3156">
        <v>61</v>
      </c>
      <c r="Q3156" t="s">
        <v>6652</v>
      </c>
    </row>
    <row r="3157" spans="1:17" x14ac:dyDescent="0.3">
      <c r="A3157" t="s">
        <v>4664</v>
      </c>
      <c r="B3157" t="str">
        <f>"002474"</f>
        <v>002474</v>
      </c>
      <c r="C3157" t="s">
        <v>6653</v>
      </c>
      <c r="D3157" t="s">
        <v>316</v>
      </c>
      <c r="F3157">
        <v>1580.9998000000001</v>
      </c>
      <c r="G3157">
        <v>1318.1273000000001</v>
      </c>
      <c r="H3157">
        <v>1073.5735</v>
      </c>
      <c r="I3157">
        <v>927.16330000000005</v>
      </c>
      <c r="J3157">
        <v>978.69489999999996</v>
      </c>
      <c r="K3157">
        <v>779.50049999999999</v>
      </c>
      <c r="L3157">
        <v>421.02</v>
      </c>
      <c r="M3157">
        <v>314.45510000000002</v>
      </c>
      <c r="N3157">
        <v>219.10910000000001</v>
      </c>
      <c r="O3157">
        <v>131.53739999999999</v>
      </c>
      <c r="P3157">
        <v>180</v>
      </c>
      <c r="Q3157" t="s">
        <v>6654</v>
      </c>
    </row>
    <row r="3158" spans="1:17" x14ac:dyDescent="0.3">
      <c r="A3158" t="s">
        <v>4664</v>
      </c>
      <c r="B3158" t="str">
        <f>"002475"</f>
        <v>002475</v>
      </c>
      <c r="C3158" t="s">
        <v>6655</v>
      </c>
      <c r="D3158" t="s">
        <v>313</v>
      </c>
      <c r="F3158">
        <v>99.451899999999995</v>
      </c>
      <c r="G3158">
        <v>93.100399999999993</v>
      </c>
      <c r="H3158">
        <v>88.295400000000001</v>
      </c>
      <c r="I3158">
        <v>97.4495</v>
      </c>
      <c r="J3158">
        <v>107.069</v>
      </c>
      <c r="K3158">
        <v>100.3986</v>
      </c>
      <c r="L3158">
        <v>94.758300000000006</v>
      </c>
      <c r="M3158">
        <v>78.857399999999998</v>
      </c>
      <c r="N3158">
        <v>77.378600000000006</v>
      </c>
      <c r="O3158">
        <v>65.946799999999996</v>
      </c>
      <c r="P3158">
        <v>5894</v>
      </c>
      <c r="Q3158" t="s">
        <v>6656</v>
      </c>
    </row>
    <row r="3159" spans="1:17" x14ac:dyDescent="0.3">
      <c r="A3159" t="s">
        <v>4664</v>
      </c>
      <c r="B3159" t="str">
        <f>"002476"</f>
        <v>002476</v>
      </c>
      <c r="C3159" t="s">
        <v>6657</v>
      </c>
      <c r="D3159" t="s">
        <v>1615</v>
      </c>
      <c r="F3159">
        <v>60.568100000000001</v>
      </c>
      <c r="G3159">
        <v>133.2962</v>
      </c>
      <c r="H3159">
        <v>106.92610000000001</v>
      </c>
      <c r="I3159">
        <v>96.082599999999999</v>
      </c>
      <c r="J3159">
        <v>143.61539999999999</v>
      </c>
      <c r="K3159">
        <v>73.473500000000001</v>
      </c>
      <c r="L3159">
        <v>70.323899999999995</v>
      </c>
      <c r="M3159">
        <v>102.10469999999999</v>
      </c>
      <c r="N3159">
        <v>86.161299999999997</v>
      </c>
      <c r="O3159">
        <v>77.218000000000004</v>
      </c>
      <c r="P3159">
        <v>85</v>
      </c>
      <c r="Q3159" t="s">
        <v>6658</v>
      </c>
    </row>
    <row r="3160" spans="1:17" x14ac:dyDescent="0.3">
      <c r="A3160" t="s">
        <v>4664</v>
      </c>
      <c r="B3160" t="str">
        <f>"002477"</f>
        <v>002477</v>
      </c>
      <c r="C3160" t="s">
        <v>6659</v>
      </c>
      <c r="I3160">
        <v>183.57599999999999</v>
      </c>
      <c r="J3160">
        <v>159.72399999999999</v>
      </c>
      <c r="K3160">
        <v>144.2895</v>
      </c>
      <c r="L3160">
        <v>289.6857</v>
      </c>
      <c r="M3160">
        <v>550.99149999999997</v>
      </c>
      <c r="N3160">
        <v>500.25650000000002</v>
      </c>
      <c r="O3160">
        <v>395.36790000000002</v>
      </c>
      <c r="P3160">
        <v>126</v>
      </c>
      <c r="Q3160" t="s">
        <v>6660</v>
      </c>
    </row>
    <row r="3161" spans="1:17" x14ac:dyDescent="0.3">
      <c r="A3161" t="s">
        <v>4664</v>
      </c>
      <c r="B3161" t="str">
        <f>"002478"</f>
        <v>002478</v>
      </c>
      <c r="C3161" t="s">
        <v>6661</v>
      </c>
      <c r="D3161" t="s">
        <v>281</v>
      </c>
      <c r="F3161">
        <v>136.44149999999999</v>
      </c>
      <c r="G3161">
        <v>140.72819999999999</v>
      </c>
      <c r="H3161">
        <v>108.5941</v>
      </c>
      <c r="I3161">
        <v>88.320099999999996</v>
      </c>
      <c r="J3161">
        <v>112.1344</v>
      </c>
      <c r="K3161">
        <v>136.68600000000001</v>
      </c>
      <c r="L3161">
        <v>132.40180000000001</v>
      </c>
      <c r="M3161">
        <v>118.81440000000001</v>
      </c>
      <c r="N3161">
        <v>112.29949999999999</v>
      </c>
      <c r="O3161">
        <v>97.870099999999994</v>
      </c>
      <c r="P3161">
        <v>208</v>
      </c>
      <c r="Q3161" t="s">
        <v>6662</v>
      </c>
    </row>
    <row r="3162" spans="1:17" x14ac:dyDescent="0.3">
      <c r="A3162" t="s">
        <v>4664</v>
      </c>
      <c r="B3162" t="str">
        <f>"002479"</f>
        <v>002479</v>
      </c>
      <c r="C3162" t="s">
        <v>6663</v>
      </c>
      <c r="D3162" t="s">
        <v>351</v>
      </c>
      <c r="F3162">
        <v>76.467500000000001</v>
      </c>
      <c r="G3162">
        <v>39.954300000000003</v>
      </c>
      <c r="H3162">
        <v>22.551400000000001</v>
      </c>
      <c r="I3162">
        <v>32.078499999999998</v>
      </c>
      <c r="J3162">
        <v>23.121300000000002</v>
      </c>
      <c r="K3162">
        <v>20.096399999999999</v>
      </c>
      <c r="L3162">
        <v>18.2986</v>
      </c>
      <c r="M3162">
        <v>18.634399999999999</v>
      </c>
      <c r="N3162">
        <v>17.272300000000001</v>
      </c>
      <c r="O3162">
        <v>14.7089</v>
      </c>
      <c r="P3162">
        <v>158</v>
      </c>
      <c r="Q3162" t="s">
        <v>6664</v>
      </c>
    </row>
    <row r="3163" spans="1:17" x14ac:dyDescent="0.3">
      <c r="A3163" t="s">
        <v>4664</v>
      </c>
      <c r="B3163" t="str">
        <f>"002480"</f>
        <v>002480</v>
      </c>
      <c r="C3163" t="s">
        <v>6665</v>
      </c>
      <c r="D3163" t="s">
        <v>274</v>
      </c>
      <c r="F3163">
        <v>268.91079999999999</v>
      </c>
      <c r="G3163">
        <v>239.9032</v>
      </c>
      <c r="H3163">
        <v>396.87200000000001</v>
      </c>
      <c r="I3163">
        <v>239.5343</v>
      </c>
      <c r="J3163">
        <v>343.21929999999998</v>
      </c>
      <c r="K3163">
        <v>314.19150000000002</v>
      </c>
      <c r="L3163">
        <v>290.2704</v>
      </c>
      <c r="M3163">
        <v>198.97290000000001</v>
      </c>
      <c r="N3163">
        <v>275.75170000000003</v>
      </c>
      <c r="O3163">
        <v>534.16679999999997</v>
      </c>
      <c r="P3163">
        <v>107</v>
      </c>
      <c r="Q3163" t="s">
        <v>6666</v>
      </c>
    </row>
    <row r="3164" spans="1:17" x14ac:dyDescent="0.3">
      <c r="A3164" t="s">
        <v>4664</v>
      </c>
      <c r="B3164" t="str">
        <f>"002481"</f>
        <v>002481</v>
      </c>
      <c r="C3164" t="s">
        <v>6667</v>
      </c>
      <c r="D3164" t="s">
        <v>445</v>
      </c>
      <c r="F3164">
        <v>207.3921</v>
      </c>
      <c r="G3164">
        <v>167.27440000000001</v>
      </c>
      <c r="H3164">
        <v>109.8824</v>
      </c>
      <c r="I3164">
        <v>142.69839999999999</v>
      </c>
      <c r="J3164">
        <v>182.84370000000001</v>
      </c>
      <c r="K3164">
        <v>125.7107</v>
      </c>
      <c r="L3164">
        <v>186.65270000000001</v>
      </c>
      <c r="M3164">
        <v>172.14709999999999</v>
      </c>
      <c r="N3164">
        <v>246.1722</v>
      </c>
      <c r="O3164">
        <v>407.32260000000002</v>
      </c>
      <c r="P3164">
        <v>331</v>
      </c>
      <c r="Q3164" t="s">
        <v>6668</v>
      </c>
    </row>
    <row r="3165" spans="1:17" x14ac:dyDescent="0.3">
      <c r="A3165" t="s">
        <v>4664</v>
      </c>
      <c r="B3165" t="str">
        <f>"002482"</f>
        <v>002482</v>
      </c>
      <c r="C3165" t="s">
        <v>6669</v>
      </c>
      <c r="D3165" t="s">
        <v>450</v>
      </c>
      <c r="F3165">
        <v>45.079000000000001</v>
      </c>
      <c r="G3165">
        <v>50.654400000000003</v>
      </c>
      <c r="H3165">
        <v>47.4771</v>
      </c>
      <c r="I3165">
        <v>42.9146</v>
      </c>
      <c r="J3165">
        <v>41.038200000000003</v>
      </c>
      <c r="K3165">
        <v>50.069499999999998</v>
      </c>
      <c r="L3165">
        <v>55.256900000000002</v>
      </c>
      <c r="M3165">
        <v>41.947099999999999</v>
      </c>
      <c r="N3165">
        <v>42.138100000000001</v>
      </c>
      <c r="O3165">
        <v>34.061700000000002</v>
      </c>
      <c r="P3165">
        <v>112</v>
      </c>
      <c r="Q3165" t="s">
        <v>6670</v>
      </c>
    </row>
    <row r="3166" spans="1:17" x14ac:dyDescent="0.3">
      <c r="A3166" t="s">
        <v>4664</v>
      </c>
      <c r="B3166" t="str">
        <f>"002483"</f>
        <v>002483</v>
      </c>
      <c r="C3166" t="s">
        <v>6671</v>
      </c>
      <c r="D3166" t="s">
        <v>395</v>
      </c>
      <c r="F3166">
        <v>210.87970000000001</v>
      </c>
      <c r="G3166">
        <v>183.7259</v>
      </c>
      <c r="H3166">
        <v>473.12240000000003</v>
      </c>
      <c r="I3166">
        <v>357.3623</v>
      </c>
      <c r="J3166">
        <v>407.09960000000001</v>
      </c>
      <c r="K3166">
        <v>290.63170000000002</v>
      </c>
      <c r="L3166">
        <v>438.77089999999998</v>
      </c>
      <c r="M3166">
        <v>273.41520000000003</v>
      </c>
      <c r="N3166">
        <v>262.48790000000002</v>
      </c>
      <c r="O3166">
        <v>322.48340000000002</v>
      </c>
      <c r="P3166">
        <v>93</v>
      </c>
      <c r="Q3166" t="s">
        <v>6672</v>
      </c>
    </row>
    <row r="3167" spans="1:17" x14ac:dyDescent="0.3">
      <c r="A3167" t="s">
        <v>4664</v>
      </c>
      <c r="B3167" t="str">
        <f>"002484"</f>
        <v>002484</v>
      </c>
      <c r="C3167" t="s">
        <v>6673</v>
      </c>
      <c r="D3167" t="s">
        <v>546</v>
      </c>
      <c r="F3167">
        <v>143.1694</v>
      </c>
      <c r="G3167">
        <v>159.51650000000001</v>
      </c>
      <c r="H3167">
        <v>140.59360000000001</v>
      </c>
      <c r="I3167">
        <v>108.06399999999999</v>
      </c>
      <c r="J3167">
        <v>116.6576</v>
      </c>
      <c r="K3167">
        <v>141.1798</v>
      </c>
      <c r="L3167">
        <v>145.6849</v>
      </c>
      <c r="M3167">
        <v>125.0335</v>
      </c>
      <c r="N3167">
        <v>123.2671</v>
      </c>
      <c r="O3167">
        <v>124.48350000000001</v>
      </c>
      <c r="P3167">
        <v>311</v>
      </c>
      <c r="Q3167" t="s">
        <v>6674</v>
      </c>
    </row>
    <row r="3168" spans="1:17" x14ac:dyDescent="0.3">
      <c r="A3168" t="s">
        <v>4664</v>
      </c>
      <c r="B3168" t="str">
        <f>"002485"</f>
        <v>002485</v>
      </c>
      <c r="C3168" t="s">
        <v>6675</v>
      </c>
      <c r="D3168" t="s">
        <v>255</v>
      </c>
      <c r="F3168">
        <v>14.762</v>
      </c>
      <c r="G3168">
        <v>88.020799999999994</v>
      </c>
      <c r="H3168">
        <v>33.156799999999997</v>
      </c>
      <c r="I3168">
        <v>65.523099999999999</v>
      </c>
      <c r="J3168">
        <v>297.91539999999998</v>
      </c>
      <c r="K3168">
        <v>284.89109999999999</v>
      </c>
      <c r="L3168">
        <v>215.50700000000001</v>
      </c>
      <c r="M3168">
        <v>257.50900000000001</v>
      </c>
      <c r="N3168">
        <v>241.63050000000001</v>
      </c>
      <c r="O3168">
        <v>273.26459999999997</v>
      </c>
      <c r="P3168">
        <v>80</v>
      </c>
      <c r="Q3168" t="s">
        <v>6676</v>
      </c>
    </row>
    <row r="3169" spans="1:17" x14ac:dyDescent="0.3">
      <c r="A3169" t="s">
        <v>4664</v>
      </c>
      <c r="B3169" t="str">
        <f>"002486"</f>
        <v>002486</v>
      </c>
      <c r="C3169" t="s">
        <v>6677</v>
      </c>
      <c r="D3169" t="s">
        <v>366</v>
      </c>
      <c r="F3169">
        <v>120.4586</v>
      </c>
      <c r="G3169">
        <v>124.9635</v>
      </c>
      <c r="H3169">
        <v>166.2037</v>
      </c>
      <c r="I3169">
        <v>166.99299999999999</v>
      </c>
      <c r="J3169">
        <v>136.0849</v>
      </c>
      <c r="K3169">
        <v>146.34059999999999</v>
      </c>
      <c r="L3169">
        <v>156.57499999999999</v>
      </c>
      <c r="M3169">
        <v>150.6833</v>
      </c>
      <c r="N3169">
        <v>126.11060000000001</v>
      </c>
      <c r="O3169">
        <v>151.29640000000001</v>
      </c>
      <c r="P3169">
        <v>88</v>
      </c>
      <c r="Q3169" t="s">
        <v>6678</v>
      </c>
    </row>
    <row r="3170" spans="1:17" x14ac:dyDescent="0.3">
      <c r="A3170" t="s">
        <v>4664</v>
      </c>
      <c r="B3170" t="str">
        <f>"002487"</f>
        <v>002487</v>
      </c>
      <c r="C3170" t="s">
        <v>6679</v>
      </c>
      <c r="D3170" t="s">
        <v>950</v>
      </c>
      <c r="F3170">
        <v>205.73349999999999</v>
      </c>
      <c r="G3170">
        <v>271.42509999999999</v>
      </c>
      <c r="H3170">
        <v>247.79060000000001</v>
      </c>
      <c r="I3170">
        <v>313.42939999999999</v>
      </c>
      <c r="J3170">
        <v>270.52749999999997</v>
      </c>
      <c r="K3170">
        <v>261.9991</v>
      </c>
      <c r="L3170">
        <v>291.66430000000003</v>
      </c>
      <c r="M3170">
        <v>329.68419999999998</v>
      </c>
      <c r="N3170">
        <v>161.27330000000001</v>
      </c>
      <c r="O3170">
        <v>215.5566</v>
      </c>
      <c r="P3170">
        <v>248</v>
      </c>
      <c r="Q3170" t="s">
        <v>6680</v>
      </c>
    </row>
    <row r="3171" spans="1:17" x14ac:dyDescent="0.3">
      <c r="A3171" t="s">
        <v>4664</v>
      </c>
      <c r="B3171" t="str">
        <f>"002488"</f>
        <v>002488</v>
      </c>
      <c r="C3171" t="s">
        <v>6681</v>
      </c>
      <c r="D3171" t="s">
        <v>422</v>
      </c>
      <c r="F3171">
        <v>223.8663</v>
      </c>
      <c r="G3171">
        <v>202.29339999999999</v>
      </c>
      <c r="H3171">
        <v>242.2989</v>
      </c>
      <c r="I3171">
        <v>155.57509999999999</v>
      </c>
      <c r="J3171">
        <v>155.99870000000001</v>
      </c>
      <c r="K3171">
        <v>162.77670000000001</v>
      </c>
      <c r="L3171">
        <v>265.83370000000002</v>
      </c>
      <c r="M3171">
        <v>250.64019999999999</v>
      </c>
      <c r="N3171">
        <v>242.8348</v>
      </c>
      <c r="O3171">
        <v>271.98230000000001</v>
      </c>
      <c r="P3171">
        <v>152</v>
      </c>
      <c r="Q3171" t="s">
        <v>6682</v>
      </c>
    </row>
    <row r="3172" spans="1:17" x14ac:dyDescent="0.3">
      <c r="A3172" t="s">
        <v>4664</v>
      </c>
      <c r="B3172" t="str">
        <f>"002489"</f>
        <v>002489</v>
      </c>
      <c r="C3172" t="s">
        <v>6683</v>
      </c>
      <c r="D3172" t="s">
        <v>757</v>
      </c>
      <c r="F3172">
        <v>158.24549999999999</v>
      </c>
      <c r="G3172">
        <v>206.33770000000001</v>
      </c>
      <c r="H3172">
        <v>208.31290000000001</v>
      </c>
      <c r="I3172">
        <v>204.09469999999999</v>
      </c>
      <c r="J3172">
        <v>172.66849999999999</v>
      </c>
      <c r="K3172">
        <v>168.41630000000001</v>
      </c>
      <c r="L3172">
        <v>184.01750000000001</v>
      </c>
      <c r="M3172">
        <v>167.64920000000001</v>
      </c>
      <c r="N3172">
        <v>135.46449999999999</v>
      </c>
      <c r="O3172">
        <v>139.13489999999999</v>
      </c>
      <c r="P3172">
        <v>206</v>
      </c>
      <c r="Q3172" t="s">
        <v>6684</v>
      </c>
    </row>
    <row r="3173" spans="1:17" x14ac:dyDescent="0.3">
      <c r="A3173" t="s">
        <v>4664</v>
      </c>
      <c r="B3173" t="str">
        <f>"002490"</f>
        <v>002490</v>
      </c>
      <c r="C3173" t="s">
        <v>6685</v>
      </c>
      <c r="D3173" t="s">
        <v>395</v>
      </c>
      <c r="F3173">
        <v>118.2555</v>
      </c>
      <c r="G3173">
        <v>153.83179999999999</v>
      </c>
      <c r="H3173">
        <v>116.6981</v>
      </c>
      <c r="I3173">
        <v>110.9563</v>
      </c>
      <c r="J3173">
        <v>134.66220000000001</v>
      </c>
      <c r="K3173">
        <v>257.14269999999999</v>
      </c>
      <c r="L3173">
        <v>310.66539999999998</v>
      </c>
      <c r="M3173">
        <v>233.37780000000001</v>
      </c>
      <c r="N3173">
        <v>293.9452</v>
      </c>
      <c r="O3173">
        <v>210.7739</v>
      </c>
      <c r="P3173">
        <v>82</v>
      </c>
      <c r="Q3173" t="s">
        <v>6686</v>
      </c>
    </row>
    <row r="3174" spans="1:17" x14ac:dyDescent="0.3">
      <c r="A3174" t="s">
        <v>4664</v>
      </c>
      <c r="B3174" t="str">
        <f>"002491"</f>
        <v>002491</v>
      </c>
      <c r="C3174" t="s">
        <v>6687</v>
      </c>
      <c r="D3174" t="s">
        <v>250</v>
      </c>
      <c r="F3174">
        <v>171.01480000000001</v>
      </c>
      <c r="G3174">
        <v>169.26</v>
      </c>
      <c r="H3174">
        <v>226.99029999999999</v>
      </c>
      <c r="I3174">
        <v>181.9091</v>
      </c>
      <c r="J3174">
        <v>159.58000000000001</v>
      </c>
      <c r="K3174">
        <v>164.6379</v>
      </c>
      <c r="L3174">
        <v>238.7816</v>
      </c>
      <c r="M3174">
        <v>268.48090000000002</v>
      </c>
      <c r="N3174">
        <v>248.34639999999999</v>
      </c>
      <c r="O3174">
        <v>155.279</v>
      </c>
      <c r="P3174">
        <v>214</v>
      </c>
      <c r="Q3174" t="s">
        <v>6688</v>
      </c>
    </row>
    <row r="3175" spans="1:17" x14ac:dyDescent="0.3">
      <c r="A3175" t="s">
        <v>4664</v>
      </c>
      <c r="B3175" t="str">
        <f>"002492"</f>
        <v>002492</v>
      </c>
      <c r="C3175" t="s">
        <v>6689</v>
      </c>
      <c r="D3175" t="s">
        <v>1592</v>
      </c>
      <c r="F3175">
        <v>7.9142999999999999</v>
      </c>
      <c r="G3175">
        <v>7.5406000000000004</v>
      </c>
      <c r="H3175">
        <v>9.5277999999999992</v>
      </c>
      <c r="I3175">
        <v>8.9300999999999995</v>
      </c>
      <c r="J3175">
        <v>7.6916000000000002</v>
      </c>
      <c r="K3175">
        <v>7.4363000000000001</v>
      </c>
      <c r="L3175">
        <v>6.3449</v>
      </c>
      <c r="M3175">
        <v>3.4165000000000001</v>
      </c>
      <c r="N3175">
        <v>1.6720999999999999</v>
      </c>
      <c r="O3175">
        <v>2.1295999999999999</v>
      </c>
      <c r="P3175">
        <v>94</v>
      </c>
      <c r="Q3175" t="s">
        <v>6690</v>
      </c>
    </row>
    <row r="3176" spans="1:17" x14ac:dyDescent="0.3">
      <c r="A3176" t="s">
        <v>4664</v>
      </c>
      <c r="B3176" t="str">
        <f>"002493"</f>
        <v>002493</v>
      </c>
      <c r="C3176" t="s">
        <v>6691</v>
      </c>
      <c r="D3176" t="s">
        <v>74</v>
      </c>
      <c r="F3176">
        <v>103.8595</v>
      </c>
      <c r="G3176">
        <v>163.98349999999999</v>
      </c>
      <c r="H3176">
        <v>48.363100000000003</v>
      </c>
      <c r="I3176">
        <v>34.127499999999998</v>
      </c>
      <c r="J3176">
        <v>21.072800000000001</v>
      </c>
      <c r="K3176">
        <v>28.020900000000001</v>
      </c>
      <c r="L3176">
        <v>50.969499999999996</v>
      </c>
      <c r="M3176">
        <v>32.595999999999997</v>
      </c>
      <c r="N3176">
        <v>27.110199999999999</v>
      </c>
      <c r="O3176">
        <v>27.596800000000002</v>
      </c>
      <c r="P3176">
        <v>852</v>
      </c>
      <c r="Q3176" t="s">
        <v>6692</v>
      </c>
    </row>
    <row r="3177" spans="1:17" x14ac:dyDescent="0.3">
      <c r="A3177" t="s">
        <v>4664</v>
      </c>
      <c r="B3177" t="str">
        <f>"002494"</f>
        <v>002494</v>
      </c>
      <c r="C3177" t="s">
        <v>6693</v>
      </c>
      <c r="D3177" t="s">
        <v>255</v>
      </c>
      <c r="F3177">
        <v>816.42780000000005</v>
      </c>
      <c r="G3177">
        <v>1040.0215000000001</v>
      </c>
      <c r="H3177">
        <v>1013.5373</v>
      </c>
      <c r="I3177">
        <v>942.18330000000003</v>
      </c>
      <c r="J3177">
        <v>530.74220000000003</v>
      </c>
      <c r="K3177">
        <v>773.70119999999997</v>
      </c>
      <c r="L3177">
        <v>641.82339999999999</v>
      </c>
      <c r="M3177">
        <v>308.02190000000002</v>
      </c>
      <c r="N3177">
        <v>328.9572</v>
      </c>
      <c r="O3177">
        <v>286.15980000000002</v>
      </c>
      <c r="P3177">
        <v>81</v>
      </c>
      <c r="Q3177" t="s">
        <v>6694</v>
      </c>
    </row>
    <row r="3178" spans="1:17" x14ac:dyDescent="0.3">
      <c r="A3178" t="s">
        <v>4664</v>
      </c>
      <c r="B3178" t="str">
        <f>"002495"</f>
        <v>002495</v>
      </c>
      <c r="C3178" t="s">
        <v>6695</v>
      </c>
      <c r="D3178" t="s">
        <v>433</v>
      </c>
      <c r="F3178">
        <v>86.352900000000005</v>
      </c>
      <c r="G3178">
        <v>141.4556</v>
      </c>
      <c r="H3178">
        <v>139.23779999999999</v>
      </c>
      <c r="I3178">
        <v>99.052199999999999</v>
      </c>
      <c r="J3178">
        <v>86.735699999999994</v>
      </c>
      <c r="K3178">
        <v>88.087100000000007</v>
      </c>
      <c r="L3178">
        <v>105.524</v>
      </c>
      <c r="M3178">
        <v>148.6815</v>
      </c>
      <c r="N3178">
        <v>175.51920000000001</v>
      </c>
      <c r="O3178">
        <v>207.69909999999999</v>
      </c>
      <c r="P3178">
        <v>113</v>
      </c>
      <c r="Q3178" t="s">
        <v>6696</v>
      </c>
    </row>
    <row r="3179" spans="1:17" x14ac:dyDescent="0.3">
      <c r="A3179" t="s">
        <v>4664</v>
      </c>
      <c r="B3179" t="str">
        <f>"002496"</f>
        <v>002496</v>
      </c>
      <c r="C3179" t="s">
        <v>6697</v>
      </c>
      <c r="D3179" t="s">
        <v>853</v>
      </c>
      <c r="F3179">
        <v>240.2184</v>
      </c>
      <c r="G3179">
        <v>261.4151</v>
      </c>
      <c r="H3179">
        <v>409.30720000000002</v>
      </c>
      <c r="I3179">
        <v>247.21279999999999</v>
      </c>
      <c r="J3179">
        <v>48.703600000000002</v>
      </c>
      <c r="K3179">
        <v>139.47479999999999</v>
      </c>
      <c r="L3179">
        <v>186.2371</v>
      </c>
      <c r="M3179">
        <v>191.4135</v>
      </c>
      <c r="N3179">
        <v>176.17920000000001</v>
      </c>
      <c r="O3179">
        <v>201.37569999999999</v>
      </c>
      <c r="P3179">
        <v>158</v>
      </c>
      <c r="Q3179" t="s">
        <v>6698</v>
      </c>
    </row>
    <row r="3180" spans="1:17" x14ac:dyDescent="0.3">
      <c r="A3180" t="s">
        <v>4664</v>
      </c>
      <c r="B3180" t="str">
        <f>"002497"</f>
        <v>002497</v>
      </c>
      <c r="C3180" t="s">
        <v>6699</v>
      </c>
      <c r="D3180" t="s">
        <v>2713</v>
      </c>
      <c r="F3180">
        <v>92.642499999999998</v>
      </c>
      <c r="G3180">
        <v>99.531999999999996</v>
      </c>
      <c r="H3180">
        <v>147.0959</v>
      </c>
      <c r="I3180">
        <v>145.32740000000001</v>
      </c>
      <c r="J3180">
        <v>86.0501</v>
      </c>
      <c r="K3180">
        <v>75.542199999999994</v>
      </c>
      <c r="L3180">
        <v>80.747200000000007</v>
      </c>
      <c r="M3180">
        <v>55.194000000000003</v>
      </c>
      <c r="N3180">
        <v>60.3125</v>
      </c>
      <c r="O3180">
        <v>61.070500000000003</v>
      </c>
      <c r="P3180">
        <v>481</v>
      </c>
      <c r="Q3180" t="s">
        <v>6700</v>
      </c>
    </row>
    <row r="3181" spans="1:17" x14ac:dyDescent="0.3">
      <c r="A3181" t="s">
        <v>4664</v>
      </c>
      <c r="B3181" t="str">
        <f>"002498"</f>
        <v>002498</v>
      </c>
      <c r="C3181" t="s">
        <v>6701</v>
      </c>
      <c r="D3181" t="s">
        <v>1164</v>
      </c>
      <c r="F3181">
        <v>114.0656</v>
      </c>
      <c r="G3181">
        <v>136.47810000000001</v>
      </c>
      <c r="H3181">
        <v>110.08</v>
      </c>
      <c r="I3181">
        <v>144.21729999999999</v>
      </c>
      <c r="J3181">
        <v>135.8339</v>
      </c>
      <c r="K3181">
        <v>128.7235</v>
      </c>
      <c r="L3181">
        <v>145.07910000000001</v>
      </c>
      <c r="M3181">
        <v>140.4486</v>
      </c>
      <c r="N3181">
        <v>140.96109999999999</v>
      </c>
      <c r="O3181">
        <v>200.2055</v>
      </c>
      <c r="P3181">
        <v>282</v>
      </c>
      <c r="Q3181" t="s">
        <v>6702</v>
      </c>
    </row>
    <row r="3182" spans="1:17" x14ac:dyDescent="0.3">
      <c r="A3182" t="s">
        <v>4664</v>
      </c>
      <c r="B3182" t="str">
        <f>"002499"</f>
        <v>002499</v>
      </c>
      <c r="C3182" t="s">
        <v>6703</v>
      </c>
      <c r="D3182" t="s">
        <v>86</v>
      </c>
      <c r="F3182">
        <v>0</v>
      </c>
      <c r="G3182">
        <v>0</v>
      </c>
      <c r="H3182">
        <v>102.98260000000001</v>
      </c>
      <c r="I3182">
        <v>766.35180000000003</v>
      </c>
      <c r="J3182">
        <v>217.2098</v>
      </c>
      <c r="K3182">
        <v>177.887</v>
      </c>
      <c r="L3182">
        <v>179.4059</v>
      </c>
      <c r="M3182">
        <v>178.0634</v>
      </c>
      <c r="N3182">
        <v>162.1525</v>
      </c>
      <c r="O3182">
        <v>158.6294</v>
      </c>
      <c r="P3182">
        <v>51</v>
      </c>
      <c r="Q3182" t="s">
        <v>6704</v>
      </c>
    </row>
    <row r="3183" spans="1:17" x14ac:dyDescent="0.3">
      <c r="A3183" t="s">
        <v>4664</v>
      </c>
      <c r="B3183" t="str">
        <f>"002500"</f>
        <v>002500</v>
      </c>
      <c r="C3183" t="s">
        <v>6705</v>
      </c>
      <c r="D3183" t="s">
        <v>80</v>
      </c>
      <c r="P3183">
        <v>1129</v>
      </c>
      <c r="Q3183" t="s">
        <v>6706</v>
      </c>
    </row>
    <row r="3184" spans="1:17" x14ac:dyDescent="0.3">
      <c r="A3184" t="s">
        <v>4664</v>
      </c>
      <c r="B3184" t="str">
        <f>"002501"</f>
        <v>002501</v>
      </c>
      <c r="C3184" t="s">
        <v>6707</v>
      </c>
      <c r="D3184" t="s">
        <v>504</v>
      </c>
      <c r="F3184">
        <v>100.6203</v>
      </c>
      <c r="G3184">
        <v>50.218400000000003</v>
      </c>
      <c r="H3184">
        <v>112.6357</v>
      </c>
      <c r="I3184">
        <v>114.83029999999999</v>
      </c>
      <c r="J3184">
        <v>49.986199999999997</v>
      </c>
      <c r="K3184">
        <v>56.589500000000001</v>
      </c>
      <c r="L3184">
        <v>33.6892</v>
      </c>
      <c r="M3184">
        <v>30.565100000000001</v>
      </c>
      <c r="N3184">
        <v>22.696400000000001</v>
      </c>
      <c r="O3184">
        <v>43.866900000000001</v>
      </c>
      <c r="P3184">
        <v>107</v>
      </c>
      <c r="Q3184" t="s">
        <v>6708</v>
      </c>
    </row>
    <row r="3185" spans="1:17" x14ac:dyDescent="0.3">
      <c r="A3185" t="s">
        <v>4664</v>
      </c>
      <c r="B3185" t="str">
        <f>"002502"</f>
        <v>002502</v>
      </c>
      <c r="C3185" t="s">
        <v>6709</v>
      </c>
      <c r="D3185" t="s">
        <v>113</v>
      </c>
      <c r="F3185">
        <v>121.6472</v>
      </c>
      <c r="G3185">
        <v>27.011800000000001</v>
      </c>
      <c r="H3185">
        <v>44.820999999999998</v>
      </c>
      <c r="I3185">
        <v>5092.0227999999997</v>
      </c>
      <c r="J3185">
        <v>212.29179999999999</v>
      </c>
      <c r="K3185">
        <v>313.3818</v>
      </c>
      <c r="L3185">
        <v>130.92509999999999</v>
      </c>
      <c r="M3185">
        <v>88.786799999999999</v>
      </c>
      <c r="N3185">
        <v>92.199200000000005</v>
      </c>
      <c r="O3185">
        <v>87.986199999999997</v>
      </c>
      <c r="P3185">
        <v>117</v>
      </c>
      <c r="Q3185" t="s">
        <v>6710</v>
      </c>
    </row>
    <row r="3186" spans="1:17" x14ac:dyDescent="0.3">
      <c r="A3186" t="s">
        <v>4664</v>
      </c>
      <c r="B3186" t="str">
        <f>"002503"</f>
        <v>002503</v>
      </c>
      <c r="C3186" t="s">
        <v>6711</v>
      </c>
      <c r="D3186" t="s">
        <v>255</v>
      </c>
      <c r="F3186">
        <v>125.9294</v>
      </c>
      <c r="G3186">
        <v>247.02619999999999</v>
      </c>
      <c r="H3186">
        <v>132.02719999999999</v>
      </c>
      <c r="I3186">
        <v>64.5809</v>
      </c>
      <c r="J3186">
        <v>49.684800000000003</v>
      </c>
      <c r="K3186">
        <v>92.612700000000004</v>
      </c>
      <c r="L3186">
        <v>266.38479999999998</v>
      </c>
      <c r="M3186">
        <v>365.86320000000001</v>
      </c>
      <c r="N3186">
        <v>190.98140000000001</v>
      </c>
      <c r="O3186">
        <v>178.33760000000001</v>
      </c>
      <c r="P3186">
        <v>244</v>
      </c>
      <c r="Q3186" t="s">
        <v>6712</v>
      </c>
    </row>
    <row r="3187" spans="1:17" x14ac:dyDescent="0.3">
      <c r="A3187" t="s">
        <v>4664</v>
      </c>
      <c r="B3187" t="str">
        <f>"002504"</f>
        <v>002504</v>
      </c>
      <c r="C3187" t="s">
        <v>6713</v>
      </c>
      <c r="D3187" t="s">
        <v>450</v>
      </c>
      <c r="F3187">
        <v>0</v>
      </c>
      <c r="G3187">
        <v>127.77670000000001</v>
      </c>
      <c r="H3187">
        <v>103.7269</v>
      </c>
      <c r="I3187">
        <v>246.131</v>
      </c>
      <c r="J3187">
        <v>82.174499999999995</v>
      </c>
      <c r="K3187">
        <v>35.986499999999999</v>
      </c>
      <c r="L3187">
        <v>39.262</v>
      </c>
      <c r="M3187">
        <v>324.9271</v>
      </c>
      <c r="N3187">
        <v>347.2054</v>
      </c>
      <c r="O3187">
        <v>350.37869999999998</v>
      </c>
      <c r="P3187">
        <v>66</v>
      </c>
      <c r="Q3187" t="s">
        <v>6714</v>
      </c>
    </row>
    <row r="3188" spans="1:17" x14ac:dyDescent="0.3">
      <c r="A3188" t="s">
        <v>4664</v>
      </c>
      <c r="B3188" t="str">
        <f>"002505"</f>
        <v>002505</v>
      </c>
      <c r="C3188" t="s">
        <v>6715</v>
      </c>
      <c r="D3188" t="s">
        <v>1876</v>
      </c>
      <c r="F3188">
        <v>63.310499999999998</v>
      </c>
      <c r="G3188">
        <v>60.802</v>
      </c>
      <c r="H3188">
        <v>70.962299999999999</v>
      </c>
      <c r="I3188">
        <v>44.009500000000003</v>
      </c>
      <c r="J3188">
        <v>30.004200000000001</v>
      </c>
      <c r="K3188">
        <v>48.096200000000003</v>
      </c>
      <c r="L3188">
        <v>37.290500000000002</v>
      </c>
      <c r="M3188">
        <v>139.55179999999999</v>
      </c>
      <c r="N3188">
        <v>101.0257</v>
      </c>
      <c r="O3188">
        <v>151.15780000000001</v>
      </c>
      <c r="P3188">
        <v>209</v>
      </c>
      <c r="Q3188" t="s">
        <v>6716</v>
      </c>
    </row>
    <row r="3189" spans="1:17" x14ac:dyDescent="0.3">
      <c r="A3189" t="s">
        <v>4664</v>
      </c>
      <c r="B3189" t="str">
        <f>"002506"</f>
        <v>002506</v>
      </c>
      <c r="C3189" t="s">
        <v>6717</v>
      </c>
      <c r="D3189" t="s">
        <v>356</v>
      </c>
      <c r="F3189">
        <v>114.8199</v>
      </c>
      <c r="G3189">
        <v>97.657399999999996</v>
      </c>
      <c r="H3189">
        <v>73.753200000000007</v>
      </c>
      <c r="I3189">
        <v>56.906199999999998</v>
      </c>
      <c r="J3189">
        <v>83.843000000000004</v>
      </c>
      <c r="K3189">
        <v>103.94450000000001</v>
      </c>
      <c r="L3189">
        <v>29.771599999999999</v>
      </c>
      <c r="M3189">
        <v>56.933500000000002</v>
      </c>
      <c r="N3189">
        <v>205.5284</v>
      </c>
      <c r="O3189">
        <v>158.4545</v>
      </c>
      <c r="P3189">
        <v>315</v>
      </c>
      <c r="Q3189" t="s">
        <v>6718</v>
      </c>
    </row>
    <row r="3190" spans="1:17" x14ac:dyDescent="0.3">
      <c r="A3190" t="s">
        <v>4664</v>
      </c>
      <c r="B3190" t="str">
        <f>"002507"</f>
        <v>002507</v>
      </c>
      <c r="C3190" t="s">
        <v>6719</v>
      </c>
      <c r="D3190" t="s">
        <v>433</v>
      </c>
      <c r="F3190">
        <v>185.2474</v>
      </c>
      <c r="G3190">
        <v>193.39420000000001</v>
      </c>
      <c r="H3190">
        <v>199.99</v>
      </c>
      <c r="I3190">
        <v>143.5847</v>
      </c>
      <c r="J3190">
        <v>100.6786</v>
      </c>
      <c r="K3190">
        <v>131.2268</v>
      </c>
      <c r="L3190">
        <v>135.19309999999999</v>
      </c>
      <c r="M3190">
        <v>133.88820000000001</v>
      </c>
      <c r="N3190">
        <v>104.9235</v>
      </c>
      <c r="O3190">
        <v>137.2039</v>
      </c>
      <c r="P3190">
        <v>4502</v>
      </c>
      <c r="Q3190" t="s">
        <v>6720</v>
      </c>
    </row>
    <row r="3191" spans="1:17" x14ac:dyDescent="0.3">
      <c r="A3191" t="s">
        <v>4664</v>
      </c>
      <c r="B3191" t="str">
        <f>"002508"</f>
        <v>002508</v>
      </c>
      <c r="C3191" t="s">
        <v>6721</v>
      </c>
      <c r="D3191" t="s">
        <v>3680</v>
      </c>
      <c r="F3191">
        <v>184.32980000000001</v>
      </c>
      <c r="G3191">
        <v>203.1463</v>
      </c>
      <c r="H3191">
        <v>185.06950000000001</v>
      </c>
      <c r="I3191">
        <v>174.96690000000001</v>
      </c>
      <c r="J3191">
        <v>166.6694</v>
      </c>
      <c r="K3191">
        <v>183.9152</v>
      </c>
      <c r="L3191">
        <v>167.65469999999999</v>
      </c>
      <c r="M3191">
        <v>159.01320000000001</v>
      </c>
      <c r="N3191">
        <v>160.60730000000001</v>
      </c>
      <c r="O3191">
        <v>176.18020000000001</v>
      </c>
      <c r="P3191">
        <v>40627</v>
      </c>
      <c r="Q3191" t="s">
        <v>6722</v>
      </c>
    </row>
    <row r="3192" spans="1:17" x14ac:dyDescent="0.3">
      <c r="A3192" t="s">
        <v>4664</v>
      </c>
      <c r="B3192" t="str">
        <f>"002509"</f>
        <v>002509</v>
      </c>
      <c r="C3192" t="s">
        <v>6723</v>
      </c>
      <c r="H3192">
        <v>2828.8993</v>
      </c>
      <c r="I3192">
        <v>976.25490000000002</v>
      </c>
      <c r="J3192">
        <v>562.04939999999999</v>
      </c>
      <c r="K3192">
        <v>481.2835</v>
      </c>
      <c r="L3192">
        <v>83.719200000000001</v>
      </c>
      <c r="M3192">
        <v>60.978200000000001</v>
      </c>
      <c r="N3192">
        <v>59.352499999999999</v>
      </c>
      <c r="O3192">
        <v>85.443299999999994</v>
      </c>
      <c r="P3192">
        <v>60</v>
      </c>
      <c r="Q3192" t="s">
        <v>6724</v>
      </c>
    </row>
    <row r="3193" spans="1:17" x14ac:dyDescent="0.3">
      <c r="A3193" t="s">
        <v>4664</v>
      </c>
      <c r="B3193" t="str">
        <f>"002510"</f>
        <v>002510</v>
      </c>
      <c r="C3193" t="s">
        <v>6725</v>
      </c>
      <c r="D3193" t="s">
        <v>985</v>
      </c>
      <c r="F3193">
        <v>592.70060000000001</v>
      </c>
      <c r="G3193">
        <v>515.10680000000002</v>
      </c>
      <c r="H3193">
        <v>381.73289999999997</v>
      </c>
      <c r="I3193">
        <v>450.88580000000002</v>
      </c>
      <c r="J3193">
        <v>438.71600000000001</v>
      </c>
      <c r="K3193">
        <v>390.16359999999997</v>
      </c>
      <c r="L3193">
        <v>565.76350000000002</v>
      </c>
      <c r="M3193">
        <v>687.26700000000005</v>
      </c>
      <c r="N3193">
        <v>602.77570000000003</v>
      </c>
      <c r="O3193">
        <v>510.00170000000003</v>
      </c>
      <c r="P3193">
        <v>208</v>
      </c>
      <c r="Q3193" t="s">
        <v>6726</v>
      </c>
    </row>
    <row r="3194" spans="1:17" x14ac:dyDescent="0.3">
      <c r="A3194" t="s">
        <v>4664</v>
      </c>
      <c r="B3194" t="str">
        <f>"002511"</f>
        <v>002511</v>
      </c>
      <c r="C3194" t="s">
        <v>6727</v>
      </c>
      <c r="D3194" t="s">
        <v>2728</v>
      </c>
      <c r="F3194">
        <v>158.1934</v>
      </c>
      <c r="G3194">
        <v>166.64009999999999</v>
      </c>
      <c r="H3194">
        <v>118.2681</v>
      </c>
      <c r="I3194">
        <v>104.4722</v>
      </c>
      <c r="J3194">
        <v>83.357500000000002</v>
      </c>
      <c r="K3194">
        <v>130.65809999999999</v>
      </c>
      <c r="L3194">
        <v>161.86410000000001</v>
      </c>
      <c r="M3194">
        <v>180.81200000000001</v>
      </c>
      <c r="N3194">
        <v>166.6131</v>
      </c>
      <c r="O3194">
        <v>148.42339999999999</v>
      </c>
      <c r="P3194">
        <v>2513</v>
      </c>
      <c r="Q3194" t="s">
        <v>6728</v>
      </c>
    </row>
    <row r="3195" spans="1:17" x14ac:dyDescent="0.3">
      <c r="A3195" t="s">
        <v>4664</v>
      </c>
      <c r="B3195" t="str">
        <f>"002512"</f>
        <v>002512</v>
      </c>
      <c r="C3195" t="s">
        <v>6729</v>
      </c>
      <c r="D3195" t="s">
        <v>236</v>
      </c>
      <c r="F3195">
        <v>64.955799999999996</v>
      </c>
      <c r="G3195">
        <v>67.718500000000006</v>
      </c>
      <c r="H3195">
        <v>96.750200000000007</v>
      </c>
      <c r="I3195">
        <v>97.2286</v>
      </c>
      <c r="J3195">
        <v>93.584400000000002</v>
      </c>
      <c r="K3195">
        <v>100.2932</v>
      </c>
      <c r="L3195">
        <v>148.39680000000001</v>
      </c>
      <c r="M3195">
        <v>199.63339999999999</v>
      </c>
      <c r="N3195">
        <v>200.42660000000001</v>
      </c>
      <c r="O3195">
        <v>200.4409</v>
      </c>
      <c r="P3195">
        <v>162</v>
      </c>
      <c r="Q3195" t="s">
        <v>6730</v>
      </c>
    </row>
    <row r="3196" spans="1:17" x14ac:dyDescent="0.3">
      <c r="A3196" t="s">
        <v>4664</v>
      </c>
      <c r="B3196" t="str">
        <f>"002513"</f>
        <v>002513</v>
      </c>
      <c r="C3196" t="s">
        <v>6731</v>
      </c>
      <c r="D3196" t="s">
        <v>853</v>
      </c>
      <c r="F3196">
        <v>48.740200000000002</v>
      </c>
      <c r="G3196">
        <v>48.509700000000002</v>
      </c>
      <c r="H3196">
        <v>54.654299999999999</v>
      </c>
      <c r="I3196">
        <v>65.242699999999999</v>
      </c>
      <c r="J3196">
        <v>76.7607</v>
      </c>
      <c r="K3196">
        <v>128.7022</v>
      </c>
      <c r="L3196">
        <v>138.66300000000001</v>
      </c>
      <c r="M3196">
        <v>101.8241</v>
      </c>
      <c r="N3196">
        <v>107.8548</v>
      </c>
      <c r="O3196">
        <v>75.407600000000002</v>
      </c>
      <c r="P3196">
        <v>46</v>
      </c>
      <c r="Q3196" t="s">
        <v>6732</v>
      </c>
    </row>
    <row r="3197" spans="1:17" x14ac:dyDescent="0.3">
      <c r="A3197" t="s">
        <v>4664</v>
      </c>
      <c r="B3197" t="str">
        <f>"002514"</f>
        <v>002514</v>
      </c>
      <c r="C3197" t="s">
        <v>6733</v>
      </c>
      <c r="D3197" t="s">
        <v>274</v>
      </c>
      <c r="F3197">
        <v>194.06569999999999</v>
      </c>
      <c r="G3197">
        <v>261.9939</v>
      </c>
      <c r="H3197">
        <v>189.82259999999999</v>
      </c>
      <c r="I3197">
        <v>202.29339999999999</v>
      </c>
      <c r="J3197">
        <v>322.85629999999998</v>
      </c>
      <c r="K3197">
        <v>216.65469999999999</v>
      </c>
      <c r="L3197">
        <v>142.7107</v>
      </c>
      <c r="M3197">
        <v>159.28880000000001</v>
      </c>
      <c r="N3197">
        <v>150.0352</v>
      </c>
      <c r="O3197">
        <v>134.48310000000001</v>
      </c>
      <c r="P3197">
        <v>61</v>
      </c>
      <c r="Q3197" t="s">
        <v>6734</v>
      </c>
    </row>
    <row r="3198" spans="1:17" x14ac:dyDescent="0.3">
      <c r="A3198" t="s">
        <v>4664</v>
      </c>
      <c r="B3198" t="str">
        <f>"002515"</f>
        <v>002515</v>
      </c>
      <c r="C3198" t="s">
        <v>6735</v>
      </c>
      <c r="D3198" t="s">
        <v>170</v>
      </c>
      <c r="F3198">
        <v>750.36599999999999</v>
      </c>
      <c r="G3198">
        <v>491.87889999999999</v>
      </c>
      <c r="H3198">
        <v>813.59019999999998</v>
      </c>
      <c r="I3198">
        <v>411.51909999999998</v>
      </c>
      <c r="J3198">
        <v>497.92340000000002</v>
      </c>
      <c r="K3198">
        <v>933.98869999999999</v>
      </c>
      <c r="L3198">
        <v>1058.1197</v>
      </c>
      <c r="M3198">
        <v>907.59670000000006</v>
      </c>
      <c r="N3198">
        <v>1170.5894000000001</v>
      </c>
      <c r="O3198">
        <v>1359.5227</v>
      </c>
      <c r="P3198">
        <v>296</v>
      </c>
      <c r="Q3198" t="s">
        <v>6736</v>
      </c>
    </row>
    <row r="3199" spans="1:17" x14ac:dyDescent="0.3">
      <c r="A3199" t="s">
        <v>4664</v>
      </c>
      <c r="B3199" t="str">
        <f>"002516"</f>
        <v>002516</v>
      </c>
      <c r="C3199" t="s">
        <v>6737</v>
      </c>
      <c r="D3199" t="s">
        <v>191</v>
      </c>
      <c r="F3199">
        <v>91.832099999999997</v>
      </c>
      <c r="G3199">
        <v>102.6324</v>
      </c>
      <c r="H3199">
        <v>90.145399999999995</v>
      </c>
      <c r="I3199">
        <v>88.410700000000006</v>
      </c>
      <c r="J3199">
        <v>85.749200000000002</v>
      </c>
      <c r="K3199">
        <v>129.5821</v>
      </c>
      <c r="L3199">
        <v>136.24209999999999</v>
      </c>
      <c r="M3199">
        <v>76.173400000000001</v>
      </c>
      <c r="N3199">
        <v>106.6031</v>
      </c>
      <c r="O3199">
        <v>105.8573</v>
      </c>
      <c r="P3199">
        <v>160</v>
      </c>
      <c r="Q3199" t="s">
        <v>6738</v>
      </c>
    </row>
    <row r="3200" spans="1:17" x14ac:dyDescent="0.3">
      <c r="A3200" t="s">
        <v>4664</v>
      </c>
      <c r="B3200" t="str">
        <f>"002517"</f>
        <v>002517</v>
      </c>
      <c r="C3200" t="s">
        <v>6739</v>
      </c>
      <c r="D3200" t="s">
        <v>517</v>
      </c>
      <c r="F3200">
        <v>4.9036</v>
      </c>
      <c r="G3200">
        <v>2.7202999999999999</v>
      </c>
      <c r="H3200">
        <v>0.1744</v>
      </c>
      <c r="I3200">
        <v>8.8542000000000005</v>
      </c>
      <c r="J3200">
        <v>0</v>
      </c>
      <c r="K3200">
        <v>0.41909999999999997</v>
      </c>
      <c r="L3200">
        <v>183.11429999999999</v>
      </c>
      <c r="M3200">
        <v>225.6798</v>
      </c>
      <c r="N3200">
        <v>213.7963</v>
      </c>
      <c r="O3200">
        <v>210.05459999999999</v>
      </c>
      <c r="P3200">
        <v>289</v>
      </c>
      <c r="Q3200" t="s">
        <v>6740</v>
      </c>
    </row>
    <row r="3201" spans="1:17" x14ac:dyDescent="0.3">
      <c r="A3201" t="s">
        <v>4664</v>
      </c>
      <c r="B3201" t="str">
        <f>"002518"</f>
        <v>002518</v>
      </c>
      <c r="C3201" t="s">
        <v>6741</v>
      </c>
      <c r="D3201" t="s">
        <v>880</v>
      </c>
      <c r="F3201">
        <v>137.48490000000001</v>
      </c>
      <c r="G3201">
        <v>135.32300000000001</v>
      </c>
      <c r="H3201">
        <v>140.90899999999999</v>
      </c>
      <c r="I3201">
        <v>160.04759999999999</v>
      </c>
      <c r="J3201">
        <v>143.28210000000001</v>
      </c>
      <c r="K3201">
        <v>149.2835</v>
      </c>
      <c r="L3201">
        <v>148.83840000000001</v>
      </c>
      <c r="M3201">
        <v>165.58340000000001</v>
      </c>
      <c r="N3201">
        <v>178.70840000000001</v>
      </c>
      <c r="O3201">
        <v>117.3038</v>
      </c>
      <c r="P3201">
        <v>401</v>
      </c>
      <c r="Q3201" t="s">
        <v>6742</v>
      </c>
    </row>
    <row r="3202" spans="1:17" x14ac:dyDescent="0.3">
      <c r="A3202" t="s">
        <v>4664</v>
      </c>
      <c r="B3202" t="str">
        <f>"002519"</f>
        <v>002519</v>
      </c>
      <c r="C3202" t="s">
        <v>6743</v>
      </c>
      <c r="D3202" t="s">
        <v>4404</v>
      </c>
      <c r="F3202">
        <v>322.37450000000001</v>
      </c>
      <c r="G3202">
        <v>302.786</v>
      </c>
      <c r="H3202">
        <v>307.67610000000002</v>
      </c>
      <c r="I3202">
        <v>260.25349999999997</v>
      </c>
      <c r="J3202">
        <v>239.16829999999999</v>
      </c>
      <c r="K3202">
        <v>185.9699</v>
      </c>
      <c r="L3202">
        <v>159.37549999999999</v>
      </c>
      <c r="M3202">
        <v>139.9957</v>
      </c>
      <c r="N3202">
        <v>149.97409999999999</v>
      </c>
      <c r="O3202">
        <v>129.36850000000001</v>
      </c>
      <c r="P3202">
        <v>160</v>
      </c>
      <c r="Q3202" t="s">
        <v>6744</v>
      </c>
    </row>
    <row r="3203" spans="1:17" x14ac:dyDescent="0.3">
      <c r="A3203" t="s">
        <v>4664</v>
      </c>
      <c r="B3203" t="str">
        <f>"002520"</f>
        <v>002520</v>
      </c>
      <c r="C3203" t="s">
        <v>6745</v>
      </c>
      <c r="D3203" t="s">
        <v>2312</v>
      </c>
      <c r="F3203">
        <v>337.19240000000002</v>
      </c>
      <c r="G3203">
        <v>403.00900000000001</v>
      </c>
      <c r="H3203">
        <v>324.09519999999998</v>
      </c>
      <c r="I3203">
        <v>414.2516</v>
      </c>
      <c r="J3203">
        <v>422.99680000000001</v>
      </c>
      <c r="K3203">
        <v>485.0804</v>
      </c>
      <c r="L3203">
        <v>541.71119999999996</v>
      </c>
      <c r="M3203">
        <v>413.63400000000001</v>
      </c>
      <c r="N3203">
        <v>428.91180000000003</v>
      </c>
      <c r="O3203">
        <v>375.61829999999998</v>
      </c>
      <c r="P3203">
        <v>99</v>
      </c>
      <c r="Q3203" t="s">
        <v>6746</v>
      </c>
    </row>
    <row r="3204" spans="1:17" x14ac:dyDescent="0.3">
      <c r="A3204" t="s">
        <v>4664</v>
      </c>
      <c r="B3204" t="str">
        <f>"002521"</f>
        <v>002521</v>
      </c>
      <c r="C3204" t="s">
        <v>6747</v>
      </c>
      <c r="D3204" t="s">
        <v>244</v>
      </c>
      <c r="F3204">
        <v>54.113900000000001</v>
      </c>
      <c r="G3204">
        <v>86.373800000000003</v>
      </c>
      <c r="H3204">
        <v>82.614800000000002</v>
      </c>
      <c r="I3204">
        <v>68.241399999999999</v>
      </c>
      <c r="J3204">
        <v>87.271900000000002</v>
      </c>
      <c r="K3204">
        <v>92.138599999999997</v>
      </c>
      <c r="L3204">
        <v>104.9315</v>
      </c>
      <c r="M3204">
        <v>106.2509</v>
      </c>
      <c r="N3204">
        <v>148.42160000000001</v>
      </c>
      <c r="O3204">
        <v>121.10290000000001</v>
      </c>
      <c r="P3204">
        <v>132</v>
      </c>
      <c r="Q3204" t="s">
        <v>6748</v>
      </c>
    </row>
    <row r="3205" spans="1:17" x14ac:dyDescent="0.3">
      <c r="A3205" t="s">
        <v>4664</v>
      </c>
      <c r="B3205" t="str">
        <f>"002522"</f>
        <v>002522</v>
      </c>
      <c r="C3205" t="s">
        <v>6749</v>
      </c>
      <c r="D3205" t="s">
        <v>324</v>
      </c>
      <c r="F3205">
        <v>198.364</v>
      </c>
      <c r="G3205">
        <v>236.255</v>
      </c>
      <c r="H3205">
        <v>260.67899999999997</v>
      </c>
      <c r="I3205">
        <v>235.09389999999999</v>
      </c>
      <c r="J3205">
        <v>284.15140000000002</v>
      </c>
      <c r="K3205">
        <v>185.37729999999999</v>
      </c>
      <c r="L3205">
        <v>186.05009999999999</v>
      </c>
      <c r="M3205">
        <v>143.35990000000001</v>
      </c>
      <c r="N3205">
        <v>140.2646</v>
      </c>
      <c r="O3205">
        <v>137.43979999999999</v>
      </c>
      <c r="P3205">
        <v>367</v>
      </c>
      <c r="Q3205" t="s">
        <v>6750</v>
      </c>
    </row>
    <row r="3206" spans="1:17" x14ac:dyDescent="0.3">
      <c r="A3206" t="s">
        <v>4664</v>
      </c>
      <c r="B3206" t="str">
        <f>"002523"</f>
        <v>002523</v>
      </c>
      <c r="C3206" t="s">
        <v>6751</v>
      </c>
      <c r="D3206" t="s">
        <v>395</v>
      </c>
      <c r="F3206">
        <v>287.06709999999998</v>
      </c>
      <c r="G3206">
        <v>307.01400000000001</v>
      </c>
      <c r="H3206">
        <v>291.08629999999999</v>
      </c>
      <c r="I3206">
        <v>261.52109999999999</v>
      </c>
      <c r="J3206">
        <v>209.96780000000001</v>
      </c>
      <c r="K3206">
        <v>244.14359999999999</v>
      </c>
      <c r="L3206">
        <v>272.6146</v>
      </c>
      <c r="M3206">
        <v>205.815</v>
      </c>
      <c r="N3206">
        <v>170.4384</v>
      </c>
      <c r="O3206">
        <v>220.2354</v>
      </c>
      <c r="P3206">
        <v>53</v>
      </c>
      <c r="Q3206" t="s">
        <v>6752</v>
      </c>
    </row>
    <row r="3207" spans="1:17" x14ac:dyDescent="0.3">
      <c r="A3207" t="s">
        <v>4664</v>
      </c>
      <c r="B3207" t="str">
        <f>"002524"</f>
        <v>002524</v>
      </c>
      <c r="C3207" t="s">
        <v>6753</v>
      </c>
      <c r="D3207" t="s">
        <v>1147</v>
      </c>
      <c r="F3207">
        <v>52.795000000000002</v>
      </c>
      <c r="G3207">
        <v>61.162300000000002</v>
      </c>
      <c r="H3207">
        <v>45.189700000000002</v>
      </c>
      <c r="I3207">
        <v>64.248000000000005</v>
      </c>
      <c r="J3207">
        <v>83.090500000000006</v>
      </c>
      <c r="K3207">
        <v>135.74959999999999</v>
      </c>
      <c r="L3207">
        <v>178.97190000000001</v>
      </c>
      <c r="M3207">
        <v>135.06559999999999</v>
      </c>
      <c r="N3207">
        <v>158.70169999999999</v>
      </c>
      <c r="O3207">
        <v>97.841099999999997</v>
      </c>
      <c r="P3207">
        <v>180</v>
      </c>
      <c r="Q3207" t="s">
        <v>6754</v>
      </c>
    </row>
    <row r="3208" spans="1:17" x14ac:dyDescent="0.3">
      <c r="A3208" t="s">
        <v>4664</v>
      </c>
      <c r="B3208" t="str">
        <f>"002526"</f>
        <v>002526</v>
      </c>
      <c r="C3208" t="s">
        <v>6755</v>
      </c>
      <c r="D3208" t="s">
        <v>395</v>
      </c>
      <c r="F3208">
        <v>151.84809999999999</v>
      </c>
      <c r="G3208">
        <v>161.80690000000001</v>
      </c>
      <c r="H3208">
        <v>186.7131</v>
      </c>
      <c r="I3208">
        <v>158.58690000000001</v>
      </c>
      <c r="J3208">
        <v>218.03479999999999</v>
      </c>
      <c r="K3208">
        <v>298.45549999999997</v>
      </c>
      <c r="L3208">
        <v>361.17930000000001</v>
      </c>
      <c r="M3208">
        <v>253.35990000000001</v>
      </c>
      <c r="N3208">
        <v>274.24439999999998</v>
      </c>
      <c r="O3208">
        <v>259.48809999999997</v>
      </c>
      <c r="P3208">
        <v>103</v>
      </c>
      <c r="Q3208" t="s">
        <v>6756</v>
      </c>
    </row>
    <row r="3209" spans="1:17" x14ac:dyDescent="0.3">
      <c r="A3209" t="s">
        <v>4664</v>
      </c>
      <c r="B3209" t="str">
        <f>"002527"</f>
        <v>002527</v>
      </c>
      <c r="C3209" t="s">
        <v>6757</v>
      </c>
      <c r="D3209" t="s">
        <v>2911</v>
      </c>
      <c r="F3209">
        <v>151.60149999999999</v>
      </c>
      <c r="G3209">
        <v>147.9357</v>
      </c>
      <c r="H3209">
        <v>180.87129999999999</v>
      </c>
      <c r="I3209">
        <v>187.5275</v>
      </c>
      <c r="J3209">
        <v>152.32419999999999</v>
      </c>
      <c r="K3209">
        <v>199.74119999999999</v>
      </c>
      <c r="L3209">
        <v>297.1977</v>
      </c>
      <c r="M3209">
        <v>187.2612</v>
      </c>
      <c r="N3209">
        <v>162.11969999999999</v>
      </c>
      <c r="O3209">
        <v>178.01519999999999</v>
      </c>
      <c r="P3209">
        <v>161</v>
      </c>
      <c r="Q3209" t="s">
        <v>6758</v>
      </c>
    </row>
    <row r="3210" spans="1:17" x14ac:dyDescent="0.3">
      <c r="A3210" t="s">
        <v>4664</v>
      </c>
      <c r="B3210" t="str">
        <f>"002528"</f>
        <v>002528</v>
      </c>
      <c r="C3210" t="s">
        <v>6759</v>
      </c>
      <c r="D3210" t="s">
        <v>2953</v>
      </c>
      <c r="F3210">
        <v>167.9091</v>
      </c>
      <c r="G3210">
        <v>102.39579999999999</v>
      </c>
      <c r="H3210">
        <v>94.667599999999993</v>
      </c>
      <c r="I3210">
        <v>72.148300000000006</v>
      </c>
      <c r="J3210">
        <v>123.73309999999999</v>
      </c>
      <c r="K3210">
        <v>238.67150000000001</v>
      </c>
      <c r="L3210">
        <v>216.06489999999999</v>
      </c>
      <c r="M3210">
        <v>293.81110000000001</v>
      </c>
      <c r="N3210">
        <v>307.04680000000002</v>
      </c>
      <c r="O3210">
        <v>380.6764</v>
      </c>
      <c r="P3210">
        <v>169</v>
      </c>
      <c r="Q3210" t="s">
        <v>6760</v>
      </c>
    </row>
    <row r="3211" spans="1:17" x14ac:dyDescent="0.3">
      <c r="A3211" t="s">
        <v>4664</v>
      </c>
      <c r="B3211" t="str">
        <f>"002529"</f>
        <v>002529</v>
      </c>
      <c r="C3211" t="s">
        <v>6761</v>
      </c>
      <c r="D3211" t="s">
        <v>741</v>
      </c>
      <c r="F3211">
        <v>499.14980000000003</v>
      </c>
      <c r="G3211">
        <v>594.72230000000002</v>
      </c>
      <c r="H3211">
        <v>618.08979999999997</v>
      </c>
      <c r="I3211">
        <v>932.12180000000001</v>
      </c>
      <c r="J3211">
        <v>871.34299999999996</v>
      </c>
      <c r="K3211">
        <v>981.52390000000003</v>
      </c>
      <c r="L3211">
        <v>1202.05</v>
      </c>
      <c r="M3211">
        <v>1251.0654</v>
      </c>
      <c r="N3211">
        <v>759.51</v>
      </c>
      <c r="O3211">
        <v>761.26729999999998</v>
      </c>
      <c r="P3211">
        <v>68</v>
      </c>
      <c r="Q3211" t="s">
        <v>6762</v>
      </c>
    </row>
    <row r="3212" spans="1:17" x14ac:dyDescent="0.3">
      <c r="A3212" t="s">
        <v>4664</v>
      </c>
      <c r="B3212" t="str">
        <f>"002530"</f>
        <v>002530</v>
      </c>
      <c r="C3212" t="s">
        <v>6763</v>
      </c>
      <c r="D3212" t="s">
        <v>316</v>
      </c>
      <c r="F3212">
        <v>170.9418</v>
      </c>
      <c r="G3212">
        <v>144.5609</v>
      </c>
      <c r="H3212">
        <v>176.89580000000001</v>
      </c>
      <c r="I3212">
        <v>204.81389999999999</v>
      </c>
      <c r="J3212">
        <v>208.52440000000001</v>
      </c>
      <c r="K3212">
        <v>325.96300000000002</v>
      </c>
      <c r="L3212">
        <v>303.0025</v>
      </c>
      <c r="M3212">
        <v>310.05380000000002</v>
      </c>
      <c r="N3212">
        <v>310.09809999999999</v>
      </c>
      <c r="O3212">
        <v>321.99419999999998</v>
      </c>
      <c r="P3212">
        <v>135</v>
      </c>
      <c r="Q3212" t="s">
        <v>6764</v>
      </c>
    </row>
    <row r="3213" spans="1:17" x14ac:dyDescent="0.3">
      <c r="A3213" t="s">
        <v>4664</v>
      </c>
      <c r="B3213" t="str">
        <f>"002531"</f>
        <v>002531</v>
      </c>
      <c r="C3213" t="s">
        <v>6765</v>
      </c>
      <c r="D3213" t="s">
        <v>950</v>
      </c>
      <c r="F3213">
        <v>126.3408</v>
      </c>
      <c r="G3213">
        <v>111.6383</v>
      </c>
      <c r="H3213">
        <v>146.36490000000001</v>
      </c>
      <c r="I3213">
        <v>193.4222</v>
      </c>
      <c r="J3213">
        <v>122.5421</v>
      </c>
      <c r="K3213">
        <v>131.8597</v>
      </c>
      <c r="L3213">
        <v>107.7632</v>
      </c>
      <c r="M3213">
        <v>136.3699</v>
      </c>
      <c r="N3213">
        <v>122.7106</v>
      </c>
      <c r="O3213">
        <v>178.06489999999999</v>
      </c>
      <c r="P3213">
        <v>599</v>
      </c>
      <c r="Q3213" t="s">
        <v>6766</v>
      </c>
    </row>
    <row r="3214" spans="1:17" x14ac:dyDescent="0.3">
      <c r="A3214" t="s">
        <v>4664</v>
      </c>
      <c r="B3214" t="str">
        <f>"002532"</f>
        <v>002532</v>
      </c>
      <c r="C3214" t="s">
        <v>6767</v>
      </c>
      <c r="D3214" t="s">
        <v>504</v>
      </c>
      <c r="F3214">
        <v>144.5985</v>
      </c>
      <c r="G3214">
        <v>55.905999999999999</v>
      </c>
      <c r="H3214">
        <v>141.2655</v>
      </c>
      <c r="I3214">
        <v>157.29599999999999</v>
      </c>
      <c r="J3214">
        <v>126.62269999999999</v>
      </c>
      <c r="K3214">
        <v>131.79499999999999</v>
      </c>
      <c r="L3214">
        <v>130.0891</v>
      </c>
      <c r="M3214">
        <v>139.76910000000001</v>
      </c>
      <c r="N3214">
        <v>121.8882</v>
      </c>
      <c r="O3214">
        <v>128.89840000000001</v>
      </c>
      <c r="P3214">
        <v>424</v>
      </c>
      <c r="Q3214" t="s">
        <v>6768</v>
      </c>
    </row>
    <row r="3215" spans="1:17" x14ac:dyDescent="0.3">
      <c r="A3215" t="s">
        <v>4664</v>
      </c>
      <c r="B3215" t="str">
        <f>"002533"</f>
        <v>002533</v>
      </c>
      <c r="C3215" t="s">
        <v>6769</v>
      </c>
      <c r="D3215" t="s">
        <v>1164</v>
      </c>
      <c r="F3215">
        <v>65.624499999999998</v>
      </c>
      <c r="G3215">
        <v>97.604200000000006</v>
      </c>
      <c r="H3215">
        <v>106.7114</v>
      </c>
      <c r="I3215">
        <v>87.121799999999993</v>
      </c>
      <c r="J3215">
        <v>72.480599999999995</v>
      </c>
      <c r="K3215">
        <v>76.180899999999994</v>
      </c>
      <c r="L3215">
        <v>78.456599999999995</v>
      </c>
      <c r="M3215">
        <v>76.964500000000001</v>
      </c>
      <c r="N3215">
        <v>87.6357</v>
      </c>
      <c r="O3215">
        <v>83.091999999999999</v>
      </c>
      <c r="P3215">
        <v>192</v>
      </c>
      <c r="Q3215" t="s">
        <v>6770</v>
      </c>
    </row>
    <row r="3216" spans="1:17" x14ac:dyDescent="0.3">
      <c r="A3216" t="s">
        <v>4664</v>
      </c>
      <c r="B3216" t="str">
        <f>"002534"</f>
        <v>002534</v>
      </c>
      <c r="C3216" t="s">
        <v>6771</v>
      </c>
      <c r="D3216" t="s">
        <v>470</v>
      </c>
      <c r="F3216">
        <v>131.36709999999999</v>
      </c>
      <c r="G3216">
        <v>140.54239999999999</v>
      </c>
      <c r="H3216">
        <v>171.00450000000001</v>
      </c>
      <c r="I3216">
        <v>154.76089999999999</v>
      </c>
      <c r="J3216">
        <v>143.7526</v>
      </c>
      <c r="K3216">
        <v>230.6568</v>
      </c>
      <c r="L3216">
        <v>180.19329999999999</v>
      </c>
      <c r="M3216">
        <v>163.86709999999999</v>
      </c>
      <c r="N3216">
        <v>111.2093</v>
      </c>
      <c r="O3216">
        <v>52.1432</v>
      </c>
      <c r="P3216">
        <v>191</v>
      </c>
      <c r="Q3216" t="s">
        <v>6772</v>
      </c>
    </row>
    <row r="3217" spans="1:17" x14ac:dyDescent="0.3">
      <c r="A3217" t="s">
        <v>4664</v>
      </c>
      <c r="B3217" t="str">
        <f>"002535"</f>
        <v>002535</v>
      </c>
      <c r="C3217" t="s">
        <v>6773</v>
      </c>
      <c r="D3217" t="s">
        <v>395</v>
      </c>
      <c r="F3217">
        <v>421.80489999999998</v>
      </c>
      <c r="G3217">
        <v>357.40089999999998</v>
      </c>
      <c r="H3217">
        <v>328.59289999999999</v>
      </c>
      <c r="I3217">
        <v>243.7912</v>
      </c>
      <c r="J3217">
        <v>301.60789999999997</v>
      </c>
      <c r="K3217">
        <v>315.2928</v>
      </c>
      <c r="L3217">
        <v>327.40879999999999</v>
      </c>
      <c r="M3217">
        <v>263.83859999999999</v>
      </c>
      <c r="N3217">
        <v>148.05590000000001</v>
      </c>
      <c r="O3217">
        <v>97.600499999999997</v>
      </c>
      <c r="P3217">
        <v>89</v>
      </c>
      <c r="Q3217" t="s">
        <v>6774</v>
      </c>
    </row>
    <row r="3218" spans="1:17" x14ac:dyDescent="0.3">
      <c r="A3218" t="s">
        <v>4664</v>
      </c>
      <c r="B3218" t="str">
        <f>"002536"</f>
        <v>002536</v>
      </c>
      <c r="C3218" t="s">
        <v>6775</v>
      </c>
      <c r="D3218" t="s">
        <v>348</v>
      </c>
      <c r="F3218">
        <v>137.92619999999999</v>
      </c>
      <c r="G3218">
        <v>136.81890000000001</v>
      </c>
      <c r="H3218">
        <v>127.41200000000001</v>
      </c>
      <c r="I3218">
        <v>117.6917</v>
      </c>
      <c r="J3218">
        <v>102.38330000000001</v>
      </c>
      <c r="K3218">
        <v>132.41679999999999</v>
      </c>
      <c r="L3218">
        <v>159.23920000000001</v>
      </c>
      <c r="M3218">
        <v>164.5515</v>
      </c>
      <c r="N3218">
        <v>202.42359999999999</v>
      </c>
      <c r="O3218">
        <v>206.19890000000001</v>
      </c>
      <c r="P3218">
        <v>254</v>
      </c>
      <c r="Q3218" t="s">
        <v>6776</v>
      </c>
    </row>
    <row r="3219" spans="1:17" x14ac:dyDescent="0.3">
      <c r="A3219" t="s">
        <v>4664</v>
      </c>
      <c r="B3219" t="str">
        <f>"002537"</f>
        <v>002537</v>
      </c>
      <c r="C3219" t="s">
        <v>6777</v>
      </c>
      <c r="D3219" t="s">
        <v>191</v>
      </c>
      <c r="F3219">
        <v>67.031599999999997</v>
      </c>
      <c r="G3219">
        <v>64.774000000000001</v>
      </c>
      <c r="H3219">
        <v>71.835700000000003</v>
      </c>
      <c r="I3219">
        <v>71.399500000000003</v>
      </c>
      <c r="J3219">
        <v>108.0633</v>
      </c>
      <c r="K3219">
        <v>104.7963</v>
      </c>
      <c r="L3219">
        <v>120.1357</v>
      </c>
      <c r="M3219">
        <v>123.2783</v>
      </c>
      <c r="N3219">
        <v>107.67910000000001</v>
      </c>
      <c r="O3219">
        <v>118.23269999999999</v>
      </c>
      <c r="P3219">
        <v>182</v>
      </c>
      <c r="Q3219" t="s">
        <v>6778</v>
      </c>
    </row>
    <row r="3220" spans="1:17" x14ac:dyDescent="0.3">
      <c r="A3220" t="s">
        <v>4664</v>
      </c>
      <c r="B3220" t="str">
        <f>"002538"</f>
        <v>002538</v>
      </c>
      <c r="C3220" t="s">
        <v>6779</v>
      </c>
      <c r="D3220" t="s">
        <v>5489</v>
      </c>
      <c r="F3220">
        <v>101.9255</v>
      </c>
      <c r="G3220">
        <v>93.377200000000002</v>
      </c>
      <c r="H3220">
        <v>168.05789999999999</v>
      </c>
      <c r="I3220">
        <v>114.5903</v>
      </c>
      <c r="J3220">
        <v>118.5642</v>
      </c>
      <c r="K3220">
        <v>116.3938</v>
      </c>
      <c r="L3220">
        <v>116.20489999999999</v>
      </c>
      <c r="M3220">
        <v>111.71429999999999</v>
      </c>
      <c r="N3220">
        <v>104.42829999999999</v>
      </c>
      <c r="O3220">
        <v>81.159800000000004</v>
      </c>
      <c r="P3220">
        <v>174</v>
      </c>
      <c r="Q3220" t="s">
        <v>6780</v>
      </c>
    </row>
    <row r="3221" spans="1:17" x14ac:dyDescent="0.3">
      <c r="A3221" t="s">
        <v>4664</v>
      </c>
      <c r="B3221" t="str">
        <f>"002539"</f>
        <v>002539</v>
      </c>
      <c r="C3221" t="s">
        <v>6781</v>
      </c>
      <c r="D3221" t="s">
        <v>5489</v>
      </c>
      <c r="F3221">
        <v>81.727000000000004</v>
      </c>
      <c r="G3221">
        <v>93.491</v>
      </c>
      <c r="H3221">
        <v>94.8125</v>
      </c>
      <c r="I3221">
        <v>77.716999999999999</v>
      </c>
      <c r="J3221">
        <v>89.450199999999995</v>
      </c>
      <c r="K3221">
        <v>103.9014</v>
      </c>
      <c r="L3221">
        <v>74.546099999999996</v>
      </c>
      <c r="M3221">
        <v>98.398300000000006</v>
      </c>
      <c r="N3221">
        <v>101.1836</v>
      </c>
      <c r="O3221">
        <v>125.3413</v>
      </c>
      <c r="P3221">
        <v>240</v>
      </c>
      <c r="Q3221" t="s">
        <v>6782</v>
      </c>
    </row>
    <row r="3222" spans="1:17" x14ac:dyDescent="0.3">
      <c r="A3222" t="s">
        <v>4664</v>
      </c>
      <c r="B3222" t="str">
        <f>"002540"</f>
        <v>002540</v>
      </c>
      <c r="C3222" t="s">
        <v>6783</v>
      </c>
      <c r="D3222" t="s">
        <v>504</v>
      </c>
      <c r="F3222">
        <v>56.078299999999999</v>
      </c>
      <c r="G3222">
        <v>68.2654</v>
      </c>
      <c r="H3222">
        <v>65.749899999999997</v>
      </c>
      <c r="I3222">
        <v>64.018600000000006</v>
      </c>
      <c r="J3222">
        <v>64.377200000000002</v>
      </c>
      <c r="K3222">
        <v>58.287999999999997</v>
      </c>
      <c r="L3222">
        <v>56.2194</v>
      </c>
      <c r="M3222">
        <v>61.250500000000002</v>
      </c>
      <c r="N3222">
        <v>58.351199999999999</v>
      </c>
      <c r="O3222">
        <v>66.921999999999997</v>
      </c>
      <c r="P3222">
        <v>161</v>
      </c>
      <c r="Q3222" t="s">
        <v>6784</v>
      </c>
    </row>
    <row r="3223" spans="1:17" x14ac:dyDescent="0.3">
      <c r="A3223" t="s">
        <v>4664</v>
      </c>
      <c r="B3223" t="str">
        <f>"002541"</f>
        <v>002541</v>
      </c>
      <c r="C3223" t="s">
        <v>6785</v>
      </c>
      <c r="D3223" t="s">
        <v>978</v>
      </c>
      <c r="F3223">
        <v>194.0958</v>
      </c>
      <c r="G3223">
        <v>213.3588</v>
      </c>
      <c r="H3223">
        <v>218.7696</v>
      </c>
      <c r="I3223">
        <v>288.18450000000001</v>
      </c>
      <c r="J3223">
        <v>343.32690000000002</v>
      </c>
      <c r="K3223">
        <v>516.41560000000004</v>
      </c>
      <c r="L3223">
        <v>565.78909999999996</v>
      </c>
      <c r="M3223">
        <v>368.42230000000001</v>
      </c>
      <c r="N3223">
        <v>252.70920000000001</v>
      </c>
      <c r="O3223">
        <v>235.95930000000001</v>
      </c>
      <c r="P3223">
        <v>443</v>
      </c>
      <c r="Q3223" t="s">
        <v>6786</v>
      </c>
    </row>
    <row r="3224" spans="1:17" x14ac:dyDescent="0.3">
      <c r="A3224" t="s">
        <v>4664</v>
      </c>
      <c r="B3224" t="str">
        <f>"002542"</f>
        <v>002542</v>
      </c>
      <c r="C3224" t="s">
        <v>6787</v>
      </c>
      <c r="D3224" t="s">
        <v>1986</v>
      </c>
      <c r="F3224">
        <v>12.183299999999999</v>
      </c>
      <c r="G3224">
        <v>150.69040000000001</v>
      </c>
      <c r="H3224">
        <v>349.95819999999998</v>
      </c>
      <c r="I3224">
        <v>370.88819999999998</v>
      </c>
      <c r="J3224">
        <v>502.01710000000003</v>
      </c>
      <c r="K3224">
        <v>452.08229999999998</v>
      </c>
      <c r="L3224">
        <v>421.83100000000002</v>
      </c>
      <c r="M3224">
        <v>328.83280000000002</v>
      </c>
      <c r="N3224">
        <v>94.289000000000001</v>
      </c>
      <c r="O3224">
        <v>160.84020000000001</v>
      </c>
      <c r="P3224">
        <v>161</v>
      </c>
      <c r="Q3224" t="s">
        <v>6788</v>
      </c>
    </row>
    <row r="3225" spans="1:17" x14ac:dyDescent="0.3">
      <c r="A3225" t="s">
        <v>4664</v>
      </c>
      <c r="B3225" t="str">
        <f>"002543"</f>
        <v>002543</v>
      </c>
      <c r="C3225" t="s">
        <v>6789</v>
      </c>
      <c r="D3225" t="s">
        <v>2865</v>
      </c>
      <c r="F3225">
        <v>107.14</v>
      </c>
      <c r="G3225">
        <v>128.81399999999999</v>
      </c>
      <c r="H3225">
        <v>137.8724</v>
      </c>
      <c r="I3225">
        <v>120.99290000000001</v>
      </c>
      <c r="J3225">
        <v>107.5909</v>
      </c>
      <c r="K3225">
        <v>123.10599999999999</v>
      </c>
      <c r="L3225">
        <v>123.973</v>
      </c>
      <c r="M3225">
        <v>115.93989999999999</v>
      </c>
      <c r="N3225">
        <v>98.524600000000007</v>
      </c>
      <c r="O3225">
        <v>101.9087</v>
      </c>
      <c r="P3225">
        <v>434</v>
      </c>
      <c r="Q3225" t="s">
        <v>6790</v>
      </c>
    </row>
    <row r="3226" spans="1:17" x14ac:dyDescent="0.3">
      <c r="A3226" t="s">
        <v>4664</v>
      </c>
      <c r="B3226" t="str">
        <f>"002544"</f>
        <v>002544</v>
      </c>
      <c r="C3226" t="s">
        <v>6791</v>
      </c>
      <c r="D3226" t="s">
        <v>654</v>
      </c>
      <c r="F3226">
        <v>152.81549999999999</v>
      </c>
      <c r="G3226">
        <v>141.65880000000001</v>
      </c>
      <c r="H3226">
        <v>150.01400000000001</v>
      </c>
      <c r="I3226">
        <v>160.97040000000001</v>
      </c>
      <c r="J3226">
        <v>148.51769999999999</v>
      </c>
      <c r="K3226">
        <v>163.62690000000001</v>
      </c>
      <c r="L3226">
        <v>190.31569999999999</v>
      </c>
      <c r="M3226">
        <v>149.57490000000001</v>
      </c>
      <c r="N3226">
        <v>131.44489999999999</v>
      </c>
      <c r="O3226">
        <v>107.4853</v>
      </c>
      <c r="P3226">
        <v>324</v>
      </c>
      <c r="Q3226" t="s">
        <v>6792</v>
      </c>
    </row>
    <row r="3227" spans="1:17" x14ac:dyDescent="0.3">
      <c r="A3227" t="s">
        <v>4664</v>
      </c>
      <c r="B3227" t="str">
        <f>"002545"</f>
        <v>002545</v>
      </c>
      <c r="C3227" t="s">
        <v>6793</v>
      </c>
      <c r="D3227" t="s">
        <v>978</v>
      </c>
      <c r="F3227">
        <v>233.3518</v>
      </c>
      <c r="G3227">
        <v>283.91820000000001</v>
      </c>
      <c r="H3227">
        <v>358.59309999999999</v>
      </c>
      <c r="I3227">
        <v>361.27780000000001</v>
      </c>
      <c r="J3227">
        <v>363.49090000000001</v>
      </c>
      <c r="K3227">
        <v>390.57819999999998</v>
      </c>
      <c r="L3227">
        <v>449.1934</v>
      </c>
      <c r="M3227">
        <v>532.62109999999996</v>
      </c>
      <c r="N3227">
        <v>274.41160000000002</v>
      </c>
      <c r="O3227">
        <v>241.8048</v>
      </c>
      <c r="P3227">
        <v>138</v>
      </c>
      <c r="Q3227" t="s">
        <v>6794</v>
      </c>
    </row>
    <row r="3228" spans="1:17" x14ac:dyDescent="0.3">
      <c r="A3228" t="s">
        <v>4664</v>
      </c>
      <c r="B3228" t="str">
        <f>"002546"</f>
        <v>002546</v>
      </c>
      <c r="C3228" t="s">
        <v>6795</v>
      </c>
      <c r="D3228" t="s">
        <v>2171</v>
      </c>
      <c r="F3228">
        <v>187.90860000000001</v>
      </c>
      <c r="G3228">
        <v>150.97909999999999</v>
      </c>
      <c r="H3228">
        <v>141.4357</v>
      </c>
      <c r="I3228">
        <v>167.72550000000001</v>
      </c>
      <c r="J3228">
        <v>151.18600000000001</v>
      </c>
      <c r="K3228">
        <v>112.22499999999999</v>
      </c>
      <c r="L3228">
        <v>104.3045</v>
      </c>
      <c r="M3228">
        <v>85.247699999999995</v>
      </c>
      <c r="N3228">
        <v>123.1495</v>
      </c>
      <c r="O3228">
        <v>148.81540000000001</v>
      </c>
      <c r="P3228">
        <v>76</v>
      </c>
      <c r="Q3228" t="s">
        <v>6796</v>
      </c>
    </row>
    <row r="3229" spans="1:17" x14ac:dyDescent="0.3">
      <c r="A3229" t="s">
        <v>4664</v>
      </c>
      <c r="B3229" t="str">
        <f>"002547"</f>
        <v>002547</v>
      </c>
      <c r="C3229" t="s">
        <v>6797</v>
      </c>
      <c r="D3229" t="s">
        <v>313</v>
      </c>
      <c r="F3229">
        <v>89.432699999999997</v>
      </c>
      <c r="G3229">
        <v>73.642399999999995</v>
      </c>
      <c r="H3229">
        <v>71.529499999999999</v>
      </c>
      <c r="I3229">
        <v>102.8278</v>
      </c>
      <c r="J3229">
        <v>164.0479</v>
      </c>
      <c r="K3229">
        <v>138.55410000000001</v>
      </c>
      <c r="L3229">
        <v>146.30199999999999</v>
      </c>
      <c r="M3229">
        <v>106.8193</v>
      </c>
      <c r="N3229">
        <v>110.66849999999999</v>
      </c>
      <c r="O3229">
        <v>156.13130000000001</v>
      </c>
      <c r="P3229">
        <v>306</v>
      </c>
      <c r="Q3229" t="s">
        <v>6798</v>
      </c>
    </row>
    <row r="3230" spans="1:17" x14ac:dyDescent="0.3">
      <c r="A3230" t="s">
        <v>4664</v>
      </c>
      <c r="B3230" t="str">
        <f>"002548"</f>
        <v>002548</v>
      </c>
      <c r="C3230" t="s">
        <v>6799</v>
      </c>
      <c r="D3230" t="s">
        <v>2859</v>
      </c>
      <c r="F3230">
        <v>113.49630000000001</v>
      </c>
      <c r="G3230">
        <v>143.20050000000001</v>
      </c>
      <c r="H3230">
        <v>82.201599999999999</v>
      </c>
      <c r="I3230">
        <v>64.154200000000003</v>
      </c>
      <c r="J3230">
        <v>63.108199999999997</v>
      </c>
      <c r="K3230">
        <v>37.400700000000001</v>
      </c>
      <c r="L3230">
        <v>27.686800000000002</v>
      </c>
      <c r="M3230">
        <v>41.663699999999999</v>
      </c>
      <c r="N3230">
        <v>34.455100000000002</v>
      </c>
      <c r="O3230">
        <v>40.014699999999998</v>
      </c>
      <c r="P3230">
        <v>260</v>
      </c>
      <c r="Q3230" t="s">
        <v>6800</v>
      </c>
    </row>
    <row r="3231" spans="1:17" x14ac:dyDescent="0.3">
      <c r="A3231" t="s">
        <v>4664</v>
      </c>
      <c r="B3231" t="str">
        <f>"002549"</f>
        <v>002549</v>
      </c>
      <c r="C3231" t="s">
        <v>6801</v>
      </c>
      <c r="D3231" t="s">
        <v>386</v>
      </c>
      <c r="F3231">
        <v>39.714300000000001</v>
      </c>
      <c r="G3231">
        <v>34.3063</v>
      </c>
      <c r="H3231">
        <v>54.363599999999998</v>
      </c>
      <c r="I3231">
        <v>35.002600000000001</v>
      </c>
      <c r="J3231">
        <v>19.780999999999999</v>
      </c>
      <c r="K3231">
        <v>35.624600000000001</v>
      </c>
      <c r="L3231">
        <v>91.633399999999995</v>
      </c>
      <c r="M3231">
        <v>52.8782</v>
      </c>
      <c r="N3231">
        <v>37.406300000000002</v>
      </c>
      <c r="O3231">
        <v>64.027600000000007</v>
      </c>
      <c r="P3231">
        <v>172</v>
      </c>
      <c r="Q3231" t="s">
        <v>6802</v>
      </c>
    </row>
    <row r="3232" spans="1:17" x14ac:dyDescent="0.3">
      <c r="A3232" t="s">
        <v>4664</v>
      </c>
      <c r="B3232" t="str">
        <f>"002550"</f>
        <v>002550</v>
      </c>
      <c r="C3232" t="s">
        <v>6803</v>
      </c>
      <c r="D3232" t="s">
        <v>143</v>
      </c>
      <c r="F3232">
        <v>172.6567</v>
      </c>
      <c r="G3232">
        <v>150.29859999999999</v>
      </c>
      <c r="H3232">
        <v>171.65559999999999</v>
      </c>
      <c r="I3232">
        <v>142.62970000000001</v>
      </c>
      <c r="J3232">
        <v>185.26419999999999</v>
      </c>
      <c r="K3232">
        <v>240.8057</v>
      </c>
      <c r="L3232">
        <v>272.68520000000001</v>
      </c>
      <c r="M3232">
        <v>211.78020000000001</v>
      </c>
      <c r="N3232">
        <v>150.76349999999999</v>
      </c>
      <c r="O3232">
        <v>262.72570000000002</v>
      </c>
      <c r="P3232">
        <v>172</v>
      </c>
      <c r="Q3232" t="s">
        <v>6804</v>
      </c>
    </row>
    <row r="3233" spans="1:17" x14ac:dyDescent="0.3">
      <c r="A3233" t="s">
        <v>4664</v>
      </c>
      <c r="B3233" t="str">
        <f>"002551"</f>
        <v>002551</v>
      </c>
      <c r="C3233" t="s">
        <v>6805</v>
      </c>
      <c r="D3233" t="s">
        <v>1077</v>
      </c>
      <c r="F3233">
        <v>192.17670000000001</v>
      </c>
      <c r="G3233">
        <v>136.43170000000001</v>
      </c>
      <c r="H3233">
        <v>121.18859999999999</v>
      </c>
      <c r="I3233">
        <v>130.3014</v>
      </c>
      <c r="J3233">
        <v>99.955600000000004</v>
      </c>
      <c r="K3233">
        <v>122.9478</v>
      </c>
      <c r="L3233">
        <v>162.05529999999999</v>
      </c>
      <c r="M3233">
        <v>179.39570000000001</v>
      </c>
      <c r="N3233">
        <v>86.572900000000004</v>
      </c>
      <c r="O3233">
        <v>100.61839999999999</v>
      </c>
      <c r="P3233">
        <v>242</v>
      </c>
      <c r="Q3233" t="s">
        <v>6806</v>
      </c>
    </row>
    <row r="3234" spans="1:17" x14ac:dyDescent="0.3">
      <c r="A3234" t="s">
        <v>4664</v>
      </c>
      <c r="B3234" t="str">
        <f>"002552"</f>
        <v>002552</v>
      </c>
      <c r="C3234" t="s">
        <v>6807</v>
      </c>
      <c r="D3234" t="s">
        <v>274</v>
      </c>
      <c r="F3234">
        <v>168.81059999999999</v>
      </c>
      <c r="G3234">
        <v>181.80760000000001</v>
      </c>
      <c r="H3234">
        <v>197.45160000000001</v>
      </c>
      <c r="I3234">
        <v>239.7158</v>
      </c>
      <c r="J3234">
        <v>287.9819</v>
      </c>
      <c r="K3234">
        <v>323.97730000000001</v>
      </c>
      <c r="L3234">
        <v>270.43349999999998</v>
      </c>
      <c r="M3234">
        <v>267.28590000000003</v>
      </c>
      <c r="N3234">
        <v>292.52780000000001</v>
      </c>
      <c r="O3234">
        <v>198.6713</v>
      </c>
      <c r="P3234">
        <v>83</v>
      </c>
      <c r="Q3234" t="s">
        <v>6808</v>
      </c>
    </row>
    <row r="3235" spans="1:17" x14ac:dyDescent="0.3">
      <c r="A3235" t="s">
        <v>4664</v>
      </c>
      <c r="B3235" t="str">
        <f>"002553"</f>
        <v>002553</v>
      </c>
      <c r="C3235" t="s">
        <v>6809</v>
      </c>
      <c r="D3235" t="s">
        <v>348</v>
      </c>
      <c r="F3235">
        <v>141.27860000000001</v>
      </c>
      <c r="G3235">
        <v>132.19569999999999</v>
      </c>
      <c r="H3235">
        <v>140.76490000000001</v>
      </c>
      <c r="I3235">
        <v>158.67779999999999</v>
      </c>
      <c r="J3235">
        <v>129.1285</v>
      </c>
      <c r="K3235">
        <v>140.42599999999999</v>
      </c>
      <c r="L3235">
        <v>133.14709999999999</v>
      </c>
      <c r="M3235">
        <v>139.28309999999999</v>
      </c>
      <c r="N3235">
        <v>161.10810000000001</v>
      </c>
      <c r="O3235">
        <v>169.0823</v>
      </c>
      <c r="P3235">
        <v>140</v>
      </c>
      <c r="Q3235" t="s">
        <v>6810</v>
      </c>
    </row>
    <row r="3236" spans="1:17" x14ac:dyDescent="0.3">
      <c r="A3236" t="s">
        <v>4664</v>
      </c>
      <c r="B3236" t="str">
        <f>"002554"</f>
        <v>002554</v>
      </c>
      <c r="C3236" t="s">
        <v>6811</v>
      </c>
      <c r="D3236" t="s">
        <v>762</v>
      </c>
      <c r="F3236">
        <v>135.47630000000001</v>
      </c>
      <c r="G3236">
        <v>236.5283</v>
      </c>
      <c r="H3236">
        <v>81.710499999999996</v>
      </c>
      <c r="I3236">
        <v>90.604399999999998</v>
      </c>
      <c r="J3236">
        <v>95.198899999999995</v>
      </c>
      <c r="K3236">
        <v>111.9907</v>
      </c>
      <c r="L3236">
        <v>74.338300000000004</v>
      </c>
      <c r="M3236">
        <v>72.734099999999998</v>
      </c>
      <c r="N3236">
        <v>104.9973</v>
      </c>
      <c r="O3236">
        <v>201.48599999999999</v>
      </c>
      <c r="P3236">
        <v>112</v>
      </c>
      <c r="Q3236" t="s">
        <v>6812</v>
      </c>
    </row>
    <row r="3237" spans="1:17" x14ac:dyDescent="0.3">
      <c r="A3237" t="s">
        <v>4664</v>
      </c>
      <c r="B3237" t="str">
        <f>"002555"</f>
        <v>002555</v>
      </c>
      <c r="C3237" t="s">
        <v>6813</v>
      </c>
      <c r="D3237" t="s">
        <v>517</v>
      </c>
      <c r="F3237">
        <v>0</v>
      </c>
      <c r="G3237">
        <v>0</v>
      </c>
      <c r="H3237">
        <v>0</v>
      </c>
      <c r="I3237">
        <v>23.656400000000001</v>
      </c>
      <c r="J3237">
        <v>24.403500000000001</v>
      </c>
      <c r="K3237">
        <v>18.338000000000001</v>
      </c>
      <c r="L3237">
        <v>17.686399999999999</v>
      </c>
      <c r="M3237">
        <v>114.47790000000001</v>
      </c>
      <c r="N3237">
        <v>123.26900000000001</v>
      </c>
      <c r="O3237">
        <v>110.8329</v>
      </c>
      <c r="P3237">
        <v>2918</v>
      </c>
      <c r="Q3237" t="s">
        <v>6814</v>
      </c>
    </row>
    <row r="3238" spans="1:17" x14ac:dyDescent="0.3">
      <c r="A3238" t="s">
        <v>4664</v>
      </c>
      <c r="B3238" t="str">
        <f>"002556"</f>
        <v>002556</v>
      </c>
      <c r="C3238" t="s">
        <v>6815</v>
      </c>
      <c r="D3238" t="s">
        <v>6816</v>
      </c>
      <c r="F3238">
        <v>47.471800000000002</v>
      </c>
      <c r="G3238">
        <v>54.956899999999997</v>
      </c>
      <c r="H3238">
        <v>61.428899999999999</v>
      </c>
      <c r="I3238">
        <v>60.72</v>
      </c>
      <c r="J3238">
        <v>63.389699999999998</v>
      </c>
      <c r="K3238">
        <v>65.991500000000002</v>
      </c>
      <c r="L3238">
        <v>46.853499999999997</v>
      </c>
      <c r="M3238">
        <v>71.714699999999993</v>
      </c>
      <c r="N3238">
        <v>82.256900000000002</v>
      </c>
      <c r="O3238">
        <v>86.094800000000006</v>
      </c>
      <c r="P3238">
        <v>110</v>
      </c>
      <c r="Q3238" t="s">
        <v>6817</v>
      </c>
    </row>
    <row r="3239" spans="1:17" x14ac:dyDescent="0.3">
      <c r="A3239" t="s">
        <v>4664</v>
      </c>
      <c r="B3239" t="str">
        <f>"002557"</f>
        <v>002557</v>
      </c>
      <c r="C3239" t="s">
        <v>6818</v>
      </c>
      <c r="D3239" t="s">
        <v>3167</v>
      </c>
      <c r="F3239">
        <v>157.3365</v>
      </c>
      <c r="G3239">
        <v>152.51</v>
      </c>
      <c r="H3239">
        <v>137.78149999999999</v>
      </c>
      <c r="I3239">
        <v>142.90700000000001</v>
      </c>
      <c r="J3239">
        <v>156.36619999999999</v>
      </c>
      <c r="K3239">
        <v>174.1283</v>
      </c>
      <c r="L3239">
        <v>161.40539999999999</v>
      </c>
      <c r="M3239">
        <v>144.53270000000001</v>
      </c>
      <c r="N3239">
        <v>96.752300000000005</v>
      </c>
      <c r="O3239">
        <v>109.4542</v>
      </c>
      <c r="P3239">
        <v>1823</v>
      </c>
      <c r="Q3239" t="s">
        <v>6819</v>
      </c>
    </row>
    <row r="3240" spans="1:17" x14ac:dyDescent="0.3">
      <c r="A3240" t="s">
        <v>4664</v>
      </c>
      <c r="B3240" t="str">
        <f>"002558"</f>
        <v>002558</v>
      </c>
      <c r="C3240" t="s">
        <v>6820</v>
      </c>
      <c r="D3240" t="s">
        <v>517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68.468699999999998</v>
      </c>
      <c r="L3240">
        <v>122.64879999999999</v>
      </c>
      <c r="M3240">
        <v>113.29</v>
      </c>
      <c r="N3240">
        <v>84.125500000000002</v>
      </c>
      <c r="O3240">
        <v>17.759699999999999</v>
      </c>
      <c r="P3240">
        <v>458</v>
      </c>
      <c r="Q3240" t="s">
        <v>6821</v>
      </c>
    </row>
    <row r="3241" spans="1:17" x14ac:dyDescent="0.3">
      <c r="A3241" t="s">
        <v>4664</v>
      </c>
      <c r="B3241" t="str">
        <f>"002559"</f>
        <v>002559</v>
      </c>
      <c r="C3241" t="s">
        <v>6822</v>
      </c>
      <c r="D3241" t="s">
        <v>2312</v>
      </c>
      <c r="F3241">
        <v>231.6497</v>
      </c>
      <c r="G3241">
        <v>210.04079999999999</v>
      </c>
      <c r="H3241">
        <v>216.708</v>
      </c>
      <c r="I3241">
        <v>204.75239999999999</v>
      </c>
      <c r="J3241">
        <v>211.14599999999999</v>
      </c>
      <c r="K3241">
        <v>231.01419999999999</v>
      </c>
      <c r="L3241">
        <v>240.52670000000001</v>
      </c>
      <c r="M3241">
        <v>245.23099999999999</v>
      </c>
      <c r="N3241">
        <v>228.47290000000001</v>
      </c>
      <c r="O3241">
        <v>256.02690000000001</v>
      </c>
      <c r="P3241">
        <v>149</v>
      </c>
      <c r="Q3241" t="s">
        <v>6823</v>
      </c>
    </row>
    <row r="3242" spans="1:17" x14ac:dyDescent="0.3">
      <c r="A3242" t="s">
        <v>4664</v>
      </c>
      <c r="B3242" t="str">
        <f>"002560"</f>
        <v>002560</v>
      </c>
      <c r="C3242" t="s">
        <v>6824</v>
      </c>
      <c r="D3242" t="s">
        <v>1164</v>
      </c>
      <c r="F3242">
        <v>74.302899999999994</v>
      </c>
      <c r="G3242">
        <v>75.440899999999999</v>
      </c>
      <c r="H3242">
        <v>83.063100000000006</v>
      </c>
      <c r="I3242">
        <v>69.518900000000002</v>
      </c>
      <c r="J3242">
        <v>70.220299999999995</v>
      </c>
      <c r="K3242">
        <v>95.607299999999995</v>
      </c>
      <c r="L3242">
        <v>108.27549999999999</v>
      </c>
      <c r="M3242">
        <v>183.7671</v>
      </c>
      <c r="N3242">
        <v>127.0596</v>
      </c>
      <c r="O3242">
        <v>149.70490000000001</v>
      </c>
      <c r="P3242">
        <v>138</v>
      </c>
      <c r="Q3242" t="s">
        <v>6825</v>
      </c>
    </row>
    <row r="3243" spans="1:17" x14ac:dyDescent="0.3">
      <c r="A3243" t="s">
        <v>4664</v>
      </c>
      <c r="B3243" t="str">
        <f>"002561"</f>
        <v>002561</v>
      </c>
      <c r="C3243" t="s">
        <v>6826</v>
      </c>
      <c r="D3243" t="s">
        <v>633</v>
      </c>
      <c r="F3243">
        <v>43.819499999999998</v>
      </c>
      <c r="G3243">
        <v>39.940199999999997</v>
      </c>
      <c r="H3243">
        <v>8.0940999999999992</v>
      </c>
      <c r="I3243">
        <v>7.6216999999999997</v>
      </c>
      <c r="J3243">
        <v>8.1024999999999991</v>
      </c>
      <c r="K3243">
        <v>9.0852000000000004</v>
      </c>
      <c r="L3243">
        <v>9.3806999999999992</v>
      </c>
      <c r="M3243">
        <v>9.2506000000000004</v>
      </c>
      <c r="N3243">
        <v>10.1807</v>
      </c>
      <c r="O3243">
        <v>11.966900000000001</v>
      </c>
      <c r="P3243">
        <v>183</v>
      </c>
      <c r="Q3243" t="s">
        <v>6827</v>
      </c>
    </row>
    <row r="3244" spans="1:17" x14ac:dyDescent="0.3">
      <c r="A3244" t="s">
        <v>4664</v>
      </c>
      <c r="B3244" t="str">
        <f>"002562"</f>
        <v>002562</v>
      </c>
      <c r="C3244" t="s">
        <v>6828</v>
      </c>
      <c r="D3244" t="s">
        <v>677</v>
      </c>
      <c r="F3244">
        <v>155.53120000000001</v>
      </c>
      <c r="G3244">
        <v>187.12710000000001</v>
      </c>
      <c r="H3244">
        <v>171.03280000000001</v>
      </c>
      <c r="I3244">
        <v>123.21980000000001</v>
      </c>
      <c r="J3244">
        <v>119.1217</v>
      </c>
      <c r="K3244">
        <v>86.197100000000006</v>
      </c>
      <c r="L3244">
        <v>102.4096</v>
      </c>
      <c r="M3244">
        <v>100.6811</v>
      </c>
      <c r="N3244">
        <v>114.8331</v>
      </c>
      <c r="O3244">
        <v>159.5463</v>
      </c>
      <c r="P3244">
        <v>260</v>
      </c>
      <c r="Q3244" t="s">
        <v>6829</v>
      </c>
    </row>
    <row r="3245" spans="1:17" x14ac:dyDescent="0.3">
      <c r="A3245" t="s">
        <v>4664</v>
      </c>
      <c r="B3245" t="str">
        <f>"002563"</f>
        <v>002563</v>
      </c>
      <c r="C3245" t="s">
        <v>6830</v>
      </c>
      <c r="D3245" t="s">
        <v>255</v>
      </c>
      <c r="F3245">
        <v>206.1267</v>
      </c>
      <c r="G3245">
        <v>241.04040000000001</v>
      </c>
      <c r="H3245">
        <v>236.88570000000001</v>
      </c>
      <c r="I3245">
        <v>197.1747</v>
      </c>
      <c r="J3245">
        <v>203.31809999999999</v>
      </c>
      <c r="K3245">
        <v>167.30449999999999</v>
      </c>
      <c r="L3245">
        <v>143.2569</v>
      </c>
      <c r="M3245">
        <v>134.73689999999999</v>
      </c>
      <c r="N3245">
        <v>134.67939999999999</v>
      </c>
      <c r="O3245">
        <v>152.3921</v>
      </c>
      <c r="P3245">
        <v>904</v>
      </c>
      <c r="Q3245" t="s">
        <v>6831</v>
      </c>
    </row>
    <row r="3246" spans="1:17" x14ac:dyDescent="0.3">
      <c r="A3246" t="s">
        <v>4664</v>
      </c>
      <c r="B3246" t="str">
        <f>"002564"</f>
        <v>002564</v>
      </c>
      <c r="C3246" t="s">
        <v>6832</v>
      </c>
      <c r="D3246" t="s">
        <v>395</v>
      </c>
      <c r="F3246">
        <v>182.84299999999999</v>
      </c>
      <c r="G3246">
        <v>226.3313</v>
      </c>
      <c r="H3246">
        <v>299.58190000000002</v>
      </c>
      <c r="I3246">
        <v>617.93200000000002</v>
      </c>
      <c r="J3246">
        <v>232.9444</v>
      </c>
      <c r="K3246">
        <v>624.62549999999999</v>
      </c>
      <c r="L3246">
        <v>421.74540000000002</v>
      </c>
      <c r="M3246">
        <v>365.86489999999998</v>
      </c>
      <c r="N3246">
        <v>452.75380000000001</v>
      </c>
      <c r="O3246">
        <v>430.68209999999999</v>
      </c>
      <c r="P3246">
        <v>130</v>
      </c>
      <c r="Q3246" t="s">
        <v>6833</v>
      </c>
    </row>
    <row r="3247" spans="1:17" x14ac:dyDescent="0.3">
      <c r="A3247" t="s">
        <v>4664</v>
      </c>
      <c r="B3247" t="str">
        <f>"002565"</f>
        <v>002565</v>
      </c>
      <c r="C3247" t="s">
        <v>6834</v>
      </c>
      <c r="D3247" t="s">
        <v>2156</v>
      </c>
      <c r="F3247">
        <v>187.93020000000001</v>
      </c>
      <c r="G3247">
        <v>213.39959999999999</v>
      </c>
      <c r="H3247">
        <v>208.67160000000001</v>
      </c>
      <c r="I3247">
        <v>213.35890000000001</v>
      </c>
      <c r="J3247">
        <v>214.54069999999999</v>
      </c>
      <c r="K3247">
        <v>264.64729999999997</v>
      </c>
      <c r="L3247">
        <v>215.45320000000001</v>
      </c>
      <c r="M3247">
        <v>161.09870000000001</v>
      </c>
      <c r="N3247">
        <v>204.64750000000001</v>
      </c>
      <c r="O3247">
        <v>197.81370000000001</v>
      </c>
      <c r="P3247">
        <v>107</v>
      </c>
      <c r="Q3247" t="s">
        <v>6835</v>
      </c>
    </row>
    <row r="3248" spans="1:17" x14ac:dyDescent="0.3">
      <c r="A3248" t="s">
        <v>4664</v>
      </c>
      <c r="B3248" t="str">
        <f>"002566"</f>
        <v>002566</v>
      </c>
      <c r="C3248" t="s">
        <v>6836</v>
      </c>
      <c r="D3248" t="s">
        <v>188</v>
      </c>
      <c r="F3248">
        <v>3460.3780999999999</v>
      </c>
      <c r="G3248">
        <v>4029.1723000000002</v>
      </c>
      <c r="H3248">
        <v>3517.8908999999999</v>
      </c>
      <c r="I3248">
        <v>3461.6248000000001</v>
      </c>
      <c r="J3248">
        <v>3344.7112000000002</v>
      </c>
      <c r="K3248">
        <v>3227.4863999999998</v>
      </c>
      <c r="L3248">
        <v>2377.2446</v>
      </c>
      <c r="M3248">
        <v>1559.4543000000001</v>
      </c>
      <c r="N3248">
        <v>728.61210000000005</v>
      </c>
      <c r="O3248">
        <v>425.15179999999998</v>
      </c>
      <c r="P3248">
        <v>134</v>
      </c>
      <c r="Q3248" t="s">
        <v>6837</v>
      </c>
    </row>
    <row r="3249" spans="1:17" x14ac:dyDescent="0.3">
      <c r="A3249" t="s">
        <v>4664</v>
      </c>
      <c r="B3249" t="str">
        <f>"002567"</f>
        <v>002567</v>
      </c>
      <c r="C3249" t="s">
        <v>6838</v>
      </c>
      <c r="D3249" t="s">
        <v>2859</v>
      </c>
      <c r="F3249">
        <v>47.488799999999998</v>
      </c>
      <c r="G3249">
        <v>42.607900000000001</v>
      </c>
      <c r="H3249">
        <v>36.222799999999999</v>
      </c>
      <c r="I3249">
        <v>37.490299999999998</v>
      </c>
      <c r="J3249">
        <v>33.366300000000003</v>
      </c>
      <c r="K3249">
        <v>29.645</v>
      </c>
      <c r="L3249">
        <v>34.204900000000002</v>
      </c>
      <c r="M3249">
        <v>34.306199999999997</v>
      </c>
      <c r="N3249">
        <v>37.514400000000002</v>
      </c>
      <c r="O3249">
        <v>38.0488</v>
      </c>
      <c r="P3249">
        <v>451</v>
      </c>
      <c r="Q3249" t="s">
        <v>6839</v>
      </c>
    </row>
    <row r="3250" spans="1:17" x14ac:dyDescent="0.3">
      <c r="A3250" t="s">
        <v>4664</v>
      </c>
      <c r="B3250" t="str">
        <f>"002568"</f>
        <v>002568</v>
      </c>
      <c r="C3250" t="s">
        <v>6840</v>
      </c>
      <c r="D3250" t="s">
        <v>134</v>
      </c>
      <c r="F3250">
        <v>71.741399999999999</v>
      </c>
      <c r="G3250">
        <v>99.121099999999998</v>
      </c>
      <c r="H3250">
        <v>92.955399999999997</v>
      </c>
      <c r="I3250">
        <v>102.8355</v>
      </c>
      <c r="J3250">
        <v>108.2163</v>
      </c>
      <c r="K3250">
        <v>158.971</v>
      </c>
      <c r="L3250">
        <v>42.096800000000002</v>
      </c>
      <c r="M3250">
        <v>100.7775</v>
      </c>
      <c r="N3250">
        <v>124.0715</v>
      </c>
      <c r="O3250">
        <v>123.0562</v>
      </c>
      <c r="P3250">
        <v>1074</v>
      </c>
      <c r="Q3250" t="s">
        <v>6841</v>
      </c>
    </row>
    <row r="3251" spans="1:17" x14ac:dyDescent="0.3">
      <c r="A3251" t="s">
        <v>4664</v>
      </c>
      <c r="B3251" t="str">
        <f>"002569"</f>
        <v>002569</v>
      </c>
      <c r="C3251" t="s">
        <v>6842</v>
      </c>
      <c r="D3251" t="s">
        <v>255</v>
      </c>
      <c r="F3251">
        <v>170.2217</v>
      </c>
      <c r="G3251">
        <v>328.22989999999999</v>
      </c>
      <c r="H3251">
        <v>323.0061</v>
      </c>
      <c r="I3251">
        <v>286.13830000000002</v>
      </c>
      <c r="J3251">
        <v>396.56799999999998</v>
      </c>
      <c r="K3251">
        <v>453.12729999999999</v>
      </c>
      <c r="L3251">
        <v>444.99979999999999</v>
      </c>
      <c r="M3251">
        <v>415.83420000000001</v>
      </c>
      <c r="N3251">
        <v>296.05009999999999</v>
      </c>
      <c r="O3251">
        <v>225.8623</v>
      </c>
      <c r="P3251">
        <v>59</v>
      </c>
      <c r="Q3251" t="s">
        <v>6843</v>
      </c>
    </row>
    <row r="3252" spans="1:17" x14ac:dyDescent="0.3">
      <c r="A3252" t="s">
        <v>4664</v>
      </c>
      <c r="B3252" t="str">
        <f>"002570"</f>
        <v>002570</v>
      </c>
      <c r="C3252" t="s">
        <v>6844</v>
      </c>
      <c r="D3252" t="s">
        <v>900</v>
      </c>
      <c r="F3252">
        <v>245.29920000000001</v>
      </c>
      <c r="G3252">
        <v>177.28440000000001</v>
      </c>
      <c r="H3252">
        <v>164.10939999999999</v>
      </c>
      <c r="I3252">
        <v>249.84309999999999</v>
      </c>
      <c r="J3252">
        <v>330.08600000000001</v>
      </c>
      <c r="K3252">
        <v>308.71030000000002</v>
      </c>
      <c r="L3252">
        <v>264.18720000000002</v>
      </c>
      <c r="M3252">
        <v>279.18610000000001</v>
      </c>
      <c r="N3252">
        <v>123.8398</v>
      </c>
      <c r="O3252">
        <v>135.82509999999999</v>
      </c>
      <c r="P3252">
        <v>261</v>
      </c>
      <c r="Q3252" t="s">
        <v>6845</v>
      </c>
    </row>
    <row r="3253" spans="1:17" x14ac:dyDescent="0.3">
      <c r="A3253" t="s">
        <v>4664</v>
      </c>
      <c r="B3253" t="str">
        <f>"002571"</f>
        <v>002571</v>
      </c>
      <c r="C3253" t="s">
        <v>6846</v>
      </c>
      <c r="D3253" t="s">
        <v>2436</v>
      </c>
      <c r="F3253">
        <v>220.1259</v>
      </c>
      <c r="G3253">
        <v>273.31990000000002</v>
      </c>
      <c r="H3253">
        <v>228.06399999999999</v>
      </c>
      <c r="I3253">
        <v>203.24160000000001</v>
      </c>
      <c r="J3253">
        <v>194.4136</v>
      </c>
      <c r="K3253">
        <v>191.57</v>
      </c>
      <c r="L3253">
        <v>233.84530000000001</v>
      </c>
      <c r="M3253">
        <v>177.62370000000001</v>
      </c>
      <c r="N3253">
        <v>178.87610000000001</v>
      </c>
      <c r="O3253">
        <v>153.07390000000001</v>
      </c>
      <c r="P3253">
        <v>92</v>
      </c>
      <c r="Q3253" t="s">
        <v>6847</v>
      </c>
    </row>
    <row r="3254" spans="1:17" x14ac:dyDescent="0.3">
      <c r="A3254" t="s">
        <v>4664</v>
      </c>
      <c r="B3254" t="str">
        <f>"002572"</f>
        <v>002572</v>
      </c>
      <c r="C3254" t="s">
        <v>6848</v>
      </c>
      <c r="D3254" t="s">
        <v>2647</v>
      </c>
      <c r="F3254">
        <v>46.571100000000001</v>
      </c>
      <c r="G3254">
        <v>54.055599999999998</v>
      </c>
      <c r="H3254">
        <v>35.042099999999998</v>
      </c>
      <c r="I3254">
        <v>36.071300000000001</v>
      </c>
      <c r="J3254">
        <v>38.077100000000002</v>
      </c>
      <c r="K3254">
        <v>41.531199999999998</v>
      </c>
      <c r="L3254">
        <v>48.713099999999997</v>
      </c>
      <c r="M3254">
        <v>53.322600000000001</v>
      </c>
      <c r="N3254">
        <v>55.921100000000003</v>
      </c>
      <c r="O3254">
        <v>47.6248</v>
      </c>
      <c r="P3254">
        <v>9141</v>
      </c>
      <c r="Q3254" t="s">
        <v>6849</v>
      </c>
    </row>
    <row r="3255" spans="1:17" x14ac:dyDescent="0.3">
      <c r="A3255" t="s">
        <v>4664</v>
      </c>
      <c r="B3255" t="str">
        <f>"002573"</f>
        <v>002573</v>
      </c>
      <c r="C3255" t="s">
        <v>6850</v>
      </c>
      <c r="D3255" t="s">
        <v>663</v>
      </c>
      <c r="F3255">
        <v>148.8535</v>
      </c>
      <c r="G3255">
        <v>179.34270000000001</v>
      </c>
      <c r="H3255">
        <v>277.48039999999997</v>
      </c>
      <c r="I3255">
        <v>280.94799999999998</v>
      </c>
      <c r="J3255">
        <v>222.03309999999999</v>
      </c>
      <c r="K3255">
        <v>254.08029999999999</v>
      </c>
      <c r="L3255">
        <v>92.684799999999996</v>
      </c>
      <c r="M3255">
        <v>83.273600000000002</v>
      </c>
      <c r="N3255">
        <v>126.0095</v>
      </c>
      <c r="O3255">
        <v>185.34729999999999</v>
      </c>
      <c r="P3255">
        <v>613</v>
      </c>
      <c r="Q3255" t="s">
        <v>6851</v>
      </c>
    </row>
    <row r="3256" spans="1:17" x14ac:dyDescent="0.3">
      <c r="A3256" t="s">
        <v>4664</v>
      </c>
      <c r="B3256" t="str">
        <f>"002574"</f>
        <v>002574</v>
      </c>
      <c r="C3256" t="s">
        <v>6852</v>
      </c>
      <c r="D3256" t="s">
        <v>1238</v>
      </c>
      <c r="F3256">
        <v>244.97329999999999</v>
      </c>
      <c r="G3256">
        <v>364.69209999999998</v>
      </c>
      <c r="H3256">
        <v>222.17449999999999</v>
      </c>
      <c r="I3256">
        <v>174.9316</v>
      </c>
      <c r="J3256">
        <v>208.57079999999999</v>
      </c>
      <c r="K3256">
        <v>212.5223</v>
      </c>
      <c r="L3256">
        <v>146.07640000000001</v>
      </c>
      <c r="M3256">
        <v>105.8811</v>
      </c>
      <c r="N3256">
        <v>106.87260000000001</v>
      </c>
      <c r="O3256">
        <v>155.31630000000001</v>
      </c>
      <c r="P3256">
        <v>105</v>
      </c>
      <c r="Q3256" t="s">
        <v>6853</v>
      </c>
    </row>
    <row r="3257" spans="1:17" x14ac:dyDescent="0.3">
      <c r="A3257" t="s">
        <v>4664</v>
      </c>
      <c r="B3257" t="str">
        <f>"002575"</f>
        <v>002575</v>
      </c>
      <c r="C3257" t="s">
        <v>6854</v>
      </c>
      <c r="D3257" t="s">
        <v>2904</v>
      </c>
      <c r="F3257">
        <v>21.7728</v>
      </c>
      <c r="G3257">
        <v>0</v>
      </c>
      <c r="H3257">
        <v>0</v>
      </c>
      <c r="I3257">
        <v>0</v>
      </c>
      <c r="J3257">
        <v>175.20249999999999</v>
      </c>
      <c r="K3257">
        <v>113.21250000000001</v>
      </c>
      <c r="L3257">
        <v>117.9303</v>
      </c>
      <c r="M3257">
        <v>119.0979</v>
      </c>
      <c r="N3257">
        <v>119.15770000000001</v>
      </c>
      <c r="O3257">
        <v>137.7679</v>
      </c>
      <c r="P3257">
        <v>57</v>
      </c>
      <c r="Q3257" t="s">
        <v>6855</v>
      </c>
    </row>
    <row r="3258" spans="1:17" x14ac:dyDescent="0.3">
      <c r="A3258" t="s">
        <v>4664</v>
      </c>
      <c r="B3258" t="str">
        <f>"002576"</f>
        <v>002576</v>
      </c>
      <c r="C3258" t="s">
        <v>6856</v>
      </c>
      <c r="D3258" t="s">
        <v>1171</v>
      </c>
      <c r="F3258">
        <v>97.8232</v>
      </c>
      <c r="G3258">
        <v>92.695300000000003</v>
      </c>
      <c r="H3258">
        <v>106.38079999999999</v>
      </c>
      <c r="I3258">
        <v>101.29130000000001</v>
      </c>
      <c r="J3258">
        <v>96.392399999999995</v>
      </c>
      <c r="K3258">
        <v>140.3075</v>
      </c>
      <c r="L3258">
        <v>123.0577</v>
      </c>
      <c r="M3258">
        <v>94.822199999999995</v>
      </c>
      <c r="N3258">
        <v>102.077</v>
      </c>
      <c r="O3258">
        <v>110.1078</v>
      </c>
      <c r="P3258">
        <v>123</v>
      </c>
      <c r="Q3258" t="s">
        <v>6857</v>
      </c>
    </row>
    <row r="3259" spans="1:17" x14ac:dyDescent="0.3">
      <c r="A3259" t="s">
        <v>4664</v>
      </c>
      <c r="B3259" t="str">
        <f>"002577"</f>
        <v>002577</v>
      </c>
      <c r="C3259" t="s">
        <v>6858</v>
      </c>
      <c r="D3259" t="s">
        <v>236</v>
      </c>
      <c r="F3259">
        <v>107.0805</v>
      </c>
      <c r="G3259">
        <v>58.2532</v>
      </c>
      <c r="H3259">
        <v>151.50749999999999</v>
      </c>
      <c r="I3259">
        <v>117.20820000000001</v>
      </c>
      <c r="J3259">
        <v>114.7133</v>
      </c>
      <c r="K3259">
        <v>132.2758</v>
      </c>
      <c r="L3259">
        <v>154.13929999999999</v>
      </c>
      <c r="M3259">
        <v>146.09970000000001</v>
      </c>
      <c r="N3259">
        <v>127.0795</v>
      </c>
      <c r="O3259">
        <v>114.792</v>
      </c>
      <c r="P3259">
        <v>83</v>
      </c>
      <c r="Q3259" t="s">
        <v>6859</v>
      </c>
    </row>
    <row r="3260" spans="1:17" x14ac:dyDescent="0.3">
      <c r="A3260" t="s">
        <v>4664</v>
      </c>
      <c r="B3260" t="str">
        <f>"002578"</f>
        <v>002578</v>
      </c>
      <c r="C3260" t="s">
        <v>6860</v>
      </c>
      <c r="D3260" t="s">
        <v>504</v>
      </c>
      <c r="F3260">
        <v>86.699799999999996</v>
      </c>
      <c r="G3260">
        <v>85.261300000000006</v>
      </c>
      <c r="H3260">
        <v>95.604699999999994</v>
      </c>
      <c r="I3260">
        <v>95.781800000000004</v>
      </c>
      <c r="J3260">
        <v>111.89060000000001</v>
      </c>
      <c r="K3260">
        <v>98.380700000000004</v>
      </c>
      <c r="L3260">
        <v>88.528300000000002</v>
      </c>
      <c r="M3260">
        <v>93.786199999999994</v>
      </c>
      <c r="N3260">
        <v>109.09910000000001</v>
      </c>
      <c r="O3260">
        <v>74.956000000000003</v>
      </c>
      <c r="P3260">
        <v>91</v>
      </c>
      <c r="Q3260" t="s">
        <v>6861</v>
      </c>
    </row>
    <row r="3261" spans="1:17" x14ac:dyDescent="0.3">
      <c r="A3261" t="s">
        <v>4664</v>
      </c>
      <c r="B3261" t="str">
        <f>"002579"</f>
        <v>002579</v>
      </c>
      <c r="C3261" t="s">
        <v>6862</v>
      </c>
      <c r="D3261" t="s">
        <v>425</v>
      </c>
      <c r="F3261">
        <v>124.5112</v>
      </c>
      <c r="G3261">
        <v>120.12739999999999</v>
      </c>
      <c r="H3261">
        <v>112.0889</v>
      </c>
      <c r="I3261">
        <v>112.58710000000001</v>
      </c>
      <c r="J3261">
        <v>101.3232</v>
      </c>
      <c r="K3261">
        <v>109.947</v>
      </c>
      <c r="L3261">
        <v>97.268699999999995</v>
      </c>
      <c r="M3261">
        <v>94.341200000000001</v>
      </c>
      <c r="N3261">
        <v>115.55629999999999</v>
      </c>
      <c r="O3261">
        <v>137.44829999999999</v>
      </c>
      <c r="P3261">
        <v>279</v>
      </c>
      <c r="Q3261" t="s">
        <v>6863</v>
      </c>
    </row>
    <row r="3262" spans="1:17" x14ac:dyDescent="0.3">
      <c r="A3262" t="s">
        <v>4664</v>
      </c>
      <c r="B3262" t="str">
        <f>"002580"</f>
        <v>002580</v>
      </c>
      <c r="C3262" t="s">
        <v>6864</v>
      </c>
      <c r="D3262" t="s">
        <v>555</v>
      </c>
      <c r="F3262">
        <v>82.422200000000004</v>
      </c>
      <c r="G3262">
        <v>98.605699999999999</v>
      </c>
      <c r="H3262">
        <v>90.504199999999997</v>
      </c>
      <c r="I3262">
        <v>95.956500000000005</v>
      </c>
      <c r="J3262">
        <v>90.060900000000004</v>
      </c>
      <c r="K3262">
        <v>86.950400000000002</v>
      </c>
      <c r="L3262">
        <v>114.5992</v>
      </c>
      <c r="M3262">
        <v>119.2826</v>
      </c>
      <c r="N3262">
        <v>131.77350000000001</v>
      </c>
      <c r="O3262">
        <v>88.424099999999996</v>
      </c>
      <c r="P3262">
        <v>114</v>
      </c>
      <c r="Q3262" t="s">
        <v>6865</v>
      </c>
    </row>
    <row r="3263" spans="1:17" x14ac:dyDescent="0.3">
      <c r="A3263" t="s">
        <v>4664</v>
      </c>
      <c r="B3263" t="str">
        <f>"002581"</f>
        <v>002581</v>
      </c>
      <c r="C3263" t="s">
        <v>6866</v>
      </c>
      <c r="D3263" t="s">
        <v>1379</v>
      </c>
      <c r="F3263">
        <v>390.49950000000001</v>
      </c>
      <c r="G3263">
        <v>804.65800000000002</v>
      </c>
      <c r="H3263">
        <v>369.03210000000001</v>
      </c>
      <c r="I3263">
        <v>244.6977</v>
      </c>
      <c r="J3263">
        <v>113.4688</v>
      </c>
      <c r="K3263">
        <v>114.0284</v>
      </c>
      <c r="L3263">
        <v>335.0609</v>
      </c>
      <c r="M3263">
        <v>57.159500000000001</v>
      </c>
      <c r="N3263">
        <v>92.131</v>
      </c>
      <c r="O3263">
        <v>49.533999999999999</v>
      </c>
      <c r="P3263">
        <v>228</v>
      </c>
      <c r="Q3263" t="s">
        <v>6867</v>
      </c>
    </row>
    <row r="3264" spans="1:17" x14ac:dyDescent="0.3">
      <c r="A3264" t="s">
        <v>4664</v>
      </c>
      <c r="B3264" t="str">
        <f>"002582"</f>
        <v>002582</v>
      </c>
      <c r="C3264" t="s">
        <v>6868</v>
      </c>
      <c r="D3264" t="s">
        <v>3167</v>
      </c>
      <c r="F3264">
        <v>240.27369999999999</v>
      </c>
      <c r="G3264">
        <v>163.7071</v>
      </c>
      <c r="H3264">
        <v>124.3802</v>
      </c>
      <c r="I3264">
        <v>135.8871</v>
      </c>
      <c r="J3264">
        <v>166.40090000000001</v>
      </c>
      <c r="K3264">
        <v>274.43790000000001</v>
      </c>
      <c r="L3264">
        <v>277.1848</v>
      </c>
      <c r="M3264">
        <v>256.8759</v>
      </c>
      <c r="N3264">
        <v>328.25670000000002</v>
      </c>
      <c r="O3264">
        <v>272.86189999999999</v>
      </c>
      <c r="P3264">
        <v>439</v>
      </c>
      <c r="Q3264" t="s">
        <v>6869</v>
      </c>
    </row>
    <row r="3265" spans="1:17" x14ac:dyDescent="0.3">
      <c r="A3265" t="s">
        <v>4664</v>
      </c>
      <c r="B3265" t="str">
        <f>"002583"</f>
        <v>002583</v>
      </c>
      <c r="C3265" t="s">
        <v>6870</v>
      </c>
      <c r="D3265" t="s">
        <v>1019</v>
      </c>
      <c r="F3265">
        <v>383.08629999999999</v>
      </c>
      <c r="G3265">
        <v>287.40379999999999</v>
      </c>
      <c r="H3265">
        <v>263.89389999999997</v>
      </c>
      <c r="I3265">
        <v>271.84789999999998</v>
      </c>
      <c r="J3265">
        <v>298.12169999999998</v>
      </c>
      <c r="K3265">
        <v>255.41759999999999</v>
      </c>
      <c r="L3265">
        <v>315.01400000000001</v>
      </c>
      <c r="M3265">
        <v>332.50040000000001</v>
      </c>
      <c r="N3265">
        <v>335.20170000000002</v>
      </c>
      <c r="O3265">
        <v>275.27659999999997</v>
      </c>
      <c r="P3265">
        <v>397</v>
      </c>
      <c r="Q3265" t="s">
        <v>6871</v>
      </c>
    </row>
    <row r="3266" spans="1:17" x14ac:dyDescent="0.3">
      <c r="A3266" t="s">
        <v>4664</v>
      </c>
      <c r="B3266" t="str">
        <f>"002584"</f>
        <v>002584</v>
      </c>
      <c r="C3266" t="s">
        <v>6872</v>
      </c>
      <c r="D3266" t="s">
        <v>2399</v>
      </c>
      <c r="F3266">
        <v>55.839700000000001</v>
      </c>
      <c r="G3266">
        <v>32.143500000000003</v>
      </c>
      <c r="H3266">
        <v>61.732799999999997</v>
      </c>
      <c r="I3266">
        <v>56.650700000000001</v>
      </c>
      <c r="J3266">
        <v>58.9953</v>
      </c>
      <c r="K3266">
        <v>83.301199999999994</v>
      </c>
      <c r="L3266">
        <v>82.061300000000003</v>
      </c>
      <c r="M3266">
        <v>72.010300000000001</v>
      </c>
      <c r="N3266">
        <v>71.617999999999995</v>
      </c>
      <c r="O3266">
        <v>87.424300000000002</v>
      </c>
      <c r="P3266">
        <v>119</v>
      </c>
      <c r="Q3266" t="s">
        <v>6873</v>
      </c>
    </row>
    <row r="3267" spans="1:17" x14ac:dyDescent="0.3">
      <c r="A3267" t="s">
        <v>4664</v>
      </c>
      <c r="B3267" t="str">
        <f>"002585"</f>
        <v>002585</v>
      </c>
      <c r="C3267" t="s">
        <v>6874</v>
      </c>
      <c r="D3267" t="s">
        <v>324</v>
      </c>
      <c r="F3267">
        <v>161.79560000000001</v>
      </c>
      <c r="G3267">
        <v>178.8665</v>
      </c>
      <c r="H3267">
        <v>168.2139</v>
      </c>
      <c r="I3267">
        <v>176.62909999999999</v>
      </c>
      <c r="J3267">
        <v>198.00139999999999</v>
      </c>
      <c r="K3267">
        <v>204.35749999999999</v>
      </c>
      <c r="L3267">
        <v>196.9288</v>
      </c>
      <c r="M3267">
        <v>185.0607</v>
      </c>
      <c r="N3267">
        <v>152.03620000000001</v>
      </c>
      <c r="O3267">
        <v>103.04389999999999</v>
      </c>
      <c r="P3267">
        <v>382</v>
      </c>
      <c r="Q3267" t="s">
        <v>6875</v>
      </c>
    </row>
    <row r="3268" spans="1:17" x14ac:dyDescent="0.3">
      <c r="A3268" t="s">
        <v>4664</v>
      </c>
      <c r="B3268" t="str">
        <f>"002586"</f>
        <v>002586</v>
      </c>
      <c r="C3268" t="s">
        <v>6876</v>
      </c>
      <c r="D3268" t="s">
        <v>101</v>
      </c>
      <c r="F3268">
        <v>0</v>
      </c>
      <c r="G3268">
        <v>53.641800000000003</v>
      </c>
      <c r="H3268">
        <v>48.627600000000001</v>
      </c>
      <c r="I3268">
        <v>24.378399999999999</v>
      </c>
      <c r="J3268">
        <v>20.570799999999998</v>
      </c>
      <c r="K3268">
        <v>17.042100000000001</v>
      </c>
      <c r="L3268">
        <v>13.5398</v>
      </c>
      <c r="M3268">
        <v>10.066800000000001</v>
      </c>
      <c r="N3268">
        <v>7.3228</v>
      </c>
      <c r="O3268">
        <v>7.7290000000000001</v>
      </c>
      <c r="P3268">
        <v>62</v>
      </c>
      <c r="Q3268" t="s">
        <v>6877</v>
      </c>
    </row>
    <row r="3269" spans="1:17" x14ac:dyDescent="0.3">
      <c r="A3269" t="s">
        <v>4664</v>
      </c>
      <c r="B3269" t="str">
        <f>"002587"</f>
        <v>002587</v>
      </c>
      <c r="C3269" t="s">
        <v>6878</v>
      </c>
      <c r="D3269" t="s">
        <v>803</v>
      </c>
      <c r="F3269">
        <v>229.73580000000001</v>
      </c>
      <c r="G3269">
        <v>208.25049999999999</v>
      </c>
      <c r="H3269">
        <v>180.76089999999999</v>
      </c>
      <c r="I3269">
        <v>114.53400000000001</v>
      </c>
      <c r="J3269">
        <v>179.57599999999999</v>
      </c>
      <c r="K3269">
        <v>403.09969999999998</v>
      </c>
      <c r="L3269">
        <v>401.37670000000003</v>
      </c>
      <c r="M3269">
        <v>265.60989999999998</v>
      </c>
      <c r="N3269">
        <v>251.50299999999999</v>
      </c>
      <c r="O3269">
        <v>172.71979999999999</v>
      </c>
      <c r="P3269">
        <v>142</v>
      </c>
      <c r="Q3269" t="s">
        <v>6879</v>
      </c>
    </row>
    <row r="3270" spans="1:17" x14ac:dyDescent="0.3">
      <c r="A3270" t="s">
        <v>4664</v>
      </c>
      <c r="B3270" t="str">
        <f>"002588"</f>
        <v>002588</v>
      </c>
      <c r="C3270" t="s">
        <v>6880</v>
      </c>
      <c r="D3270" t="s">
        <v>5489</v>
      </c>
      <c r="F3270">
        <v>92.638499999999993</v>
      </c>
      <c r="G3270">
        <v>81.610799999999998</v>
      </c>
      <c r="H3270">
        <v>132.1003</v>
      </c>
      <c r="I3270">
        <v>114.88290000000001</v>
      </c>
      <c r="J3270">
        <v>100.84310000000001</v>
      </c>
      <c r="K3270">
        <v>102.2072</v>
      </c>
      <c r="L3270">
        <v>49.924599999999998</v>
      </c>
      <c r="M3270">
        <v>66.868899999999996</v>
      </c>
      <c r="N3270">
        <v>84.906199999999998</v>
      </c>
      <c r="O3270">
        <v>97.548900000000003</v>
      </c>
      <c r="P3270">
        <v>164</v>
      </c>
      <c r="Q3270" t="s">
        <v>6881</v>
      </c>
    </row>
    <row r="3271" spans="1:17" x14ac:dyDescent="0.3">
      <c r="A3271" t="s">
        <v>4664</v>
      </c>
      <c r="B3271" t="str">
        <f>"002589"</f>
        <v>002589</v>
      </c>
      <c r="C3271" t="s">
        <v>6882</v>
      </c>
      <c r="D3271" t="s">
        <v>125</v>
      </c>
      <c r="F3271">
        <v>63.574800000000003</v>
      </c>
      <c r="G3271">
        <v>74.099999999999994</v>
      </c>
      <c r="H3271">
        <v>69.861000000000004</v>
      </c>
      <c r="I3271">
        <v>79.137799999999999</v>
      </c>
      <c r="J3271">
        <v>57.2376</v>
      </c>
      <c r="K3271">
        <v>47.939</v>
      </c>
      <c r="L3271">
        <v>45.128</v>
      </c>
      <c r="M3271">
        <v>40.833799999999997</v>
      </c>
      <c r="N3271">
        <v>41.354999999999997</v>
      </c>
      <c r="O3271">
        <v>41.103400000000001</v>
      </c>
      <c r="P3271">
        <v>460</v>
      </c>
      <c r="Q3271" t="s">
        <v>6883</v>
      </c>
    </row>
    <row r="3272" spans="1:17" x14ac:dyDescent="0.3">
      <c r="A3272" t="s">
        <v>4664</v>
      </c>
      <c r="B3272" t="str">
        <f>"002590"</f>
        <v>002590</v>
      </c>
      <c r="C3272" t="s">
        <v>6884</v>
      </c>
      <c r="D3272" t="s">
        <v>348</v>
      </c>
      <c r="F3272">
        <v>124.94670000000001</v>
      </c>
      <c r="G3272">
        <v>119.5823</v>
      </c>
      <c r="H3272">
        <v>136.5146</v>
      </c>
      <c r="I3272">
        <v>129.28280000000001</v>
      </c>
      <c r="J3272">
        <v>122.17010000000001</v>
      </c>
      <c r="K3272">
        <v>111.3347</v>
      </c>
      <c r="L3272">
        <v>110.11920000000001</v>
      </c>
      <c r="M3272">
        <v>125.5497</v>
      </c>
      <c r="N3272">
        <v>126.50360000000001</v>
      </c>
      <c r="O3272">
        <v>139.50239999999999</v>
      </c>
      <c r="P3272">
        <v>119</v>
      </c>
      <c r="Q3272" t="s">
        <v>6885</v>
      </c>
    </row>
    <row r="3273" spans="1:17" x14ac:dyDescent="0.3">
      <c r="A3273" t="s">
        <v>4664</v>
      </c>
      <c r="B3273" t="str">
        <f>"002591"</f>
        <v>002591</v>
      </c>
      <c r="C3273" t="s">
        <v>6886</v>
      </c>
      <c r="D3273" t="s">
        <v>207</v>
      </c>
      <c r="F3273">
        <v>104.3779</v>
      </c>
      <c r="G3273">
        <v>176.77109999999999</v>
      </c>
      <c r="H3273">
        <v>86.546099999999996</v>
      </c>
      <c r="I3273">
        <v>88.922300000000007</v>
      </c>
      <c r="J3273">
        <v>166.0035</v>
      </c>
      <c r="K3273">
        <v>268.81040000000002</v>
      </c>
      <c r="L3273">
        <v>203.6634</v>
      </c>
      <c r="M3273">
        <v>171.334</v>
      </c>
      <c r="N3273">
        <v>127.8451</v>
      </c>
      <c r="O3273">
        <v>180.76230000000001</v>
      </c>
      <c r="P3273">
        <v>113</v>
      </c>
      <c r="Q3273" t="s">
        <v>6887</v>
      </c>
    </row>
    <row r="3274" spans="1:17" x14ac:dyDescent="0.3">
      <c r="A3274" t="s">
        <v>4664</v>
      </c>
      <c r="B3274" t="str">
        <f>"002592"</f>
        <v>002592</v>
      </c>
      <c r="C3274" t="s">
        <v>6888</v>
      </c>
      <c r="D3274" t="s">
        <v>348</v>
      </c>
      <c r="F3274">
        <v>143.559</v>
      </c>
      <c r="G3274">
        <v>168.88679999999999</v>
      </c>
      <c r="H3274">
        <v>90.491100000000003</v>
      </c>
      <c r="I3274">
        <v>90.264899999999997</v>
      </c>
      <c r="J3274">
        <v>95.1357</v>
      </c>
      <c r="K3274">
        <v>83.059799999999996</v>
      </c>
      <c r="L3274">
        <v>121.1063</v>
      </c>
      <c r="M3274">
        <v>102.9956</v>
      </c>
      <c r="N3274">
        <v>111.2333</v>
      </c>
      <c r="O3274">
        <v>113.8326</v>
      </c>
      <c r="P3274">
        <v>76</v>
      </c>
      <c r="Q3274" t="s">
        <v>6889</v>
      </c>
    </row>
    <row r="3275" spans="1:17" x14ac:dyDescent="0.3">
      <c r="A3275" t="s">
        <v>4664</v>
      </c>
      <c r="B3275" t="str">
        <f>"002593"</f>
        <v>002593</v>
      </c>
      <c r="C3275" t="s">
        <v>6890</v>
      </c>
      <c r="D3275" t="s">
        <v>978</v>
      </c>
      <c r="F3275">
        <v>240.42310000000001</v>
      </c>
      <c r="G3275">
        <v>306.73</v>
      </c>
      <c r="H3275">
        <v>329.10480000000001</v>
      </c>
      <c r="I3275">
        <v>267.99020000000002</v>
      </c>
      <c r="J3275">
        <v>406.42099999999999</v>
      </c>
      <c r="K3275">
        <v>473.7002</v>
      </c>
      <c r="L3275">
        <v>478.19459999999998</v>
      </c>
      <c r="M3275">
        <v>446.35359999999997</v>
      </c>
      <c r="N3275">
        <v>384.2004</v>
      </c>
      <c r="O3275">
        <v>372.56650000000002</v>
      </c>
      <c r="P3275">
        <v>88</v>
      </c>
      <c r="Q3275" t="s">
        <v>6891</v>
      </c>
    </row>
    <row r="3276" spans="1:17" x14ac:dyDescent="0.3">
      <c r="A3276" t="s">
        <v>4664</v>
      </c>
      <c r="B3276" t="str">
        <f>"002594"</f>
        <v>002594</v>
      </c>
      <c r="C3276" t="s">
        <v>6892</v>
      </c>
      <c r="D3276" t="s">
        <v>6893</v>
      </c>
      <c r="F3276">
        <v>102.70529999999999</v>
      </c>
      <c r="G3276">
        <v>126.4376</v>
      </c>
      <c r="H3276">
        <v>123.0951</v>
      </c>
      <c r="I3276">
        <v>116.2807</v>
      </c>
      <c r="J3276">
        <v>113.9543</v>
      </c>
      <c r="K3276">
        <v>105.0886</v>
      </c>
      <c r="L3276">
        <v>118.2822</v>
      </c>
      <c r="M3276">
        <v>95.302400000000006</v>
      </c>
      <c r="N3276">
        <v>89.336100000000002</v>
      </c>
      <c r="O3276">
        <v>88.4512</v>
      </c>
      <c r="P3276">
        <v>5218</v>
      </c>
      <c r="Q3276" t="s">
        <v>6894</v>
      </c>
    </row>
    <row r="3277" spans="1:17" x14ac:dyDescent="0.3">
      <c r="A3277" t="s">
        <v>4664</v>
      </c>
      <c r="B3277" t="str">
        <f>"002595"</f>
        <v>002595</v>
      </c>
      <c r="C3277" t="s">
        <v>6895</v>
      </c>
      <c r="D3277" t="s">
        <v>741</v>
      </c>
      <c r="F3277">
        <v>120.9205</v>
      </c>
      <c r="G3277">
        <v>123.62430000000001</v>
      </c>
      <c r="H3277">
        <v>133.16419999999999</v>
      </c>
      <c r="I3277">
        <v>135.8365</v>
      </c>
      <c r="J3277">
        <v>138.83279999999999</v>
      </c>
      <c r="K3277">
        <v>141.3339</v>
      </c>
      <c r="L3277">
        <v>156.97399999999999</v>
      </c>
      <c r="M3277">
        <v>167.72409999999999</v>
      </c>
      <c r="N3277">
        <v>194.9162</v>
      </c>
      <c r="O3277">
        <v>185.86490000000001</v>
      </c>
      <c r="P3277">
        <v>4171</v>
      </c>
      <c r="Q3277" t="s">
        <v>6896</v>
      </c>
    </row>
    <row r="3278" spans="1:17" x14ac:dyDescent="0.3">
      <c r="A3278" t="s">
        <v>4664</v>
      </c>
      <c r="B3278" t="str">
        <f>"002596"</f>
        <v>002596</v>
      </c>
      <c r="C3278" t="s">
        <v>6897</v>
      </c>
      <c r="D3278" t="s">
        <v>3071</v>
      </c>
      <c r="F3278">
        <v>72.751800000000003</v>
      </c>
      <c r="G3278">
        <v>102.4867</v>
      </c>
      <c r="H3278">
        <v>87.711299999999994</v>
      </c>
      <c r="I3278">
        <v>75.5077</v>
      </c>
      <c r="J3278">
        <v>68.303399999999996</v>
      </c>
      <c r="K3278">
        <v>98.617400000000004</v>
      </c>
      <c r="L3278">
        <v>56.952500000000001</v>
      </c>
      <c r="M3278">
        <v>16.0778</v>
      </c>
      <c r="N3278">
        <v>16.3432</v>
      </c>
      <c r="O3278">
        <v>16.312100000000001</v>
      </c>
      <c r="P3278">
        <v>100</v>
      </c>
      <c r="Q3278" t="s">
        <v>6898</v>
      </c>
    </row>
    <row r="3279" spans="1:17" x14ac:dyDescent="0.3">
      <c r="A3279" t="s">
        <v>4664</v>
      </c>
      <c r="B3279" t="str">
        <f>"002597"</f>
        <v>002597</v>
      </c>
      <c r="C3279" t="s">
        <v>6899</v>
      </c>
      <c r="D3279" t="s">
        <v>677</v>
      </c>
      <c r="F3279">
        <v>47.636299999999999</v>
      </c>
      <c r="G3279">
        <v>66.045000000000002</v>
      </c>
      <c r="H3279">
        <v>58.012900000000002</v>
      </c>
      <c r="I3279">
        <v>48.032499999999999</v>
      </c>
      <c r="J3279">
        <v>51.127099999999999</v>
      </c>
      <c r="K3279">
        <v>80.058400000000006</v>
      </c>
      <c r="L3279">
        <v>82.385099999999994</v>
      </c>
      <c r="M3279">
        <v>53.947499999999998</v>
      </c>
      <c r="N3279">
        <v>56.994999999999997</v>
      </c>
      <c r="O3279">
        <v>48.847200000000001</v>
      </c>
      <c r="P3279">
        <v>1878</v>
      </c>
      <c r="Q3279" t="s">
        <v>6900</v>
      </c>
    </row>
    <row r="3280" spans="1:17" x14ac:dyDescent="0.3">
      <c r="A3280" t="s">
        <v>4664</v>
      </c>
      <c r="B3280" t="str">
        <f>"002598"</f>
        <v>002598</v>
      </c>
      <c r="C3280" t="s">
        <v>6901</v>
      </c>
      <c r="D3280" t="s">
        <v>560</v>
      </c>
      <c r="F3280">
        <v>226.1953</v>
      </c>
      <c r="G3280">
        <v>269.09449999999998</v>
      </c>
      <c r="H3280">
        <v>264.56790000000001</v>
      </c>
      <c r="I3280">
        <v>262.58879999999999</v>
      </c>
      <c r="J3280">
        <v>310.47059999999999</v>
      </c>
      <c r="K3280">
        <v>352.56099999999998</v>
      </c>
      <c r="L3280">
        <v>361.86160000000001</v>
      </c>
      <c r="M3280">
        <v>264.66320000000002</v>
      </c>
      <c r="N3280">
        <v>216.81460000000001</v>
      </c>
      <c r="O3280">
        <v>183.9453</v>
      </c>
      <c r="P3280">
        <v>88</v>
      </c>
      <c r="Q3280" t="s">
        <v>6902</v>
      </c>
    </row>
    <row r="3281" spans="1:17" x14ac:dyDescent="0.3">
      <c r="A3281" t="s">
        <v>4664</v>
      </c>
      <c r="B3281" t="str">
        <f>"002599"</f>
        <v>002599</v>
      </c>
      <c r="C3281" t="s">
        <v>6903</v>
      </c>
      <c r="D3281" t="s">
        <v>1692</v>
      </c>
      <c r="F3281">
        <v>74.849699999999999</v>
      </c>
      <c r="G3281">
        <v>80.759900000000002</v>
      </c>
      <c r="H3281">
        <v>81.688500000000005</v>
      </c>
      <c r="I3281">
        <v>91.088800000000006</v>
      </c>
      <c r="J3281">
        <v>91.429599999999994</v>
      </c>
      <c r="K3281">
        <v>108.72969999999999</v>
      </c>
      <c r="L3281">
        <v>131.9478</v>
      </c>
      <c r="M3281">
        <v>137.0805</v>
      </c>
      <c r="N3281">
        <v>124.3938</v>
      </c>
      <c r="O3281">
        <v>103.3313</v>
      </c>
      <c r="P3281">
        <v>87</v>
      </c>
      <c r="Q3281" t="s">
        <v>6904</v>
      </c>
    </row>
    <row r="3282" spans="1:17" x14ac:dyDescent="0.3">
      <c r="A3282" t="s">
        <v>4664</v>
      </c>
      <c r="B3282" t="str">
        <f>"002600"</f>
        <v>002600</v>
      </c>
      <c r="C3282" t="s">
        <v>6905</v>
      </c>
      <c r="D3282" t="s">
        <v>313</v>
      </c>
      <c r="F3282">
        <v>97.131</v>
      </c>
      <c r="G3282">
        <v>93.868600000000001</v>
      </c>
      <c r="H3282">
        <v>86.672200000000004</v>
      </c>
      <c r="I3282">
        <v>54.292700000000004</v>
      </c>
      <c r="J3282">
        <v>52.406500000000001</v>
      </c>
      <c r="K3282">
        <v>53.493899999999996</v>
      </c>
      <c r="L3282">
        <v>75.142499999999998</v>
      </c>
      <c r="M3282">
        <v>112.5504</v>
      </c>
      <c r="N3282">
        <v>145.3049</v>
      </c>
      <c r="O3282">
        <v>144.34139999999999</v>
      </c>
      <c r="P3282">
        <v>877</v>
      </c>
      <c r="Q3282" t="s">
        <v>6906</v>
      </c>
    </row>
    <row r="3283" spans="1:17" x14ac:dyDescent="0.3">
      <c r="A3283" t="s">
        <v>4664</v>
      </c>
      <c r="B3283" t="str">
        <f>"002601"</f>
        <v>002601</v>
      </c>
      <c r="C3283" t="s">
        <v>6907</v>
      </c>
      <c r="D3283" t="s">
        <v>1474</v>
      </c>
      <c r="F3283">
        <v>136.46420000000001</v>
      </c>
      <c r="G3283">
        <v>151.00370000000001</v>
      </c>
      <c r="H3283">
        <v>160.77330000000001</v>
      </c>
      <c r="I3283">
        <v>129.53620000000001</v>
      </c>
      <c r="J3283">
        <v>125.9984</v>
      </c>
      <c r="K3283">
        <v>198.62180000000001</v>
      </c>
      <c r="L3283">
        <v>122.923</v>
      </c>
      <c r="M3283">
        <v>92.432299999999998</v>
      </c>
      <c r="N3283">
        <v>126.8584</v>
      </c>
      <c r="O3283">
        <v>114.05419999999999</v>
      </c>
      <c r="P3283">
        <v>1262</v>
      </c>
      <c r="Q3283" t="s">
        <v>6908</v>
      </c>
    </row>
    <row r="3284" spans="1:17" x14ac:dyDescent="0.3">
      <c r="A3284" t="s">
        <v>4664</v>
      </c>
      <c r="B3284" t="str">
        <f>"002602"</f>
        <v>002602</v>
      </c>
      <c r="C3284" t="s">
        <v>6909</v>
      </c>
      <c r="D3284" t="s">
        <v>517</v>
      </c>
      <c r="F3284">
        <v>42.028700000000001</v>
      </c>
      <c r="G3284">
        <v>31.550799999999999</v>
      </c>
      <c r="H3284">
        <v>30.8218</v>
      </c>
      <c r="I3284">
        <v>45.8371</v>
      </c>
      <c r="J3284">
        <v>91.302800000000005</v>
      </c>
      <c r="K3284">
        <v>81.018600000000006</v>
      </c>
      <c r="L3284">
        <v>96.434600000000003</v>
      </c>
      <c r="M3284">
        <v>188.83090000000001</v>
      </c>
      <c r="N3284">
        <v>189.29060000000001</v>
      </c>
      <c r="O3284">
        <v>192.73330000000001</v>
      </c>
      <c r="P3284">
        <v>718</v>
      </c>
      <c r="Q3284" t="s">
        <v>6910</v>
      </c>
    </row>
    <row r="3285" spans="1:17" x14ac:dyDescent="0.3">
      <c r="A3285" t="s">
        <v>4664</v>
      </c>
      <c r="B3285" t="str">
        <f>"002603"</f>
        <v>002603</v>
      </c>
      <c r="C3285" t="s">
        <v>6911</v>
      </c>
      <c r="D3285" t="s">
        <v>188</v>
      </c>
      <c r="F3285">
        <v>198.31299999999999</v>
      </c>
      <c r="G3285">
        <v>201.429</v>
      </c>
      <c r="H3285">
        <v>297.90550000000002</v>
      </c>
      <c r="I3285">
        <v>298.28919999999999</v>
      </c>
      <c r="J3285">
        <v>362.62599999999998</v>
      </c>
      <c r="K3285">
        <v>373.8664</v>
      </c>
      <c r="L3285">
        <v>353.7158</v>
      </c>
      <c r="M3285">
        <v>309.16820000000001</v>
      </c>
      <c r="N3285">
        <v>285.4171</v>
      </c>
      <c r="O3285">
        <v>421.0684</v>
      </c>
      <c r="P3285">
        <v>833</v>
      </c>
      <c r="Q3285" t="s">
        <v>6912</v>
      </c>
    </row>
    <row r="3286" spans="1:17" x14ac:dyDescent="0.3">
      <c r="A3286" t="s">
        <v>4664</v>
      </c>
      <c r="B3286" t="str">
        <f>"002604"</f>
        <v>002604</v>
      </c>
      <c r="C3286" t="s">
        <v>6913</v>
      </c>
      <c r="H3286">
        <v>136.76769999999999</v>
      </c>
      <c r="I3286">
        <v>148.73500000000001</v>
      </c>
      <c r="J3286">
        <v>85.016999999999996</v>
      </c>
      <c r="K3286">
        <v>59.083399999999997</v>
      </c>
      <c r="L3286">
        <v>121.9751</v>
      </c>
      <c r="M3286">
        <v>100.2825</v>
      </c>
      <c r="N3286">
        <v>106.3668</v>
      </c>
      <c r="O3286">
        <v>93.810599999999994</v>
      </c>
      <c r="P3286">
        <v>49</v>
      </c>
      <c r="Q3286" t="s">
        <v>6914</v>
      </c>
    </row>
    <row r="3287" spans="1:17" x14ac:dyDescent="0.3">
      <c r="A3287" t="s">
        <v>4664</v>
      </c>
      <c r="B3287" t="str">
        <f>"002605"</f>
        <v>002605</v>
      </c>
      <c r="C3287" t="s">
        <v>6915</v>
      </c>
      <c r="D3287" t="s">
        <v>517</v>
      </c>
      <c r="F3287">
        <v>54.530999999999999</v>
      </c>
      <c r="G3287">
        <v>100.8798</v>
      </c>
      <c r="H3287">
        <v>131.91319999999999</v>
      </c>
      <c r="I3287">
        <v>288.89150000000001</v>
      </c>
      <c r="J3287">
        <v>353.96519999999998</v>
      </c>
      <c r="K3287">
        <v>215.48570000000001</v>
      </c>
      <c r="L3287">
        <v>200.49770000000001</v>
      </c>
      <c r="M3287">
        <v>248.55</v>
      </c>
      <c r="N3287">
        <v>215.93799999999999</v>
      </c>
      <c r="O3287">
        <v>234.24459999999999</v>
      </c>
      <c r="P3287">
        <v>432</v>
      </c>
      <c r="Q3287" t="s">
        <v>6916</v>
      </c>
    </row>
    <row r="3288" spans="1:17" x14ac:dyDescent="0.3">
      <c r="A3288" t="s">
        <v>4664</v>
      </c>
      <c r="B3288" t="str">
        <f>"002606"</f>
        <v>002606</v>
      </c>
      <c r="C3288" t="s">
        <v>6917</v>
      </c>
      <c r="D3288" t="s">
        <v>1164</v>
      </c>
      <c r="F3288">
        <v>296.39980000000003</v>
      </c>
      <c r="G3288">
        <v>255.3732</v>
      </c>
      <c r="H3288">
        <v>265.22230000000002</v>
      </c>
      <c r="I3288">
        <v>270.84109999999998</v>
      </c>
      <c r="J3288">
        <v>338.07560000000001</v>
      </c>
      <c r="K3288">
        <v>341.12610000000001</v>
      </c>
      <c r="L3288">
        <v>383.95870000000002</v>
      </c>
      <c r="M3288">
        <v>333.29140000000001</v>
      </c>
      <c r="N3288">
        <v>312.40820000000002</v>
      </c>
      <c r="O3288">
        <v>295.55309999999997</v>
      </c>
      <c r="P3288">
        <v>160</v>
      </c>
      <c r="Q3288" t="s">
        <v>6918</v>
      </c>
    </row>
    <row r="3289" spans="1:17" x14ac:dyDescent="0.3">
      <c r="A3289" t="s">
        <v>4664</v>
      </c>
      <c r="B3289" t="str">
        <f>"002607"</f>
        <v>002607</v>
      </c>
      <c r="C3289" t="s">
        <v>6919</v>
      </c>
      <c r="D3289" t="s">
        <v>1336</v>
      </c>
      <c r="F3289">
        <v>0</v>
      </c>
      <c r="G3289">
        <v>0</v>
      </c>
      <c r="H3289">
        <v>1.4E-3</v>
      </c>
      <c r="I3289">
        <v>70.5565</v>
      </c>
      <c r="J3289">
        <v>62.862099999999998</v>
      </c>
      <c r="K3289">
        <v>62.918300000000002</v>
      </c>
      <c r="L3289">
        <v>75.701599999999999</v>
      </c>
      <c r="M3289">
        <v>77.463200000000001</v>
      </c>
      <c r="N3289">
        <v>68.636300000000006</v>
      </c>
      <c r="O3289">
        <v>69.492099999999994</v>
      </c>
      <c r="P3289">
        <v>1791</v>
      </c>
      <c r="Q3289" t="s">
        <v>6920</v>
      </c>
    </row>
    <row r="3290" spans="1:17" x14ac:dyDescent="0.3">
      <c r="A3290" t="s">
        <v>4664</v>
      </c>
      <c r="B3290" t="str">
        <f>"002608"</f>
        <v>002608</v>
      </c>
      <c r="C3290" t="s">
        <v>6921</v>
      </c>
      <c r="D3290" t="s">
        <v>41</v>
      </c>
      <c r="F3290">
        <v>13.654</v>
      </c>
      <c r="G3290">
        <v>20.779199999999999</v>
      </c>
      <c r="H3290">
        <v>26.490100000000002</v>
      </c>
      <c r="I3290">
        <v>18.373100000000001</v>
      </c>
      <c r="J3290">
        <v>18.476500000000001</v>
      </c>
      <c r="K3290">
        <v>3131.4207999999999</v>
      </c>
      <c r="L3290">
        <v>583.24649999999997</v>
      </c>
      <c r="M3290">
        <v>290.71420000000001</v>
      </c>
      <c r="N3290">
        <v>342.14229999999998</v>
      </c>
      <c r="O3290">
        <v>481.22129999999999</v>
      </c>
      <c r="P3290">
        <v>138</v>
      </c>
      <c r="Q3290" t="s">
        <v>6922</v>
      </c>
    </row>
    <row r="3291" spans="1:17" x14ac:dyDescent="0.3">
      <c r="A3291" t="s">
        <v>4664</v>
      </c>
      <c r="B3291" t="str">
        <f>"002609"</f>
        <v>002609</v>
      </c>
      <c r="C3291" t="s">
        <v>6923</v>
      </c>
      <c r="D3291" t="s">
        <v>316</v>
      </c>
      <c r="F3291">
        <v>189.4333</v>
      </c>
      <c r="G3291">
        <v>148.1669</v>
      </c>
      <c r="H3291">
        <v>139.82230000000001</v>
      </c>
      <c r="I3291">
        <v>183.29920000000001</v>
      </c>
      <c r="J3291">
        <v>183.30889999999999</v>
      </c>
      <c r="K3291">
        <v>214.19890000000001</v>
      </c>
      <c r="L3291">
        <v>265.06700000000001</v>
      </c>
      <c r="M3291">
        <v>270.98239999999998</v>
      </c>
      <c r="N3291">
        <v>287.1925</v>
      </c>
      <c r="O3291">
        <v>245.9522</v>
      </c>
      <c r="P3291">
        <v>212</v>
      </c>
      <c r="Q3291" t="s">
        <v>6924</v>
      </c>
    </row>
    <row r="3292" spans="1:17" x14ac:dyDescent="0.3">
      <c r="A3292" t="s">
        <v>4664</v>
      </c>
      <c r="B3292" t="str">
        <f>"002610"</f>
        <v>002610</v>
      </c>
      <c r="C3292" t="s">
        <v>6925</v>
      </c>
      <c r="D3292" t="s">
        <v>478</v>
      </c>
      <c r="F3292">
        <v>38.876100000000001</v>
      </c>
      <c r="G3292">
        <v>37.202100000000002</v>
      </c>
      <c r="H3292">
        <v>30.203499999999998</v>
      </c>
      <c r="I3292">
        <v>32.274299999999997</v>
      </c>
      <c r="J3292">
        <v>43.874000000000002</v>
      </c>
      <c r="K3292">
        <v>31.728000000000002</v>
      </c>
      <c r="L3292">
        <v>39.302700000000002</v>
      </c>
      <c r="M3292">
        <v>54.7014</v>
      </c>
      <c r="N3292">
        <v>78.314499999999995</v>
      </c>
      <c r="O3292">
        <v>61.8523</v>
      </c>
      <c r="P3292">
        <v>301</v>
      </c>
      <c r="Q3292" t="s">
        <v>6926</v>
      </c>
    </row>
    <row r="3293" spans="1:17" x14ac:dyDescent="0.3">
      <c r="A3293" t="s">
        <v>4664</v>
      </c>
      <c r="B3293" t="str">
        <f>"002611"</f>
        <v>002611</v>
      </c>
      <c r="C3293" t="s">
        <v>6927</v>
      </c>
      <c r="D3293" t="s">
        <v>3388</v>
      </c>
      <c r="F3293">
        <v>171.285</v>
      </c>
      <c r="G3293">
        <v>191.85319999999999</v>
      </c>
      <c r="H3293">
        <v>94.958500000000001</v>
      </c>
      <c r="I3293">
        <v>159.52109999999999</v>
      </c>
      <c r="J3293">
        <v>214.1319</v>
      </c>
      <c r="K3293">
        <v>189.08539999999999</v>
      </c>
      <c r="L3293">
        <v>203.5744</v>
      </c>
      <c r="M3293">
        <v>174.89259999999999</v>
      </c>
      <c r="N3293">
        <v>262.56509999999997</v>
      </c>
      <c r="O3293">
        <v>228.00640000000001</v>
      </c>
      <c r="P3293">
        <v>208</v>
      </c>
      <c r="Q3293" t="s">
        <v>6928</v>
      </c>
    </row>
    <row r="3294" spans="1:17" x14ac:dyDescent="0.3">
      <c r="A3294" t="s">
        <v>4664</v>
      </c>
      <c r="B3294" t="str">
        <f>"002612"</f>
        <v>002612</v>
      </c>
      <c r="C3294" t="s">
        <v>6929</v>
      </c>
      <c r="D3294" t="s">
        <v>255</v>
      </c>
      <c r="F3294">
        <v>308.62180000000001</v>
      </c>
      <c r="G3294">
        <v>373.98059999999998</v>
      </c>
      <c r="H3294">
        <v>416.26310000000001</v>
      </c>
      <c r="I3294">
        <v>349.2167</v>
      </c>
      <c r="J3294">
        <v>338.84899999999999</v>
      </c>
      <c r="K3294">
        <v>568.99120000000005</v>
      </c>
      <c r="L3294">
        <v>549.05790000000002</v>
      </c>
      <c r="M3294">
        <v>609.05719999999997</v>
      </c>
      <c r="N3294">
        <v>538.83960000000002</v>
      </c>
      <c r="O3294">
        <v>432.23770000000002</v>
      </c>
      <c r="P3294">
        <v>370</v>
      </c>
      <c r="Q3294" t="s">
        <v>6930</v>
      </c>
    </row>
    <row r="3295" spans="1:17" x14ac:dyDescent="0.3">
      <c r="A3295" t="s">
        <v>4664</v>
      </c>
      <c r="B3295" t="str">
        <f>"002613"</f>
        <v>002613</v>
      </c>
      <c r="C3295" t="s">
        <v>6931</v>
      </c>
      <c r="D3295" t="s">
        <v>666</v>
      </c>
      <c r="F3295">
        <v>175.80029999999999</v>
      </c>
      <c r="G3295">
        <v>166.78469999999999</v>
      </c>
      <c r="H3295">
        <v>141.07159999999999</v>
      </c>
      <c r="I3295">
        <v>149.54050000000001</v>
      </c>
      <c r="J3295">
        <v>163.3639</v>
      </c>
      <c r="K3295">
        <v>160.91739999999999</v>
      </c>
      <c r="L3295">
        <v>205.64510000000001</v>
      </c>
      <c r="M3295">
        <v>196.233</v>
      </c>
      <c r="N3295">
        <v>171.13679999999999</v>
      </c>
      <c r="O3295">
        <v>175.608</v>
      </c>
      <c r="P3295">
        <v>90</v>
      </c>
      <c r="Q3295" t="s">
        <v>6932</v>
      </c>
    </row>
    <row r="3296" spans="1:17" x14ac:dyDescent="0.3">
      <c r="A3296" t="s">
        <v>4664</v>
      </c>
      <c r="B3296" t="str">
        <f>"002614"</f>
        <v>002614</v>
      </c>
      <c r="C3296" t="s">
        <v>6933</v>
      </c>
      <c r="D3296" t="s">
        <v>3015</v>
      </c>
      <c r="F3296">
        <v>139.69560000000001</v>
      </c>
      <c r="G3296">
        <v>128.69909999999999</v>
      </c>
      <c r="H3296">
        <v>147.0599</v>
      </c>
      <c r="I3296">
        <v>131.44730000000001</v>
      </c>
      <c r="J3296">
        <v>132.0017</v>
      </c>
      <c r="K3296">
        <v>133.46350000000001</v>
      </c>
      <c r="L3296">
        <v>102.0269</v>
      </c>
      <c r="M3296">
        <v>91.515000000000001</v>
      </c>
      <c r="N3296">
        <v>88.794200000000004</v>
      </c>
      <c r="O3296">
        <v>111.81699999999999</v>
      </c>
      <c r="P3296">
        <v>525</v>
      </c>
      <c r="Q3296" t="s">
        <v>6934</v>
      </c>
    </row>
    <row r="3297" spans="1:17" x14ac:dyDescent="0.3">
      <c r="A3297" t="s">
        <v>4664</v>
      </c>
      <c r="B3297" t="str">
        <f>"002615"</f>
        <v>002615</v>
      </c>
      <c r="C3297" t="s">
        <v>6935</v>
      </c>
      <c r="D3297" t="s">
        <v>2436</v>
      </c>
      <c r="F3297">
        <v>137.25309999999999</v>
      </c>
      <c r="G3297">
        <v>192.97319999999999</v>
      </c>
      <c r="H3297">
        <v>163.04069999999999</v>
      </c>
      <c r="I3297">
        <v>129.84110000000001</v>
      </c>
      <c r="J3297">
        <v>158.7346</v>
      </c>
      <c r="K3297">
        <v>109.0172</v>
      </c>
      <c r="L3297">
        <v>124.64870000000001</v>
      </c>
      <c r="M3297">
        <v>105.8288</v>
      </c>
      <c r="N3297">
        <v>100.0151</v>
      </c>
      <c r="O3297">
        <v>126.7037</v>
      </c>
      <c r="P3297">
        <v>178</v>
      </c>
      <c r="Q3297" t="s">
        <v>6936</v>
      </c>
    </row>
    <row r="3298" spans="1:17" x14ac:dyDescent="0.3">
      <c r="A3298" t="s">
        <v>4664</v>
      </c>
      <c r="B3298" t="str">
        <f>"002616"</f>
        <v>002616</v>
      </c>
      <c r="C3298" t="s">
        <v>6937</v>
      </c>
      <c r="D3298" t="s">
        <v>6938</v>
      </c>
      <c r="F3298">
        <v>68.366600000000005</v>
      </c>
      <c r="G3298">
        <v>68.912800000000004</v>
      </c>
      <c r="H3298">
        <v>82.754999999999995</v>
      </c>
      <c r="I3298">
        <v>94.513499999999993</v>
      </c>
      <c r="J3298">
        <v>85.994100000000003</v>
      </c>
      <c r="K3298">
        <v>80.3857</v>
      </c>
      <c r="L3298">
        <v>89.637699999999995</v>
      </c>
      <c r="M3298">
        <v>100.8284</v>
      </c>
      <c r="N3298">
        <v>104.9158</v>
      </c>
      <c r="O3298">
        <v>104.30029999999999</v>
      </c>
      <c r="P3298">
        <v>202</v>
      </c>
      <c r="Q3298" t="s">
        <v>6939</v>
      </c>
    </row>
    <row r="3299" spans="1:17" x14ac:dyDescent="0.3">
      <c r="A3299" t="s">
        <v>4664</v>
      </c>
      <c r="B3299" t="str">
        <f>"002617"</f>
        <v>002617</v>
      </c>
      <c r="C3299" t="s">
        <v>6940</v>
      </c>
      <c r="D3299" t="s">
        <v>86</v>
      </c>
      <c r="F3299">
        <v>57.110599999999998</v>
      </c>
      <c r="G3299">
        <v>87.555899999999994</v>
      </c>
      <c r="H3299">
        <v>103.6918</v>
      </c>
      <c r="I3299">
        <v>80.8262</v>
      </c>
      <c r="J3299">
        <v>53.7089</v>
      </c>
      <c r="K3299">
        <v>68.649600000000007</v>
      </c>
      <c r="L3299">
        <v>54.313600000000001</v>
      </c>
      <c r="M3299">
        <v>54.344700000000003</v>
      </c>
      <c r="N3299">
        <v>52.642800000000001</v>
      </c>
      <c r="O3299">
        <v>48.900100000000002</v>
      </c>
      <c r="P3299">
        <v>321</v>
      </c>
      <c r="Q3299" t="s">
        <v>6941</v>
      </c>
    </row>
    <row r="3300" spans="1:17" x14ac:dyDescent="0.3">
      <c r="A3300" t="s">
        <v>4664</v>
      </c>
      <c r="B3300" t="str">
        <f>"002618"</f>
        <v>002618</v>
      </c>
      <c r="C3300" t="s">
        <v>6942</v>
      </c>
      <c r="D3300" t="s">
        <v>425</v>
      </c>
      <c r="F3300">
        <v>275.03289999999998</v>
      </c>
      <c r="G3300">
        <v>336.97640000000001</v>
      </c>
      <c r="H3300">
        <v>282.95819999999998</v>
      </c>
      <c r="I3300">
        <v>208.40299999999999</v>
      </c>
      <c r="J3300">
        <v>106.1644</v>
      </c>
      <c r="K3300">
        <v>120.3913</v>
      </c>
      <c r="L3300">
        <v>72.971100000000007</v>
      </c>
      <c r="M3300">
        <v>80.697500000000005</v>
      </c>
      <c r="N3300">
        <v>74.063199999999995</v>
      </c>
      <c r="O3300">
        <v>77.0745</v>
      </c>
      <c r="P3300">
        <v>135</v>
      </c>
      <c r="Q3300" t="s">
        <v>6943</v>
      </c>
    </row>
    <row r="3301" spans="1:17" x14ac:dyDescent="0.3">
      <c r="A3301" t="s">
        <v>4664</v>
      </c>
      <c r="B3301" t="str">
        <f>"002619"</f>
        <v>002619</v>
      </c>
      <c r="C3301" t="s">
        <v>6944</v>
      </c>
      <c r="D3301" t="s">
        <v>517</v>
      </c>
      <c r="F3301">
        <v>0</v>
      </c>
      <c r="G3301">
        <v>0</v>
      </c>
      <c r="H3301">
        <v>0</v>
      </c>
      <c r="I3301">
        <v>0</v>
      </c>
      <c r="J3301">
        <v>346.26100000000002</v>
      </c>
      <c r="K3301">
        <v>826.39750000000004</v>
      </c>
      <c r="L3301">
        <v>680.90039999999999</v>
      </c>
      <c r="M3301">
        <v>438.95330000000001</v>
      </c>
      <c r="N3301">
        <v>257.86200000000002</v>
      </c>
      <c r="O3301">
        <v>290.42590000000001</v>
      </c>
      <c r="P3301">
        <v>124</v>
      </c>
      <c r="Q3301" t="s">
        <v>6945</v>
      </c>
    </row>
    <row r="3302" spans="1:17" x14ac:dyDescent="0.3">
      <c r="A3302" t="s">
        <v>4664</v>
      </c>
      <c r="B3302" t="str">
        <f>"002620"</f>
        <v>002620</v>
      </c>
      <c r="C3302" t="s">
        <v>6946</v>
      </c>
      <c r="D3302" t="s">
        <v>450</v>
      </c>
      <c r="F3302">
        <v>44.093800000000002</v>
      </c>
      <c r="G3302">
        <v>45.367400000000004</v>
      </c>
      <c r="H3302">
        <v>41.924300000000002</v>
      </c>
      <c r="I3302">
        <v>33.762099999999997</v>
      </c>
      <c r="J3302">
        <v>33.987499999999997</v>
      </c>
      <c r="K3302">
        <v>32.690100000000001</v>
      </c>
      <c r="L3302">
        <v>38.966200000000001</v>
      </c>
      <c r="M3302">
        <v>40.112099999999998</v>
      </c>
      <c r="N3302">
        <v>31.1752</v>
      </c>
      <c r="O3302">
        <v>33.566499999999998</v>
      </c>
      <c r="P3302">
        <v>90</v>
      </c>
      <c r="Q3302" t="s">
        <v>6947</v>
      </c>
    </row>
    <row r="3303" spans="1:17" x14ac:dyDescent="0.3">
      <c r="A3303" t="s">
        <v>4664</v>
      </c>
      <c r="B3303" t="str">
        <f>"002621"</f>
        <v>002621</v>
      </c>
      <c r="C3303" t="s">
        <v>6948</v>
      </c>
      <c r="D3303" t="s">
        <v>1336</v>
      </c>
      <c r="F3303">
        <v>46.461300000000001</v>
      </c>
      <c r="G3303">
        <v>155.96889999999999</v>
      </c>
      <c r="H3303">
        <v>215.4813</v>
      </c>
      <c r="I3303">
        <v>400.62990000000002</v>
      </c>
      <c r="J3303">
        <v>515.06730000000005</v>
      </c>
      <c r="K3303">
        <v>828.99720000000002</v>
      </c>
      <c r="L3303">
        <v>459.22129999999999</v>
      </c>
      <c r="M3303">
        <v>333.4187</v>
      </c>
      <c r="N3303">
        <v>318.38920000000002</v>
      </c>
      <c r="O3303">
        <v>313.55</v>
      </c>
      <c r="P3303">
        <v>143</v>
      </c>
      <c r="Q3303" t="s">
        <v>6949</v>
      </c>
    </row>
    <row r="3304" spans="1:17" x14ac:dyDescent="0.3">
      <c r="A3304" t="s">
        <v>4664</v>
      </c>
      <c r="B3304" t="str">
        <f>"002622"</f>
        <v>002622</v>
      </c>
      <c r="C3304" t="s">
        <v>6950</v>
      </c>
      <c r="D3304" t="s">
        <v>210</v>
      </c>
      <c r="F3304">
        <v>369.97789999999998</v>
      </c>
      <c r="G3304">
        <v>550.06060000000002</v>
      </c>
      <c r="H3304">
        <v>479.87130000000002</v>
      </c>
      <c r="I3304">
        <v>149.30529999999999</v>
      </c>
      <c r="J3304">
        <v>529.61389999999994</v>
      </c>
      <c r="K3304">
        <v>813.67219999999998</v>
      </c>
      <c r="L3304">
        <v>728.42039999999997</v>
      </c>
      <c r="M3304">
        <v>766.09389999999996</v>
      </c>
      <c r="N3304">
        <v>683.46960000000001</v>
      </c>
      <c r="O3304">
        <v>479.19490000000002</v>
      </c>
      <c r="P3304">
        <v>120</v>
      </c>
      <c r="Q3304" t="s">
        <v>6951</v>
      </c>
    </row>
    <row r="3305" spans="1:17" x14ac:dyDescent="0.3">
      <c r="A3305" t="s">
        <v>4664</v>
      </c>
      <c r="B3305" t="str">
        <f>"002623"</f>
        <v>002623</v>
      </c>
      <c r="C3305" t="s">
        <v>6952</v>
      </c>
      <c r="D3305" t="s">
        <v>478</v>
      </c>
      <c r="F3305">
        <v>41.675600000000003</v>
      </c>
      <c r="G3305">
        <v>46.373800000000003</v>
      </c>
      <c r="H3305">
        <v>80.180499999999995</v>
      </c>
      <c r="I3305">
        <v>58.605200000000004</v>
      </c>
      <c r="J3305">
        <v>52.1845</v>
      </c>
      <c r="K3305">
        <v>61.353499999999997</v>
      </c>
      <c r="L3305">
        <v>64.441999999999993</v>
      </c>
      <c r="M3305">
        <v>38.7804</v>
      </c>
      <c r="N3305">
        <v>42.587699999999998</v>
      </c>
      <c r="O3305">
        <v>21.551200000000001</v>
      </c>
      <c r="P3305">
        <v>172</v>
      </c>
      <c r="Q3305" t="s">
        <v>6953</v>
      </c>
    </row>
    <row r="3306" spans="1:17" x14ac:dyDescent="0.3">
      <c r="A3306" t="s">
        <v>4664</v>
      </c>
      <c r="B3306" t="str">
        <f>"002624"</f>
        <v>002624</v>
      </c>
      <c r="C3306" t="s">
        <v>6954</v>
      </c>
      <c r="D3306" t="s">
        <v>517</v>
      </c>
      <c r="F3306">
        <v>125.26009999999999</v>
      </c>
      <c r="G3306">
        <v>165.47720000000001</v>
      </c>
      <c r="H3306">
        <v>400.85809999999998</v>
      </c>
      <c r="I3306">
        <v>319.93869999999998</v>
      </c>
      <c r="J3306">
        <v>151.08699999999999</v>
      </c>
      <c r="K3306">
        <v>163.9289</v>
      </c>
      <c r="L3306">
        <v>563.09939999999995</v>
      </c>
      <c r="M3306">
        <v>218.9692</v>
      </c>
      <c r="N3306">
        <v>130.44130000000001</v>
      </c>
      <c r="O3306">
        <v>158.39599999999999</v>
      </c>
      <c r="P3306">
        <v>2399</v>
      </c>
      <c r="Q3306" t="s">
        <v>6955</v>
      </c>
    </row>
    <row r="3307" spans="1:17" x14ac:dyDescent="0.3">
      <c r="A3307" t="s">
        <v>4664</v>
      </c>
      <c r="B3307" t="str">
        <f>"002625"</f>
        <v>002625</v>
      </c>
      <c r="C3307" t="s">
        <v>6956</v>
      </c>
      <c r="D3307" t="s">
        <v>98</v>
      </c>
      <c r="F3307">
        <v>402.88459999999998</v>
      </c>
      <c r="G3307">
        <v>298.94540000000001</v>
      </c>
      <c r="H3307">
        <v>181.18969999999999</v>
      </c>
      <c r="I3307">
        <v>173.5189</v>
      </c>
      <c r="J3307">
        <v>86.352400000000003</v>
      </c>
      <c r="K3307">
        <v>56.041699999999999</v>
      </c>
      <c r="L3307">
        <v>67.777799999999999</v>
      </c>
      <c r="M3307">
        <v>104.9956</v>
      </c>
      <c r="N3307">
        <v>105.9799</v>
      </c>
      <c r="O3307">
        <v>108.5391</v>
      </c>
      <c r="P3307">
        <v>259</v>
      </c>
      <c r="Q3307" t="s">
        <v>6957</v>
      </c>
    </row>
    <row r="3308" spans="1:17" x14ac:dyDescent="0.3">
      <c r="A3308" t="s">
        <v>4664</v>
      </c>
      <c r="B3308" t="str">
        <f>"002626"</f>
        <v>002626</v>
      </c>
      <c r="C3308" t="s">
        <v>6958</v>
      </c>
      <c r="D3308" t="s">
        <v>838</v>
      </c>
      <c r="F3308">
        <v>196.74619999999999</v>
      </c>
      <c r="G3308">
        <v>168.9761</v>
      </c>
      <c r="H3308">
        <v>144.62729999999999</v>
      </c>
      <c r="I3308">
        <v>158.13249999999999</v>
      </c>
      <c r="J3308">
        <v>133.37710000000001</v>
      </c>
      <c r="K3308">
        <v>143.9299</v>
      </c>
      <c r="L3308">
        <v>165.68770000000001</v>
      </c>
      <c r="M3308">
        <v>134.04249999999999</v>
      </c>
      <c r="N3308">
        <v>129.976</v>
      </c>
      <c r="O3308">
        <v>163.2064</v>
      </c>
      <c r="P3308">
        <v>1113</v>
      </c>
      <c r="Q3308" t="s">
        <v>6959</v>
      </c>
    </row>
    <row r="3309" spans="1:17" x14ac:dyDescent="0.3">
      <c r="A3309" t="s">
        <v>4664</v>
      </c>
      <c r="B3309" t="str">
        <f>"002627"</f>
        <v>002627</v>
      </c>
      <c r="C3309" t="s">
        <v>6960</v>
      </c>
      <c r="D3309" t="s">
        <v>1133</v>
      </c>
      <c r="F3309">
        <v>52.848399999999998</v>
      </c>
      <c r="G3309">
        <v>72.567300000000003</v>
      </c>
      <c r="H3309">
        <v>58.073999999999998</v>
      </c>
      <c r="I3309">
        <v>45.465299999999999</v>
      </c>
      <c r="J3309">
        <v>43.42</v>
      </c>
      <c r="K3309">
        <v>60.372</v>
      </c>
      <c r="L3309">
        <v>71.265299999999996</v>
      </c>
      <c r="M3309">
        <v>58.254800000000003</v>
      </c>
      <c r="N3309">
        <v>46.977200000000003</v>
      </c>
      <c r="O3309">
        <v>53.2408</v>
      </c>
      <c r="P3309">
        <v>99</v>
      </c>
      <c r="Q3309" t="s">
        <v>6961</v>
      </c>
    </row>
    <row r="3310" spans="1:17" x14ac:dyDescent="0.3">
      <c r="A3310" t="s">
        <v>4664</v>
      </c>
      <c r="B3310" t="str">
        <f>"002628"</f>
        <v>002628</v>
      </c>
      <c r="C3310" t="s">
        <v>6962</v>
      </c>
      <c r="D3310" t="s">
        <v>101</v>
      </c>
      <c r="F3310">
        <v>15.327299999999999</v>
      </c>
      <c r="G3310">
        <v>152.3075</v>
      </c>
      <c r="H3310">
        <v>207.5044</v>
      </c>
      <c r="I3310">
        <v>180.08420000000001</v>
      </c>
      <c r="J3310">
        <v>295.13839999999999</v>
      </c>
      <c r="K3310">
        <v>239.09059999999999</v>
      </c>
      <c r="L3310">
        <v>413.12979999999999</v>
      </c>
      <c r="M3310">
        <v>340.59730000000002</v>
      </c>
      <c r="N3310">
        <v>88.849000000000004</v>
      </c>
      <c r="O3310">
        <v>100.3454</v>
      </c>
      <c r="P3310">
        <v>91</v>
      </c>
      <c r="Q3310" t="s">
        <v>6963</v>
      </c>
    </row>
    <row r="3311" spans="1:17" x14ac:dyDescent="0.3">
      <c r="A3311" t="s">
        <v>4664</v>
      </c>
      <c r="B3311" t="str">
        <f>"002629"</f>
        <v>002629</v>
      </c>
      <c r="C3311" t="s">
        <v>6964</v>
      </c>
      <c r="D3311" t="s">
        <v>1758</v>
      </c>
      <c r="F3311">
        <v>40.309800000000003</v>
      </c>
      <c r="G3311">
        <v>134.3972</v>
      </c>
      <c r="H3311">
        <v>136.37010000000001</v>
      </c>
      <c r="I3311">
        <v>4.8619000000000003</v>
      </c>
      <c r="J3311">
        <v>4.9153000000000002</v>
      </c>
      <c r="K3311">
        <v>179.77029999999999</v>
      </c>
      <c r="L3311">
        <v>125.9836</v>
      </c>
      <c r="M3311">
        <v>90.063599999999994</v>
      </c>
      <c r="N3311">
        <v>85.379199999999997</v>
      </c>
      <c r="O3311">
        <v>99.783000000000001</v>
      </c>
      <c r="P3311">
        <v>60</v>
      </c>
      <c r="Q3311" t="s">
        <v>6965</v>
      </c>
    </row>
    <row r="3312" spans="1:17" x14ac:dyDescent="0.3">
      <c r="A3312" t="s">
        <v>4664</v>
      </c>
      <c r="B3312" t="str">
        <f>"002630"</f>
        <v>002630</v>
      </c>
      <c r="C3312" t="s">
        <v>6966</v>
      </c>
      <c r="D3312" t="s">
        <v>470</v>
      </c>
      <c r="F3312">
        <v>430.41919999999999</v>
      </c>
      <c r="G3312">
        <v>426.05860000000001</v>
      </c>
      <c r="H3312">
        <v>556.55070000000001</v>
      </c>
      <c r="I3312">
        <v>522.41309999999999</v>
      </c>
      <c r="J3312">
        <v>652.89459999999997</v>
      </c>
      <c r="K3312">
        <v>597.54229999999995</v>
      </c>
      <c r="L3312">
        <v>483.66079999999999</v>
      </c>
      <c r="M3312">
        <v>325.70260000000002</v>
      </c>
      <c r="N3312">
        <v>228.84219999999999</v>
      </c>
      <c r="O3312">
        <v>267.36130000000003</v>
      </c>
      <c r="P3312">
        <v>109</v>
      </c>
      <c r="Q3312" t="s">
        <v>6967</v>
      </c>
    </row>
    <row r="3313" spans="1:17" x14ac:dyDescent="0.3">
      <c r="A3313" t="s">
        <v>4664</v>
      </c>
      <c r="B3313" t="str">
        <f>"002631"</f>
        <v>002631</v>
      </c>
      <c r="C3313" t="s">
        <v>6968</v>
      </c>
      <c r="D3313" t="s">
        <v>2647</v>
      </c>
      <c r="F3313">
        <v>373.78719999999998</v>
      </c>
      <c r="G3313">
        <v>315.72559999999999</v>
      </c>
      <c r="H3313">
        <v>200.64689999999999</v>
      </c>
      <c r="I3313">
        <v>165.52029999999999</v>
      </c>
      <c r="J3313">
        <v>140.9281</v>
      </c>
      <c r="K3313">
        <v>157.61699999999999</v>
      </c>
      <c r="L3313">
        <v>196.59370000000001</v>
      </c>
      <c r="M3313">
        <v>151.96729999999999</v>
      </c>
      <c r="N3313">
        <v>116.45659999999999</v>
      </c>
      <c r="O3313">
        <v>106.2218</v>
      </c>
      <c r="P3313">
        <v>156</v>
      </c>
      <c r="Q3313" t="s">
        <v>6969</v>
      </c>
    </row>
    <row r="3314" spans="1:17" x14ac:dyDescent="0.3">
      <c r="A3314" t="s">
        <v>4664</v>
      </c>
      <c r="B3314" t="str">
        <f>"002632"</f>
        <v>002632</v>
      </c>
      <c r="C3314" t="s">
        <v>6970</v>
      </c>
      <c r="D3314" t="s">
        <v>324</v>
      </c>
      <c r="F3314">
        <v>615.18539999999996</v>
      </c>
      <c r="G3314">
        <v>516.38720000000001</v>
      </c>
      <c r="H3314">
        <v>204.65729999999999</v>
      </c>
      <c r="I3314">
        <v>211.47710000000001</v>
      </c>
      <c r="J3314">
        <v>212.97649999999999</v>
      </c>
      <c r="K3314">
        <v>254.11510000000001</v>
      </c>
      <c r="L3314">
        <v>255.4941</v>
      </c>
      <c r="M3314">
        <v>278.07740000000001</v>
      </c>
      <c r="N3314">
        <v>324.10129999999998</v>
      </c>
      <c r="O3314">
        <v>295.34480000000002</v>
      </c>
      <c r="P3314">
        <v>144</v>
      </c>
      <c r="Q3314" t="s">
        <v>6971</v>
      </c>
    </row>
    <row r="3315" spans="1:17" x14ac:dyDescent="0.3">
      <c r="A3315" t="s">
        <v>4664</v>
      </c>
      <c r="B3315" t="str">
        <f>"002633"</f>
        <v>002633</v>
      </c>
      <c r="C3315" t="s">
        <v>6972</v>
      </c>
      <c r="D3315" t="s">
        <v>274</v>
      </c>
      <c r="F3315">
        <v>417.19389999999999</v>
      </c>
      <c r="G3315">
        <v>356.23239999999998</v>
      </c>
      <c r="H3315">
        <v>415.31330000000003</v>
      </c>
      <c r="I3315">
        <v>293.20389999999998</v>
      </c>
      <c r="J3315">
        <v>336.4545</v>
      </c>
      <c r="K3315">
        <v>376.86</v>
      </c>
      <c r="L3315">
        <v>308.78289999999998</v>
      </c>
      <c r="M3315">
        <v>287.45350000000002</v>
      </c>
      <c r="N3315">
        <v>350.642</v>
      </c>
      <c r="O3315">
        <v>312.93490000000003</v>
      </c>
      <c r="P3315">
        <v>44</v>
      </c>
      <c r="Q3315" t="s">
        <v>6973</v>
      </c>
    </row>
    <row r="3316" spans="1:17" x14ac:dyDescent="0.3">
      <c r="A3316" t="s">
        <v>4664</v>
      </c>
      <c r="B3316" t="str">
        <f>"002634"</f>
        <v>002634</v>
      </c>
      <c r="C3316" t="s">
        <v>6974</v>
      </c>
      <c r="D3316" t="s">
        <v>330</v>
      </c>
      <c r="F3316">
        <v>86.418400000000005</v>
      </c>
      <c r="G3316">
        <v>104.5425</v>
      </c>
      <c r="H3316">
        <v>103.27419999999999</v>
      </c>
      <c r="I3316">
        <v>121.58029999999999</v>
      </c>
      <c r="J3316">
        <v>95.176599999999993</v>
      </c>
      <c r="K3316">
        <v>133.6386</v>
      </c>
      <c r="L3316">
        <v>180.87989999999999</v>
      </c>
      <c r="M3316">
        <v>190.95070000000001</v>
      </c>
      <c r="N3316">
        <v>233.03489999999999</v>
      </c>
      <c r="O3316">
        <v>207.5796</v>
      </c>
      <c r="P3316">
        <v>88</v>
      </c>
      <c r="Q3316" t="s">
        <v>6975</v>
      </c>
    </row>
    <row r="3317" spans="1:17" x14ac:dyDescent="0.3">
      <c r="A3317" t="s">
        <v>4664</v>
      </c>
      <c r="B3317" t="str">
        <f>"002635"</f>
        <v>002635</v>
      </c>
      <c r="C3317" t="s">
        <v>6976</v>
      </c>
      <c r="D3317" t="s">
        <v>313</v>
      </c>
      <c r="F3317">
        <v>95.8369</v>
      </c>
      <c r="G3317">
        <v>97.401799999999994</v>
      </c>
      <c r="H3317">
        <v>126.66370000000001</v>
      </c>
      <c r="I3317">
        <v>110.3597</v>
      </c>
      <c r="J3317">
        <v>135.15610000000001</v>
      </c>
      <c r="K3317">
        <v>107.74</v>
      </c>
      <c r="L3317">
        <v>129.72499999999999</v>
      </c>
      <c r="M3317">
        <v>115.0241</v>
      </c>
      <c r="N3317">
        <v>148.26509999999999</v>
      </c>
      <c r="O3317">
        <v>129.72389999999999</v>
      </c>
      <c r="P3317">
        <v>513</v>
      </c>
      <c r="Q3317" t="s">
        <v>6977</v>
      </c>
    </row>
    <row r="3318" spans="1:17" x14ac:dyDescent="0.3">
      <c r="A3318" t="s">
        <v>4664</v>
      </c>
      <c r="B3318" t="str">
        <f>"002636"</f>
        <v>002636</v>
      </c>
      <c r="C3318" t="s">
        <v>6978</v>
      </c>
      <c r="D3318" t="s">
        <v>425</v>
      </c>
      <c r="F3318">
        <v>42.603700000000003</v>
      </c>
      <c r="G3318">
        <v>45.598700000000001</v>
      </c>
      <c r="H3318">
        <v>29.432400000000001</v>
      </c>
      <c r="I3318">
        <v>28.066099999999999</v>
      </c>
      <c r="J3318">
        <v>35.468800000000002</v>
      </c>
      <c r="K3318">
        <v>36.274700000000003</v>
      </c>
      <c r="L3318">
        <v>39.400399999999998</v>
      </c>
      <c r="M3318">
        <v>39.231499999999997</v>
      </c>
      <c r="N3318">
        <v>36.135399999999997</v>
      </c>
      <c r="O3318">
        <v>43.632100000000001</v>
      </c>
      <c r="P3318">
        <v>306</v>
      </c>
      <c r="Q3318" t="s">
        <v>6979</v>
      </c>
    </row>
    <row r="3319" spans="1:17" x14ac:dyDescent="0.3">
      <c r="A3319" t="s">
        <v>4664</v>
      </c>
      <c r="B3319" t="str">
        <f>"002637"</f>
        <v>002637</v>
      </c>
      <c r="C3319" t="s">
        <v>6980</v>
      </c>
      <c r="D3319" t="s">
        <v>386</v>
      </c>
      <c r="F3319">
        <v>57.655999999999999</v>
      </c>
      <c r="G3319">
        <v>77.5518</v>
      </c>
      <c r="H3319">
        <v>75.086699999999993</v>
      </c>
      <c r="I3319">
        <v>82.579899999999995</v>
      </c>
      <c r="J3319">
        <v>74.405699999999996</v>
      </c>
      <c r="K3319">
        <v>79.028800000000004</v>
      </c>
      <c r="L3319">
        <v>67.710599999999999</v>
      </c>
      <c r="M3319">
        <v>94.341099999999997</v>
      </c>
      <c r="N3319">
        <v>81.247799999999998</v>
      </c>
      <c r="O3319">
        <v>78.328599999999994</v>
      </c>
      <c r="P3319">
        <v>145</v>
      </c>
      <c r="Q3319" t="s">
        <v>6981</v>
      </c>
    </row>
    <row r="3320" spans="1:17" x14ac:dyDescent="0.3">
      <c r="A3320" t="s">
        <v>4664</v>
      </c>
      <c r="B3320" t="str">
        <f>"002638"</f>
        <v>002638</v>
      </c>
      <c r="C3320" t="s">
        <v>6982</v>
      </c>
      <c r="D3320" t="s">
        <v>1336</v>
      </c>
      <c r="F3320">
        <v>192.2252</v>
      </c>
      <c r="G3320">
        <v>173.97409999999999</v>
      </c>
      <c r="H3320">
        <v>164.81489999999999</v>
      </c>
      <c r="I3320">
        <v>183.78190000000001</v>
      </c>
      <c r="J3320">
        <v>158.44640000000001</v>
      </c>
      <c r="K3320">
        <v>247.708</v>
      </c>
      <c r="L3320">
        <v>194.3058</v>
      </c>
      <c r="M3320">
        <v>159.95339999999999</v>
      </c>
      <c r="N3320">
        <v>106.79300000000001</v>
      </c>
      <c r="O3320">
        <v>131.44399999999999</v>
      </c>
      <c r="P3320">
        <v>83</v>
      </c>
      <c r="Q3320" t="s">
        <v>6983</v>
      </c>
    </row>
    <row r="3321" spans="1:17" x14ac:dyDescent="0.3">
      <c r="A3321" t="s">
        <v>4664</v>
      </c>
      <c r="B3321" t="str">
        <f>"002639"</f>
        <v>002639</v>
      </c>
      <c r="C3321" t="s">
        <v>6984</v>
      </c>
      <c r="D3321" t="s">
        <v>988</v>
      </c>
      <c r="F3321">
        <v>234.6771</v>
      </c>
      <c r="G3321">
        <v>337.25080000000003</v>
      </c>
      <c r="H3321">
        <v>260.6182</v>
      </c>
      <c r="I3321">
        <v>294.2885</v>
      </c>
      <c r="J3321">
        <v>330.0034</v>
      </c>
      <c r="K3321">
        <v>241.07980000000001</v>
      </c>
      <c r="L3321">
        <v>323.08300000000003</v>
      </c>
      <c r="M3321">
        <v>311.47879999999998</v>
      </c>
      <c r="N3321">
        <v>277.27280000000002</v>
      </c>
      <c r="O3321">
        <v>413.04649999999998</v>
      </c>
      <c r="P3321">
        <v>228</v>
      </c>
      <c r="Q3321" t="s">
        <v>6985</v>
      </c>
    </row>
    <row r="3322" spans="1:17" x14ac:dyDescent="0.3">
      <c r="A3322" t="s">
        <v>4664</v>
      </c>
      <c r="B3322" t="str">
        <f>"002640"</f>
        <v>002640</v>
      </c>
      <c r="C3322" t="s">
        <v>6986</v>
      </c>
      <c r="D3322" t="s">
        <v>2014</v>
      </c>
      <c r="F3322">
        <v>74.534700000000001</v>
      </c>
      <c r="G3322">
        <v>127.42659999999999</v>
      </c>
      <c r="H3322">
        <v>216.1489</v>
      </c>
      <c r="I3322">
        <v>158.39850000000001</v>
      </c>
      <c r="J3322">
        <v>224.0104</v>
      </c>
      <c r="K3322">
        <v>167.00620000000001</v>
      </c>
      <c r="L3322">
        <v>183.47280000000001</v>
      </c>
      <c r="M3322">
        <v>339.26299999999998</v>
      </c>
      <c r="N3322">
        <v>265.09129999999999</v>
      </c>
      <c r="O3322">
        <v>164.09350000000001</v>
      </c>
      <c r="P3322">
        <v>263</v>
      </c>
      <c r="Q3322" t="s">
        <v>6987</v>
      </c>
    </row>
    <row r="3323" spans="1:17" x14ac:dyDescent="0.3">
      <c r="A3323" t="s">
        <v>4664</v>
      </c>
      <c r="B3323" t="str">
        <f>"002641"</f>
        <v>002641</v>
      </c>
      <c r="C3323" t="s">
        <v>6988</v>
      </c>
      <c r="D3323" t="s">
        <v>3320</v>
      </c>
      <c r="F3323">
        <v>100.61060000000001</v>
      </c>
      <c r="G3323">
        <v>112.9297</v>
      </c>
      <c r="H3323">
        <v>116.2221</v>
      </c>
      <c r="I3323">
        <v>120.61150000000001</v>
      </c>
      <c r="J3323">
        <v>113.3828</v>
      </c>
      <c r="K3323">
        <v>127.22629999999999</v>
      </c>
      <c r="L3323">
        <v>118.0201</v>
      </c>
      <c r="M3323">
        <v>99.326499999999996</v>
      </c>
      <c r="N3323">
        <v>89.222700000000003</v>
      </c>
      <c r="O3323">
        <v>90.861999999999995</v>
      </c>
      <c r="P3323">
        <v>360</v>
      </c>
      <c r="Q3323" t="s">
        <v>6989</v>
      </c>
    </row>
    <row r="3324" spans="1:17" x14ac:dyDescent="0.3">
      <c r="A3324" t="s">
        <v>4664</v>
      </c>
      <c r="B3324" t="str">
        <f>"002642"</f>
        <v>002642</v>
      </c>
      <c r="C3324" t="s">
        <v>6990</v>
      </c>
      <c r="D3324" t="s">
        <v>316</v>
      </c>
      <c r="F3324">
        <v>101.4089</v>
      </c>
      <c r="G3324">
        <v>182.62960000000001</v>
      </c>
      <c r="H3324">
        <v>273.01850000000002</v>
      </c>
      <c r="I3324">
        <v>336.1275</v>
      </c>
      <c r="J3324">
        <v>316.28530000000001</v>
      </c>
      <c r="K3324">
        <v>301.05959999999999</v>
      </c>
      <c r="L3324">
        <v>166.75710000000001</v>
      </c>
      <c r="M3324">
        <v>154.63919999999999</v>
      </c>
      <c r="N3324">
        <v>144.90790000000001</v>
      </c>
      <c r="O3324">
        <v>115.7933</v>
      </c>
      <c r="P3324">
        <v>221</v>
      </c>
      <c r="Q3324" t="s">
        <v>6991</v>
      </c>
    </row>
    <row r="3325" spans="1:17" x14ac:dyDescent="0.3">
      <c r="A3325" t="s">
        <v>4664</v>
      </c>
      <c r="B3325" t="str">
        <f>"002643"</f>
        <v>002643</v>
      </c>
      <c r="C3325" t="s">
        <v>6992</v>
      </c>
      <c r="D3325" t="s">
        <v>2399</v>
      </c>
      <c r="F3325">
        <v>225.05090000000001</v>
      </c>
      <c r="G3325">
        <v>410.53179999999998</v>
      </c>
      <c r="H3325">
        <v>317.11599999999999</v>
      </c>
      <c r="I3325">
        <v>236.8638</v>
      </c>
      <c r="J3325">
        <v>227.72190000000001</v>
      </c>
      <c r="K3325">
        <v>249.0744</v>
      </c>
      <c r="L3325">
        <v>197.66589999999999</v>
      </c>
      <c r="M3325">
        <v>212.08680000000001</v>
      </c>
      <c r="N3325">
        <v>191.85849999999999</v>
      </c>
      <c r="O3325">
        <v>232.6045</v>
      </c>
      <c r="P3325">
        <v>387</v>
      </c>
      <c r="Q3325" t="s">
        <v>6993</v>
      </c>
    </row>
    <row r="3326" spans="1:17" x14ac:dyDescent="0.3">
      <c r="A3326" t="s">
        <v>4664</v>
      </c>
      <c r="B3326" t="str">
        <f>"002644"</f>
        <v>002644</v>
      </c>
      <c r="C3326" t="s">
        <v>6994</v>
      </c>
      <c r="D3326" t="s">
        <v>188</v>
      </c>
      <c r="F3326">
        <v>209.60659999999999</v>
      </c>
      <c r="G3326">
        <v>290.96980000000002</v>
      </c>
      <c r="H3326">
        <v>265.60039999999998</v>
      </c>
      <c r="I3326">
        <v>277.50599999999997</v>
      </c>
      <c r="J3326">
        <v>335.40480000000002</v>
      </c>
      <c r="K3326">
        <v>332.53230000000002</v>
      </c>
      <c r="L3326">
        <v>244.30779999999999</v>
      </c>
      <c r="M3326">
        <v>189.60720000000001</v>
      </c>
      <c r="N3326">
        <v>372.10199999999998</v>
      </c>
      <c r="O3326">
        <v>322.86630000000002</v>
      </c>
      <c r="P3326">
        <v>163</v>
      </c>
      <c r="Q3326" t="s">
        <v>6995</v>
      </c>
    </row>
    <row r="3327" spans="1:17" x14ac:dyDescent="0.3">
      <c r="A3327" t="s">
        <v>4664</v>
      </c>
      <c r="B3327" t="str">
        <f>"002645"</f>
        <v>002645</v>
      </c>
      <c r="C3327" t="s">
        <v>6996</v>
      </c>
      <c r="D3327" t="s">
        <v>1070</v>
      </c>
      <c r="F3327">
        <v>104.6764</v>
      </c>
      <c r="G3327">
        <v>129.71639999999999</v>
      </c>
      <c r="H3327">
        <v>149.6036</v>
      </c>
      <c r="I3327">
        <v>148.04259999999999</v>
      </c>
      <c r="J3327">
        <v>103.4483</v>
      </c>
      <c r="K3327">
        <v>104.6395</v>
      </c>
      <c r="L3327">
        <v>356.8526</v>
      </c>
      <c r="M3327">
        <v>248.76220000000001</v>
      </c>
      <c r="N3327">
        <v>162.93799999999999</v>
      </c>
      <c r="O3327">
        <v>202.37270000000001</v>
      </c>
      <c r="P3327">
        <v>204</v>
      </c>
      <c r="Q3327" t="s">
        <v>6997</v>
      </c>
    </row>
    <row r="3328" spans="1:17" x14ac:dyDescent="0.3">
      <c r="A3328" t="s">
        <v>4664</v>
      </c>
      <c r="B3328" t="str">
        <f>"002646"</f>
        <v>002646</v>
      </c>
      <c r="C3328" t="s">
        <v>6998</v>
      </c>
      <c r="D3328" t="s">
        <v>458</v>
      </c>
      <c r="F3328">
        <v>1184.4056</v>
      </c>
      <c r="G3328">
        <v>1772.0948000000001</v>
      </c>
      <c r="H3328">
        <v>1018.6352000000001</v>
      </c>
      <c r="I3328">
        <v>758.47799999999995</v>
      </c>
      <c r="J3328">
        <v>742.34580000000005</v>
      </c>
      <c r="K3328">
        <v>638.24720000000002</v>
      </c>
      <c r="L3328">
        <v>585.04650000000004</v>
      </c>
      <c r="M3328">
        <v>523.05449999999996</v>
      </c>
      <c r="N3328">
        <v>399.18599999999998</v>
      </c>
      <c r="O3328">
        <v>357.31200000000001</v>
      </c>
      <c r="P3328">
        <v>254</v>
      </c>
      <c r="Q3328" t="s">
        <v>6999</v>
      </c>
    </row>
    <row r="3329" spans="1:17" x14ac:dyDescent="0.3">
      <c r="A3329" t="s">
        <v>4664</v>
      </c>
      <c r="B3329" t="str">
        <f>"002647"</f>
        <v>002647</v>
      </c>
      <c r="C3329" t="s">
        <v>7000</v>
      </c>
      <c r="D3329" t="s">
        <v>6337</v>
      </c>
      <c r="F3329">
        <v>7.3099999999999998E-2</v>
      </c>
      <c r="G3329">
        <v>5.3900000000000003E-2</v>
      </c>
      <c r="H3329">
        <v>1.9400000000000001E-2</v>
      </c>
      <c r="I3329">
        <v>1.18E-2</v>
      </c>
      <c r="J3329">
        <v>1.14E-2</v>
      </c>
      <c r="K3329">
        <v>19.403199999999998</v>
      </c>
      <c r="L3329">
        <v>80.089299999999994</v>
      </c>
      <c r="M3329">
        <v>55.547499999999999</v>
      </c>
      <c r="N3329">
        <v>54.107100000000003</v>
      </c>
      <c r="O3329">
        <v>59.222499999999997</v>
      </c>
      <c r="P3329">
        <v>180</v>
      </c>
      <c r="Q3329" t="s">
        <v>7001</v>
      </c>
    </row>
    <row r="3330" spans="1:17" x14ac:dyDescent="0.3">
      <c r="A3330" t="s">
        <v>4664</v>
      </c>
      <c r="B3330" t="str">
        <f>"002648"</f>
        <v>002648</v>
      </c>
      <c r="C3330" t="s">
        <v>7002</v>
      </c>
      <c r="D3330" t="s">
        <v>386</v>
      </c>
      <c r="F3330">
        <v>60.171300000000002</v>
      </c>
      <c r="G3330">
        <v>62.981299999999997</v>
      </c>
      <c r="H3330">
        <v>42.906700000000001</v>
      </c>
      <c r="I3330">
        <v>56.134500000000003</v>
      </c>
      <c r="J3330">
        <v>45.881700000000002</v>
      </c>
      <c r="K3330">
        <v>65.812299999999993</v>
      </c>
      <c r="L3330">
        <v>67.856999999999999</v>
      </c>
      <c r="M3330">
        <v>91.894900000000007</v>
      </c>
      <c r="N3330">
        <v>61.521000000000001</v>
      </c>
      <c r="O3330">
        <v>48.1068</v>
      </c>
      <c r="P3330">
        <v>526</v>
      </c>
      <c r="Q3330" t="s">
        <v>7003</v>
      </c>
    </row>
    <row r="3331" spans="1:17" x14ac:dyDescent="0.3">
      <c r="A3331" t="s">
        <v>4664</v>
      </c>
      <c r="B3331" t="str">
        <f>"002649"</f>
        <v>002649</v>
      </c>
      <c r="C3331" t="s">
        <v>7004</v>
      </c>
      <c r="D3331" t="s">
        <v>316</v>
      </c>
      <c r="F3331">
        <v>4.9699</v>
      </c>
      <c r="G3331">
        <v>2.8509000000000002</v>
      </c>
      <c r="H3331">
        <v>2.1219999999999999</v>
      </c>
      <c r="I3331">
        <v>0.64329999999999998</v>
      </c>
      <c r="J3331">
        <v>1.6299999999999999E-2</v>
      </c>
      <c r="K3331">
        <v>6.4000000000000003E-3</v>
      </c>
      <c r="L3331">
        <v>7.7999999999999996E-3</v>
      </c>
      <c r="M3331">
        <v>4.7999999999999996E-3</v>
      </c>
      <c r="N3331">
        <v>0</v>
      </c>
      <c r="O3331">
        <v>0</v>
      </c>
      <c r="P3331">
        <v>273</v>
      </c>
      <c r="Q3331" t="s">
        <v>7005</v>
      </c>
    </row>
    <row r="3332" spans="1:17" x14ac:dyDescent="0.3">
      <c r="A3332" t="s">
        <v>4664</v>
      </c>
      <c r="B3332" t="str">
        <f>"002650"</f>
        <v>002650</v>
      </c>
      <c r="C3332" t="s">
        <v>7006</v>
      </c>
      <c r="D3332" t="s">
        <v>433</v>
      </c>
      <c r="F3332">
        <v>126.8578</v>
      </c>
      <c r="G3332">
        <v>115.6583</v>
      </c>
      <c r="H3332">
        <v>114.3197</v>
      </c>
      <c r="I3332">
        <v>118.8631</v>
      </c>
      <c r="J3332">
        <v>112.6142</v>
      </c>
      <c r="K3332">
        <v>108.1658</v>
      </c>
      <c r="L3332">
        <v>88.513400000000004</v>
      </c>
      <c r="M3332">
        <v>88.456800000000001</v>
      </c>
      <c r="N3332">
        <v>70.109099999999998</v>
      </c>
      <c r="O3332">
        <v>64.100300000000004</v>
      </c>
      <c r="P3332">
        <v>207</v>
      </c>
      <c r="Q3332" t="s">
        <v>7007</v>
      </c>
    </row>
    <row r="3333" spans="1:17" x14ac:dyDescent="0.3">
      <c r="A3333" t="s">
        <v>4664</v>
      </c>
      <c r="B3333" t="str">
        <f>"002651"</f>
        <v>002651</v>
      </c>
      <c r="C3333" t="s">
        <v>7008</v>
      </c>
      <c r="D3333" t="s">
        <v>395</v>
      </c>
      <c r="F3333">
        <v>368.30810000000002</v>
      </c>
      <c r="G3333">
        <v>509.60849999999999</v>
      </c>
      <c r="H3333">
        <v>503.0249</v>
      </c>
      <c r="I3333">
        <v>427.74279999999999</v>
      </c>
      <c r="J3333">
        <v>370.93770000000001</v>
      </c>
      <c r="K3333">
        <v>365.49590000000001</v>
      </c>
      <c r="L3333">
        <v>333.65140000000002</v>
      </c>
      <c r="M3333">
        <v>285.85890000000001</v>
      </c>
      <c r="N3333">
        <v>257.95580000000001</v>
      </c>
      <c r="O3333">
        <v>269.63990000000001</v>
      </c>
      <c r="P3333">
        <v>121</v>
      </c>
      <c r="Q3333" t="s">
        <v>7009</v>
      </c>
    </row>
    <row r="3334" spans="1:17" x14ac:dyDescent="0.3">
      <c r="A3334" t="s">
        <v>4664</v>
      </c>
      <c r="B3334" t="str">
        <f>"002652"</f>
        <v>002652</v>
      </c>
      <c r="C3334" t="s">
        <v>7010</v>
      </c>
      <c r="D3334" t="s">
        <v>722</v>
      </c>
      <c r="F3334">
        <v>22.941600000000001</v>
      </c>
      <c r="G3334">
        <v>121.14660000000001</v>
      </c>
      <c r="H3334">
        <v>200.00790000000001</v>
      </c>
      <c r="I3334">
        <v>157.67330000000001</v>
      </c>
      <c r="J3334">
        <v>149.00819999999999</v>
      </c>
      <c r="K3334">
        <v>134.7294</v>
      </c>
      <c r="L3334">
        <v>68.240899999999996</v>
      </c>
      <c r="M3334">
        <v>49.138300000000001</v>
      </c>
      <c r="N3334">
        <v>50.2515</v>
      </c>
      <c r="O3334">
        <v>46.4099</v>
      </c>
      <c r="P3334">
        <v>58</v>
      </c>
      <c r="Q3334" t="s">
        <v>7011</v>
      </c>
    </row>
    <row r="3335" spans="1:17" x14ac:dyDescent="0.3">
      <c r="A3335" t="s">
        <v>4664</v>
      </c>
      <c r="B3335" t="str">
        <f>"002653"</f>
        <v>002653</v>
      </c>
      <c r="C3335" t="s">
        <v>7012</v>
      </c>
      <c r="D3335" t="s">
        <v>143</v>
      </c>
      <c r="F3335">
        <v>122.31959999999999</v>
      </c>
      <c r="G3335">
        <v>107.8113</v>
      </c>
      <c r="H3335">
        <v>53.210900000000002</v>
      </c>
      <c r="I3335">
        <v>69.2971</v>
      </c>
      <c r="J3335">
        <v>117.11539999999999</v>
      </c>
      <c r="K3335">
        <v>124.12009999999999</v>
      </c>
      <c r="L3335">
        <v>103.9533</v>
      </c>
      <c r="M3335">
        <v>99.047200000000004</v>
      </c>
      <c r="N3335">
        <v>88.635300000000001</v>
      </c>
      <c r="O3335">
        <v>69.545599999999993</v>
      </c>
      <c r="P3335">
        <v>549</v>
      </c>
      <c r="Q3335" t="s">
        <v>7013</v>
      </c>
    </row>
    <row r="3336" spans="1:17" x14ac:dyDescent="0.3">
      <c r="A3336" t="s">
        <v>4664</v>
      </c>
      <c r="B3336" t="str">
        <f>"002654"</f>
        <v>002654</v>
      </c>
      <c r="C3336" t="s">
        <v>7014</v>
      </c>
      <c r="D3336" t="s">
        <v>803</v>
      </c>
      <c r="F3336">
        <v>21.3276</v>
      </c>
      <c r="G3336">
        <v>26.9969</v>
      </c>
      <c r="H3336">
        <v>23.7744</v>
      </c>
      <c r="I3336">
        <v>24.8566</v>
      </c>
      <c r="J3336">
        <v>37.744399999999999</v>
      </c>
      <c r="K3336">
        <v>98.313900000000004</v>
      </c>
      <c r="L3336">
        <v>120.3047</v>
      </c>
      <c r="M3336">
        <v>99.084100000000007</v>
      </c>
      <c r="N3336">
        <v>125.5206</v>
      </c>
      <c r="O3336">
        <v>134.768</v>
      </c>
      <c r="P3336">
        <v>124</v>
      </c>
      <c r="Q3336" t="s">
        <v>7015</v>
      </c>
    </row>
    <row r="3337" spans="1:17" x14ac:dyDescent="0.3">
      <c r="A3337" t="s">
        <v>4664</v>
      </c>
      <c r="B3337" t="str">
        <f>"002655"</f>
        <v>002655</v>
      </c>
      <c r="C3337" t="s">
        <v>7016</v>
      </c>
      <c r="D3337" t="s">
        <v>313</v>
      </c>
      <c r="F3337">
        <v>158.9973</v>
      </c>
      <c r="G3337">
        <v>112.68940000000001</v>
      </c>
      <c r="H3337">
        <v>130.40809999999999</v>
      </c>
      <c r="I3337">
        <v>142.92570000000001</v>
      </c>
      <c r="J3337">
        <v>173.75630000000001</v>
      </c>
      <c r="K3337">
        <v>170.68559999999999</v>
      </c>
      <c r="L3337">
        <v>149.45330000000001</v>
      </c>
      <c r="M3337">
        <v>130.11240000000001</v>
      </c>
      <c r="N3337">
        <v>202.2473</v>
      </c>
      <c r="O3337">
        <v>136.22300000000001</v>
      </c>
      <c r="P3337">
        <v>230</v>
      </c>
      <c r="Q3337" t="s">
        <v>7017</v>
      </c>
    </row>
    <row r="3338" spans="1:17" x14ac:dyDescent="0.3">
      <c r="A3338" t="s">
        <v>4664</v>
      </c>
      <c r="B3338" t="str">
        <f>"002656"</f>
        <v>002656</v>
      </c>
      <c r="C3338" t="s">
        <v>7018</v>
      </c>
      <c r="D3338" t="s">
        <v>255</v>
      </c>
      <c r="F3338">
        <v>454.08499999999998</v>
      </c>
      <c r="G3338">
        <v>255.46350000000001</v>
      </c>
      <c r="H3338">
        <v>318.60759999999999</v>
      </c>
      <c r="I3338">
        <v>260.72480000000002</v>
      </c>
      <c r="J3338">
        <v>484.33519999999999</v>
      </c>
      <c r="K3338">
        <v>728.83579999999995</v>
      </c>
      <c r="L3338">
        <v>883.42750000000001</v>
      </c>
      <c r="M3338">
        <v>855.35829999999999</v>
      </c>
      <c r="N3338">
        <v>643.26760000000002</v>
      </c>
      <c r="O3338">
        <v>559.27250000000004</v>
      </c>
      <c r="P3338">
        <v>62</v>
      </c>
      <c r="Q3338" t="s">
        <v>7019</v>
      </c>
    </row>
    <row r="3339" spans="1:17" x14ac:dyDescent="0.3">
      <c r="A3339" t="s">
        <v>4664</v>
      </c>
      <c r="B3339" t="str">
        <f>"002657"</f>
        <v>002657</v>
      </c>
      <c r="C3339" t="s">
        <v>7020</v>
      </c>
      <c r="D3339" t="s">
        <v>316</v>
      </c>
      <c r="F3339">
        <v>300.17869999999999</v>
      </c>
      <c r="G3339">
        <v>347.70729999999998</v>
      </c>
      <c r="H3339">
        <v>259.60230000000001</v>
      </c>
      <c r="I3339">
        <v>334.22669999999999</v>
      </c>
      <c r="J3339">
        <v>271.1123</v>
      </c>
      <c r="K3339">
        <v>241.99350000000001</v>
      </c>
      <c r="L3339">
        <v>273.78109999999998</v>
      </c>
      <c r="M3339">
        <v>333.64109999999999</v>
      </c>
      <c r="N3339">
        <v>451.35579999999999</v>
      </c>
      <c r="O3339">
        <v>197.65039999999999</v>
      </c>
      <c r="P3339">
        <v>154</v>
      </c>
      <c r="Q3339" t="s">
        <v>7021</v>
      </c>
    </row>
    <row r="3340" spans="1:17" x14ac:dyDescent="0.3">
      <c r="A3340" t="s">
        <v>4664</v>
      </c>
      <c r="B3340" t="str">
        <f>"002658"</f>
        <v>002658</v>
      </c>
      <c r="C3340" t="s">
        <v>7022</v>
      </c>
      <c r="D3340" t="s">
        <v>1070</v>
      </c>
      <c r="F3340">
        <v>438.56439999999998</v>
      </c>
      <c r="G3340">
        <v>577.85350000000005</v>
      </c>
      <c r="H3340">
        <v>277.51870000000002</v>
      </c>
      <c r="I3340">
        <v>319.65300000000002</v>
      </c>
      <c r="J3340">
        <v>335.22930000000002</v>
      </c>
      <c r="K3340">
        <v>354.21969999999999</v>
      </c>
      <c r="L3340">
        <v>361.18669999999997</v>
      </c>
      <c r="M3340">
        <v>297.04399999999998</v>
      </c>
      <c r="N3340">
        <v>295.85320000000002</v>
      </c>
      <c r="O3340">
        <v>321.77879999999999</v>
      </c>
      <c r="P3340">
        <v>231</v>
      </c>
      <c r="Q3340" t="s">
        <v>7023</v>
      </c>
    </row>
    <row r="3341" spans="1:17" x14ac:dyDescent="0.3">
      <c r="A3341" t="s">
        <v>4664</v>
      </c>
      <c r="B3341" t="str">
        <f>"002659"</f>
        <v>002659</v>
      </c>
      <c r="C3341" t="s">
        <v>7024</v>
      </c>
      <c r="D3341" t="s">
        <v>1777</v>
      </c>
      <c r="F3341">
        <v>0.2868</v>
      </c>
      <c r="G3341">
        <v>0.3604</v>
      </c>
      <c r="H3341">
        <v>0.31169999999999998</v>
      </c>
      <c r="I3341">
        <v>8.5400000000000004E-2</v>
      </c>
      <c r="J3341">
        <v>452.50299999999999</v>
      </c>
      <c r="K3341">
        <v>908.03340000000003</v>
      </c>
      <c r="L3341">
        <v>681.87559999999996</v>
      </c>
      <c r="M3341">
        <v>493.19690000000003</v>
      </c>
      <c r="N3341">
        <v>512.92319999999995</v>
      </c>
      <c r="O3341">
        <v>338.3528</v>
      </c>
      <c r="P3341">
        <v>96</v>
      </c>
      <c r="Q3341" t="s">
        <v>7025</v>
      </c>
    </row>
    <row r="3342" spans="1:17" x14ac:dyDescent="0.3">
      <c r="A3342" t="s">
        <v>4664</v>
      </c>
      <c r="B3342" t="str">
        <f>"002660"</f>
        <v>002660</v>
      </c>
      <c r="C3342" t="s">
        <v>7026</v>
      </c>
      <c r="D3342" t="s">
        <v>313</v>
      </c>
      <c r="F3342">
        <v>80.9529</v>
      </c>
      <c r="G3342">
        <v>65.287199999999999</v>
      </c>
      <c r="H3342">
        <v>63.406599999999997</v>
      </c>
      <c r="I3342">
        <v>92.642499999999998</v>
      </c>
      <c r="J3342">
        <v>70.373900000000006</v>
      </c>
      <c r="K3342">
        <v>91.079800000000006</v>
      </c>
      <c r="L3342">
        <v>88.913899999999998</v>
      </c>
      <c r="M3342">
        <v>102.1679</v>
      </c>
      <c r="N3342">
        <v>114.01090000000001</v>
      </c>
      <c r="O3342">
        <v>114.3874</v>
      </c>
      <c r="P3342">
        <v>122</v>
      </c>
      <c r="Q3342" t="s">
        <v>7027</v>
      </c>
    </row>
    <row r="3343" spans="1:17" x14ac:dyDescent="0.3">
      <c r="A3343" t="s">
        <v>4664</v>
      </c>
      <c r="B3343" t="str">
        <f>"002661"</f>
        <v>002661</v>
      </c>
      <c r="C3343" t="s">
        <v>7028</v>
      </c>
      <c r="D3343" t="s">
        <v>445</v>
      </c>
      <c r="F3343">
        <v>72.267300000000006</v>
      </c>
      <c r="G3343">
        <v>78.870199999999997</v>
      </c>
      <c r="H3343">
        <v>88.688299999999998</v>
      </c>
      <c r="I3343">
        <v>71.120699999999999</v>
      </c>
      <c r="J3343">
        <v>68.265000000000001</v>
      </c>
      <c r="K3343">
        <v>38.494799999999998</v>
      </c>
      <c r="L3343">
        <v>26.866199999999999</v>
      </c>
      <c r="M3343">
        <v>26.45</v>
      </c>
      <c r="N3343">
        <v>24.9084</v>
      </c>
      <c r="O3343">
        <v>36.559899999999999</v>
      </c>
      <c r="P3343">
        <v>511</v>
      </c>
      <c r="Q3343" t="s">
        <v>7029</v>
      </c>
    </row>
    <row r="3344" spans="1:17" x14ac:dyDescent="0.3">
      <c r="A3344" t="s">
        <v>4664</v>
      </c>
      <c r="B3344" t="str">
        <f>"002662"</f>
        <v>002662</v>
      </c>
      <c r="C3344" t="s">
        <v>7030</v>
      </c>
      <c r="D3344" t="s">
        <v>191</v>
      </c>
      <c r="F3344">
        <v>117.05289999999999</v>
      </c>
      <c r="G3344">
        <v>159.28049999999999</v>
      </c>
      <c r="H3344">
        <v>176.1611</v>
      </c>
      <c r="I3344">
        <v>158.16890000000001</v>
      </c>
      <c r="J3344">
        <v>162.60830000000001</v>
      </c>
      <c r="K3344">
        <v>150.2919</v>
      </c>
      <c r="L3344">
        <v>161.43430000000001</v>
      </c>
      <c r="M3344">
        <v>164.24039999999999</v>
      </c>
      <c r="N3344">
        <v>158.47290000000001</v>
      </c>
      <c r="O3344">
        <v>154.1961</v>
      </c>
      <c r="P3344">
        <v>140</v>
      </c>
      <c r="Q3344" t="s">
        <v>7031</v>
      </c>
    </row>
    <row r="3345" spans="1:17" x14ac:dyDescent="0.3">
      <c r="A3345" t="s">
        <v>4664</v>
      </c>
      <c r="B3345" t="str">
        <f>"002663"</f>
        <v>002663</v>
      </c>
      <c r="C3345" t="s">
        <v>7032</v>
      </c>
      <c r="D3345" t="s">
        <v>2408</v>
      </c>
      <c r="F3345">
        <v>95.443700000000007</v>
      </c>
      <c r="G3345">
        <v>344.26740000000001</v>
      </c>
      <c r="H3345">
        <v>524.26170000000002</v>
      </c>
      <c r="I3345">
        <v>557.02809999999999</v>
      </c>
      <c r="J3345">
        <v>593.60619999999994</v>
      </c>
      <c r="K3345">
        <v>654.06650000000002</v>
      </c>
      <c r="L3345">
        <v>666.32950000000005</v>
      </c>
      <c r="M3345">
        <v>274.43979999999999</v>
      </c>
      <c r="N3345">
        <v>241.03890000000001</v>
      </c>
      <c r="O3345">
        <v>118.97839999999999</v>
      </c>
      <c r="P3345">
        <v>95</v>
      </c>
      <c r="Q3345" t="s">
        <v>7033</v>
      </c>
    </row>
    <row r="3346" spans="1:17" x14ac:dyDescent="0.3">
      <c r="A3346" t="s">
        <v>4664</v>
      </c>
      <c r="B3346" t="str">
        <f>"002664"</f>
        <v>002664</v>
      </c>
      <c r="C3346" t="s">
        <v>7034</v>
      </c>
      <c r="D3346" t="s">
        <v>1415</v>
      </c>
      <c r="F3346">
        <v>90.234200000000001</v>
      </c>
      <c r="G3346">
        <v>115.2475</v>
      </c>
      <c r="H3346">
        <v>96.008600000000001</v>
      </c>
      <c r="I3346">
        <v>101.9003</v>
      </c>
      <c r="J3346">
        <v>102.5338</v>
      </c>
      <c r="K3346">
        <v>102.44670000000001</v>
      </c>
      <c r="L3346">
        <v>111.1437</v>
      </c>
      <c r="M3346">
        <v>112.7826</v>
      </c>
      <c r="N3346">
        <v>131.7765</v>
      </c>
      <c r="O3346">
        <v>130.20679999999999</v>
      </c>
      <c r="P3346">
        <v>232</v>
      </c>
      <c r="Q3346" t="s">
        <v>7035</v>
      </c>
    </row>
    <row r="3347" spans="1:17" x14ac:dyDescent="0.3">
      <c r="A3347" t="s">
        <v>4664</v>
      </c>
      <c r="B3347" t="str">
        <f>"002665"</f>
        <v>002665</v>
      </c>
      <c r="C3347" t="s">
        <v>7036</v>
      </c>
      <c r="D3347" t="s">
        <v>880</v>
      </c>
      <c r="F3347">
        <v>136.28700000000001</v>
      </c>
      <c r="G3347">
        <v>392.56310000000002</v>
      </c>
      <c r="H3347">
        <v>393.089</v>
      </c>
      <c r="I3347">
        <v>478.2303</v>
      </c>
      <c r="J3347">
        <v>130.1309</v>
      </c>
      <c r="K3347">
        <v>248.4153</v>
      </c>
      <c r="L3347">
        <v>373.5043</v>
      </c>
      <c r="M3347">
        <v>294.64870000000002</v>
      </c>
      <c r="N3347">
        <v>219.48570000000001</v>
      </c>
      <c r="O3347">
        <v>264.04739999999998</v>
      </c>
      <c r="P3347">
        <v>208</v>
      </c>
      <c r="Q3347" t="s">
        <v>7037</v>
      </c>
    </row>
    <row r="3348" spans="1:17" x14ac:dyDescent="0.3">
      <c r="A3348" t="s">
        <v>4664</v>
      </c>
      <c r="B3348" t="str">
        <f>"002666"</f>
        <v>002666</v>
      </c>
      <c r="C3348" t="s">
        <v>7038</v>
      </c>
      <c r="D3348" t="s">
        <v>386</v>
      </c>
      <c r="F3348">
        <v>87.249200000000002</v>
      </c>
      <c r="G3348">
        <v>112.9898</v>
      </c>
      <c r="H3348">
        <v>117.1823</v>
      </c>
      <c r="I3348">
        <v>109.38849999999999</v>
      </c>
      <c r="J3348">
        <v>131.1568</v>
      </c>
      <c r="K3348">
        <v>177.8878</v>
      </c>
      <c r="L3348">
        <v>217.7955</v>
      </c>
      <c r="M3348">
        <v>205.58430000000001</v>
      </c>
      <c r="N3348">
        <v>175.42920000000001</v>
      </c>
      <c r="O3348">
        <v>173.90790000000001</v>
      </c>
      <c r="P3348">
        <v>110</v>
      </c>
      <c r="Q3348" t="s">
        <v>7039</v>
      </c>
    </row>
    <row r="3349" spans="1:17" x14ac:dyDescent="0.3">
      <c r="A3349" t="s">
        <v>4664</v>
      </c>
      <c r="B3349" t="str">
        <f>"002667"</f>
        <v>002667</v>
      </c>
      <c r="C3349" t="s">
        <v>7040</v>
      </c>
      <c r="D3349" t="s">
        <v>395</v>
      </c>
      <c r="F3349">
        <v>467.38279999999997</v>
      </c>
      <c r="G3349">
        <v>791.95989999999995</v>
      </c>
      <c r="H3349">
        <v>488.09690000000001</v>
      </c>
      <c r="I3349">
        <v>553.25289999999995</v>
      </c>
      <c r="J3349">
        <v>565.78279999999995</v>
      </c>
      <c r="K3349">
        <v>1046.3531</v>
      </c>
      <c r="L3349">
        <v>755.4221</v>
      </c>
      <c r="M3349">
        <v>601.15769999999998</v>
      </c>
      <c r="N3349">
        <v>616.81790000000001</v>
      </c>
      <c r="O3349">
        <v>353.77179999999998</v>
      </c>
      <c r="P3349">
        <v>73</v>
      </c>
      <c r="Q3349" t="s">
        <v>7041</v>
      </c>
    </row>
    <row r="3350" spans="1:17" x14ac:dyDescent="0.3">
      <c r="A3350" t="s">
        <v>4664</v>
      </c>
      <c r="B3350" t="str">
        <f>"002668"</f>
        <v>002668</v>
      </c>
      <c r="C3350" t="s">
        <v>7042</v>
      </c>
      <c r="D3350" t="s">
        <v>754</v>
      </c>
      <c r="F3350">
        <v>46.371400000000001</v>
      </c>
      <c r="G3350">
        <v>53.371499999999997</v>
      </c>
      <c r="H3350">
        <v>56.528500000000001</v>
      </c>
      <c r="I3350">
        <v>61.3172</v>
      </c>
      <c r="J3350">
        <v>70.792100000000005</v>
      </c>
      <c r="K3350">
        <v>70.256200000000007</v>
      </c>
      <c r="L3350">
        <v>82.875100000000003</v>
      </c>
      <c r="M3350">
        <v>74.381</v>
      </c>
      <c r="N3350">
        <v>62.700200000000002</v>
      </c>
      <c r="O3350">
        <v>63.585000000000001</v>
      </c>
      <c r="P3350">
        <v>204</v>
      </c>
      <c r="Q3350" t="s">
        <v>7043</v>
      </c>
    </row>
    <row r="3351" spans="1:17" x14ac:dyDescent="0.3">
      <c r="A3351" t="s">
        <v>4664</v>
      </c>
      <c r="B3351" t="str">
        <f>"002669"</f>
        <v>002669</v>
      </c>
      <c r="C3351" t="s">
        <v>7044</v>
      </c>
      <c r="D3351" t="s">
        <v>3143</v>
      </c>
      <c r="F3351">
        <v>86.1494</v>
      </c>
      <c r="G3351">
        <v>80.091399999999993</v>
      </c>
      <c r="H3351">
        <v>136.68440000000001</v>
      </c>
      <c r="I3351">
        <v>86.267499999999998</v>
      </c>
      <c r="J3351">
        <v>97.297700000000006</v>
      </c>
      <c r="K3351">
        <v>107.3973</v>
      </c>
      <c r="L3351">
        <v>83.937700000000007</v>
      </c>
      <c r="M3351">
        <v>82.476600000000005</v>
      </c>
      <c r="N3351">
        <v>107.8916</v>
      </c>
      <c r="O3351">
        <v>110.7975</v>
      </c>
      <c r="P3351">
        <v>138</v>
      </c>
      <c r="Q3351" t="s">
        <v>7045</v>
      </c>
    </row>
    <row r="3352" spans="1:17" x14ac:dyDescent="0.3">
      <c r="A3352" t="s">
        <v>4664</v>
      </c>
      <c r="B3352" t="str">
        <f>"002670"</f>
        <v>002670</v>
      </c>
      <c r="C3352" t="s">
        <v>7046</v>
      </c>
      <c r="D3352" t="s">
        <v>80</v>
      </c>
      <c r="G3352">
        <v>114.7341</v>
      </c>
      <c r="J3352">
        <v>75.155299999999997</v>
      </c>
      <c r="K3352">
        <v>87.287199999999999</v>
      </c>
      <c r="L3352">
        <v>97.889499999999998</v>
      </c>
      <c r="M3352">
        <v>79.184600000000003</v>
      </c>
      <c r="N3352">
        <v>75.353399999999993</v>
      </c>
      <c r="O3352">
        <v>55.945300000000003</v>
      </c>
      <c r="P3352">
        <v>580</v>
      </c>
      <c r="Q3352" t="s">
        <v>7047</v>
      </c>
    </row>
    <row r="3353" spans="1:17" x14ac:dyDescent="0.3">
      <c r="A3353" t="s">
        <v>4664</v>
      </c>
      <c r="B3353" t="str">
        <f>"002671"</f>
        <v>002671</v>
      </c>
      <c r="C3353" t="s">
        <v>7048</v>
      </c>
      <c r="D3353" t="s">
        <v>3071</v>
      </c>
      <c r="F3353">
        <v>138.43090000000001</v>
      </c>
      <c r="G3353">
        <v>338.19369999999998</v>
      </c>
      <c r="H3353">
        <v>224.42740000000001</v>
      </c>
      <c r="I3353">
        <v>340.76530000000002</v>
      </c>
      <c r="J3353">
        <v>398.05540000000002</v>
      </c>
      <c r="K3353">
        <v>412.93970000000002</v>
      </c>
      <c r="L3353">
        <v>527.6223</v>
      </c>
      <c r="M3353">
        <v>280.06670000000003</v>
      </c>
      <c r="N3353">
        <v>172.69710000000001</v>
      </c>
      <c r="O3353">
        <v>98.389499999999998</v>
      </c>
      <c r="P3353">
        <v>68</v>
      </c>
      <c r="Q3353" t="s">
        <v>7049</v>
      </c>
    </row>
    <row r="3354" spans="1:17" x14ac:dyDescent="0.3">
      <c r="A3354" t="s">
        <v>4664</v>
      </c>
      <c r="B3354" t="str">
        <f>"002672"</f>
        <v>002672</v>
      </c>
      <c r="C3354" t="s">
        <v>7050</v>
      </c>
      <c r="D3354" t="s">
        <v>499</v>
      </c>
      <c r="F3354">
        <v>60.353999999999999</v>
      </c>
      <c r="G3354">
        <v>67.464399999999998</v>
      </c>
      <c r="H3354">
        <v>62.386099999999999</v>
      </c>
      <c r="I3354">
        <v>67.884699999999995</v>
      </c>
      <c r="J3354">
        <v>76.068299999999994</v>
      </c>
      <c r="K3354">
        <v>77.880099999999999</v>
      </c>
      <c r="L3354">
        <v>98.352400000000003</v>
      </c>
      <c r="M3354">
        <v>112.76139999999999</v>
      </c>
      <c r="N3354">
        <v>134.08019999999999</v>
      </c>
      <c r="O3354">
        <v>123.6713</v>
      </c>
      <c r="P3354">
        <v>317</v>
      </c>
      <c r="Q3354" t="s">
        <v>7051</v>
      </c>
    </row>
    <row r="3355" spans="1:17" x14ac:dyDescent="0.3">
      <c r="A3355" t="s">
        <v>4664</v>
      </c>
      <c r="B3355" t="str">
        <f>"002673"</f>
        <v>002673</v>
      </c>
      <c r="C3355" t="s">
        <v>7052</v>
      </c>
      <c r="D3355" t="s">
        <v>80</v>
      </c>
      <c r="P3355">
        <v>1135</v>
      </c>
      <c r="Q3355" t="s">
        <v>7053</v>
      </c>
    </row>
    <row r="3356" spans="1:17" x14ac:dyDescent="0.3">
      <c r="A3356" t="s">
        <v>4664</v>
      </c>
      <c r="B3356" t="str">
        <f>"002674"</f>
        <v>002674</v>
      </c>
      <c r="C3356" t="s">
        <v>7054</v>
      </c>
      <c r="D3356" t="s">
        <v>2929</v>
      </c>
      <c r="F3356">
        <v>239.43539999999999</v>
      </c>
      <c r="G3356">
        <v>282.56169999999997</v>
      </c>
      <c r="H3356">
        <v>201.0866</v>
      </c>
      <c r="I3356">
        <v>184.84350000000001</v>
      </c>
      <c r="J3356">
        <v>226.7236</v>
      </c>
      <c r="K3356">
        <v>208.13310000000001</v>
      </c>
      <c r="L3356">
        <v>219.07320000000001</v>
      </c>
      <c r="M3356">
        <v>219.02879999999999</v>
      </c>
      <c r="N3356">
        <v>270.9873</v>
      </c>
      <c r="O3356">
        <v>145.25229999999999</v>
      </c>
      <c r="P3356">
        <v>102</v>
      </c>
      <c r="Q3356" t="s">
        <v>7055</v>
      </c>
    </row>
    <row r="3357" spans="1:17" x14ac:dyDescent="0.3">
      <c r="A3357" t="s">
        <v>4664</v>
      </c>
      <c r="B3357" t="str">
        <f>"002675"</f>
        <v>002675</v>
      </c>
      <c r="C3357" t="s">
        <v>7056</v>
      </c>
      <c r="D3357" t="s">
        <v>143</v>
      </c>
      <c r="F3357">
        <v>213.80699999999999</v>
      </c>
      <c r="G3357">
        <v>268.33640000000003</v>
      </c>
      <c r="H3357">
        <v>288.65280000000001</v>
      </c>
      <c r="I3357">
        <v>297.1189</v>
      </c>
      <c r="J3357">
        <v>361.32900000000001</v>
      </c>
      <c r="K3357">
        <v>296.38780000000003</v>
      </c>
      <c r="L3357">
        <v>300.97980000000001</v>
      </c>
      <c r="M3357">
        <v>228.08510000000001</v>
      </c>
      <c r="N3357">
        <v>160.97499999999999</v>
      </c>
      <c r="O3357">
        <v>193.63820000000001</v>
      </c>
      <c r="P3357">
        <v>365</v>
      </c>
      <c r="Q3357" t="s">
        <v>7057</v>
      </c>
    </row>
    <row r="3358" spans="1:17" x14ac:dyDescent="0.3">
      <c r="A3358" t="s">
        <v>4664</v>
      </c>
      <c r="B3358" t="str">
        <f>"002676"</f>
        <v>002676</v>
      </c>
      <c r="C3358" t="s">
        <v>7058</v>
      </c>
      <c r="D3358" t="s">
        <v>1253</v>
      </c>
      <c r="F3358">
        <v>112.2153</v>
      </c>
      <c r="G3358">
        <v>121.1088</v>
      </c>
      <c r="H3358">
        <v>119.467</v>
      </c>
      <c r="I3358">
        <v>131.28700000000001</v>
      </c>
      <c r="J3358">
        <v>131.36189999999999</v>
      </c>
      <c r="K3358">
        <v>127.9365</v>
      </c>
      <c r="L3358">
        <v>147.16560000000001</v>
      </c>
      <c r="M3358">
        <v>119.88509999999999</v>
      </c>
      <c r="N3358">
        <v>101.1067</v>
      </c>
      <c r="O3358">
        <v>112.8151</v>
      </c>
      <c r="P3358">
        <v>87</v>
      </c>
      <c r="Q3358" t="s">
        <v>7059</v>
      </c>
    </row>
    <row r="3359" spans="1:17" x14ac:dyDescent="0.3">
      <c r="A3359" t="s">
        <v>4664</v>
      </c>
      <c r="B3359" t="str">
        <f>"002677"</f>
        <v>002677</v>
      </c>
      <c r="C3359" t="s">
        <v>7060</v>
      </c>
      <c r="D3359" t="s">
        <v>3680</v>
      </c>
      <c r="F3359">
        <v>43.674799999999998</v>
      </c>
      <c r="G3359">
        <v>44.979700000000001</v>
      </c>
      <c r="H3359">
        <v>48.808399999999999</v>
      </c>
      <c r="I3359">
        <v>69.825100000000006</v>
      </c>
      <c r="J3359">
        <v>80.518600000000006</v>
      </c>
      <c r="K3359">
        <v>79.950599999999994</v>
      </c>
      <c r="L3359">
        <v>89.528099999999995</v>
      </c>
      <c r="M3359">
        <v>99.715000000000003</v>
      </c>
      <c r="N3359">
        <v>101.1323</v>
      </c>
      <c r="O3359">
        <v>90.666200000000003</v>
      </c>
      <c r="P3359">
        <v>4536</v>
      </c>
      <c r="Q3359" t="s">
        <v>7061</v>
      </c>
    </row>
    <row r="3360" spans="1:17" x14ac:dyDescent="0.3">
      <c r="A3360" t="s">
        <v>4664</v>
      </c>
      <c r="B3360" t="str">
        <f>"002678"</f>
        <v>002678</v>
      </c>
      <c r="C3360" t="s">
        <v>7062</v>
      </c>
      <c r="D3360" t="s">
        <v>2904</v>
      </c>
      <c r="F3360">
        <v>317.3793</v>
      </c>
      <c r="G3360">
        <v>415.63069999999999</v>
      </c>
      <c r="H3360">
        <v>296.1626</v>
      </c>
      <c r="I3360">
        <v>272.19600000000003</v>
      </c>
      <c r="J3360">
        <v>312.0335</v>
      </c>
      <c r="K3360">
        <v>336.40249999999997</v>
      </c>
      <c r="L3360">
        <v>346.25389999999999</v>
      </c>
      <c r="M3360">
        <v>335.22500000000002</v>
      </c>
      <c r="N3360">
        <v>315.50729999999999</v>
      </c>
      <c r="O3360">
        <v>281.2919</v>
      </c>
      <c r="P3360">
        <v>113</v>
      </c>
      <c r="Q3360" t="s">
        <v>7063</v>
      </c>
    </row>
    <row r="3361" spans="1:17" x14ac:dyDescent="0.3">
      <c r="A3361" t="s">
        <v>4664</v>
      </c>
      <c r="B3361" t="str">
        <f>"002679"</f>
        <v>002679</v>
      </c>
      <c r="C3361" t="s">
        <v>7064</v>
      </c>
      <c r="D3361" t="s">
        <v>603</v>
      </c>
      <c r="F3361">
        <v>11274.607900000001</v>
      </c>
      <c r="G3361">
        <v>14861.518700000001</v>
      </c>
      <c r="H3361">
        <v>15024.369199999999</v>
      </c>
      <c r="I3361">
        <v>16847.2346</v>
      </c>
      <c r="J3361">
        <v>11244.6248</v>
      </c>
      <c r="K3361">
        <v>17537.605299999999</v>
      </c>
      <c r="L3361">
        <v>10473.296399999999</v>
      </c>
      <c r="M3361">
        <v>8739.7129999999997</v>
      </c>
      <c r="N3361">
        <v>6693.7974000000004</v>
      </c>
      <c r="O3361">
        <v>4237.0079999999998</v>
      </c>
      <c r="P3361">
        <v>95</v>
      </c>
      <c r="Q3361" t="s">
        <v>7065</v>
      </c>
    </row>
    <row r="3362" spans="1:17" x14ac:dyDescent="0.3">
      <c r="A3362" t="s">
        <v>4664</v>
      </c>
      <c r="B3362" t="str">
        <f>"002680"</f>
        <v>002680</v>
      </c>
      <c r="C3362" t="s">
        <v>7066</v>
      </c>
      <c r="J3362">
        <v>526.75509999999997</v>
      </c>
      <c r="K3362">
        <v>651.86069999999995</v>
      </c>
      <c r="L3362">
        <v>1652.0640000000001</v>
      </c>
      <c r="M3362">
        <v>1138.75</v>
      </c>
      <c r="N3362">
        <v>658.50990000000002</v>
      </c>
      <c r="O3362">
        <v>372.51229999999998</v>
      </c>
      <c r="P3362">
        <v>221</v>
      </c>
      <c r="Q3362" t="s">
        <v>7067</v>
      </c>
    </row>
    <row r="3363" spans="1:17" x14ac:dyDescent="0.3">
      <c r="A3363" t="s">
        <v>4664</v>
      </c>
      <c r="B3363" t="str">
        <f>"002681"</f>
        <v>002681</v>
      </c>
      <c r="C3363" t="s">
        <v>7068</v>
      </c>
      <c r="D3363" t="s">
        <v>313</v>
      </c>
      <c r="F3363">
        <v>91.746399999999994</v>
      </c>
      <c r="G3363">
        <v>97.825400000000002</v>
      </c>
      <c r="H3363">
        <v>99.535200000000003</v>
      </c>
      <c r="I3363">
        <v>171.35849999999999</v>
      </c>
      <c r="J3363">
        <v>181.19229999999999</v>
      </c>
      <c r="K3363">
        <v>119.90089999999999</v>
      </c>
      <c r="L3363">
        <v>72.081100000000006</v>
      </c>
      <c r="M3363">
        <v>71.418899999999994</v>
      </c>
      <c r="N3363">
        <v>65.157700000000006</v>
      </c>
      <c r="O3363">
        <v>73.688900000000004</v>
      </c>
      <c r="P3363">
        <v>216</v>
      </c>
      <c r="Q3363" t="s">
        <v>7069</v>
      </c>
    </row>
    <row r="3364" spans="1:17" x14ac:dyDescent="0.3">
      <c r="A3364" t="s">
        <v>4664</v>
      </c>
      <c r="B3364" t="str">
        <f>"002682"</f>
        <v>002682</v>
      </c>
      <c r="C3364" t="s">
        <v>7070</v>
      </c>
      <c r="D3364" t="s">
        <v>2492</v>
      </c>
      <c r="F3364">
        <v>48.9587</v>
      </c>
      <c r="G3364">
        <v>51.423499999999997</v>
      </c>
      <c r="H3364">
        <v>76.167000000000002</v>
      </c>
      <c r="I3364">
        <v>58.674500000000002</v>
      </c>
      <c r="J3364">
        <v>40.574800000000003</v>
      </c>
      <c r="K3364">
        <v>45.9801</v>
      </c>
      <c r="L3364">
        <v>49.061599999999999</v>
      </c>
      <c r="M3364">
        <v>62.608800000000002</v>
      </c>
      <c r="N3364">
        <v>49.475299999999997</v>
      </c>
      <c r="O3364">
        <v>34.9255</v>
      </c>
      <c r="P3364">
        <v>80</v>
      </c>
      <c r="Q3364" t="s">
        <v>7071</v>
      </c>
    </row>
    <row r="3365" spans="1:17" x14ac:dyDescent="0.3">
      <c r="A3365" t="s">
        <v>4664</v>
      </c>
      <c r="B3365" t="str">
        <f>"002683"</f>
        <v>002683</v>
      </c>
      <c r="C3365" t="s">
        <v>7072</v>
      </c>
      <c r="D3365" t="s">
        <v>2713</v>
      </c>
      <c r="F3365">
        <v>20.1096</v>
      </c>
      <c r="G3365">
        <v>60.967700000000001</v>
      </c>
      <c r="H3365">
        <v>104.7843</v>
      </c>
      <c r="I3365">
        <v>113.8325</v>
      </c>
      <c r="J3365">
        <v>178.2347</v>
      </c>
      <c r="K3365">
        <v>212.51419999999999</v>
      </c>
      <c r="L3365">
        <v>240.72489999999999</v>
      </c>
      <c r="M3365">
        <v>119.0972</v>
      </c>
      <c r="N3365">
        <v>102.44459999999999</v>
      </c>
      <c r="O3365">
        <v>128.92859999999999</v>
      </c>
      <c r="P3365">
        <v>270</v>
      </c>
      <c r="Q3365" t="s">
        <v>7073</v>
      </c>
    </row>
    <row r="3366" spans="1:17" x14ac:dyDescent="0.3">
      <c r="A3366" t="s">
        <v>4664</v>
      </c>
      <c r="B3366" t="str">
        <f>"002684"</f>
        <v>002684</v>
      </c>
      <c r="C3366" t="s">
        <v>7074</v>
      </c>
      <c r="D3366" t="s">
        <v>2359</v>
      </c>
      <c r="F3366">
        <v>317.79840000000002</v>
      </c>
      <c r="G3366">
        <v>407.0095</v>
      </c>
      <c r="H3366">
        <v>373.97899999999998</v>
      </c>
      <c r="I3366">
        <v>301.59629999999999</v>
      </c>
      <c r="J3366">
        <v>134.09299999999999</v>
      </c>
      <c r="K3366">
        <v>161.05359999999999</v>
      </c>
      <c r="L3366">
        <v>216.9939</v>
      </c>
      <c r="M3366">
        <v>182.43039999999999</v>
      </c>
      <c r="N3366">
        <v>282.8707</v>
      </c>
      <c r="O3366">
        <v>127.23090000000001</v>
      </c>
      <c r="P3366">
        <v>91</v>
      </c>
      <c r="Q3366" t="s">
        <v>7075</v>
      </c>
    </row>
    <row r="3367" spans="1:17" x14ac:dyDescent="0.3">
      <c r="A3367" t="s">
        <v>4664</v>
      </c>
      <c r="B3367" t="str">
        <f>"002685"</f>
        <v>002685</v>
      </c>
      <c r="C3367" t="s">
        <v>7076</v>
      </c>
      <c r="D3367" t="s">
        <v>2312</v>
      </c>
      <c r="F3367">
        <v>65.168800000000005</v>
      </c>
      <c r="G3367">
        <v>39.380200000000002</v>
      </c>
      <c r="H3367">
        <v>30.044499999999999</v>
      </c>
      <c r="I3367">
        <v>48.182600000000001</v>
      </c>
      <c r="J3367">
        <v>93.378500000000003</v>
      </c>
      <c r="K3367">
        <v>64.687899999999999</v>
      </c>
      <c r="L3367">
        <v>109.3477</v>
      </c>
      <c r="M3367">
        <v>319.26819999999998</v>
      </c>
      <c r="N3367">
        <v>236.77379999999999</v>
      </c>
      <c r="O3367">
        <v>211.09020000000001</v>
      </c>
      <c r="P3367">
        <v>109</v>
      </c>
      <c r="Q3367" t="s">
        <v>7077</v>
      </c>
    </row>
    <row r="3368" spans="1:17" x14ac:dyDescent="0.3">
      <c r="A3368" t="s">
        <v>4664</v>
      </c>
      <c r="B3368" t="str">
        <f>"002686"</f>
        <v>002686</v>
      </c>
      <c r="C3368" t="s">
        <v>7078</v>
      </c>
      <c r="D3368" t="s">
        <v>988</v>
      </c>
      <c r="F3368">
        <v>162.52799999999999</v>
      </c>
      <c r="G3368">
        <v>192.5384</v>
      </c>
      <c r="H3368">
        <v>201.1525</v>
      </c>
      <c r="I3368">
        <v>157.63630000000001</v>
      </c>
      <c r="J3368">
        <v>122.6418</v>
      </c>
      <c r="K3368">
        <v>104.9101</v>
      </c>
      <c r="L3368">
        <v>132.9787</v>
      </c>
      <c r="M3368">
        <v>127.2591</v>
      </c>
      <c r="N3368">
        <v>128.74719999999999</v>
      </c>
      <c r="O3368">
        <v>132.02789999999999</v>
      </c>
      <c r="P3368">
        <v>78</v>
      </c>
      <c r="Q3368" t="s">
        <v>7079</v>
      </c>
    </row>
    <row r="3369" spans="1:17" x14ac:dyDescent="0.3">
      <c r="A3369" t="s">
        <v>4664</v>
      </c>
      <c r="B3369" t="str">
        <f>"002687"</f>
        <v>002687</v>
      </c>
      <c r="C3369" t="s">
        <v>7080</v>
      </c>
      <c r="D3369" t="s">
        <v>255</v>
      </c>
      <c r="F3369">
        <v>234.8339</v>
      </c>
      <c r="G3369">
        <v>305.40089999999998</v>
      </c>
      <c r="H3369">
        <v>307.26949999999999</v>
      </c>
      <c r="I3369">
        <v>302.7937</v>
      </c>
      <c r="J3369">
        <v>242.29419999999999</v>
      </c>
      <c r="K3369">
        <v>255.84440000000001</v>
      </c>
      <c r="L3369">
        <v>268.84100000000001</v>
      </c>
      <c r="M3369">
        <v>266.77089999999998</v>
      </c>
      <c r="N3369">
        <v>218.9528</v>
      </c>
      <c r="O3369">
        <v>183.80789999999999</v>
      </c>
      <c r="P3369">
        <v>127</v>
      </c>
      <c r="Q3369" t="s">
        <v>7081</v>
      </c>
    </row>
    <row r="3370" spans="1:17" x14ac:dyDescent="0.3">
      <c r="A3370" t="s">
        <v>4664</v>
      </c>
      <c r="B3370" t="str">
        <f>"002688"</f>
        <v>002688</v>
      </c>
      <c r="C3370" t="s">
        <v>7082</v>
      </c>
      <c r="D3370" t="s">
        <v>453</v>
      </c>
      <c r="F3370">
        <v>180.81809999999999</v>
      </c>
      <c r="G3370">
        <v>225.54519999999999</v>
      </c>
      <c r="H3370">
        <v>179.3031</v>
      </c>
      <c r="I3370">
        <v>168.63919999999999</v>
      </c>
      <c r="J3370">
        <v>187.83600000000001</v>
      </c>
      <c r="K3370">
        <v>159.56110000000001</v>
      </c>
      <c r="L3370">
        <v>181.94110000000001</v>
      </c>
      <c r="M3370">
        <v>129.2209</v>
      </c>
      <c r="N3370">
        <v>120.9431</v>
      </c>
      <c r="O3370">
        <v>106.3926</v>
      </c>
      <c r="P3370">
        <v>167</v>
      </c>
      <c r="Q3370" t="s">
        <v>7083</v>
      </c>
    </row>
    <row r="3371" spans="1:17" x14ac:dyDescent="0.3">
      <c r="A3371" t="s">
        <v>4664</v>
      </c>
      <c r="B3371" t="str">
        <f>"002689"</f>
        <v>002689</v>
      </c>
      <c r="C3371" t="s">
        <v>7084</v>
      </c>
      <c r="D3371" t="s">
        <v>1689</v>
      </c>
      <c r="F3371">
        <v>239.01689999999999</v>
      </c>
      <c r="G3371">
        <v>242.2011</v>
      </c>
      <c r="H3371">
        <v>239.25200000000001</v>
      </c>
      <c r="I3371">
        <v>240.54220000000001</v>
      </c>
      <c r="J3371">
        <v>195.36519999999999</v>
      </c>
      <c r="K3371">
        <v>203.38149999999999</v>
      </c>
      <c r="L3371">
        <v>152.6491</v>
      </c>
      <c r="M3371">
        <v>191.0463</v>
      </c>
      <c r="N3371">
        <v>211.5334</v>
      </c>
      <c r="O3371">
        <v>240.25839999999999</v>
      </c>
      <c r="P3371">
        <v>87</v>
      </c>
      <c r="Q3371" t="s">
        <v>7085</v>
      </c>
    </row>
    <row r="3372" spans="1:17" x14ac:dyDescent="0.3">
      <c r="A3372" t="s">
        <v>4664</v>
      </c>
      <c r="B3372" t="str">
        <f>"002690"</f>
        <v>002690</v>
      </c>
      <c r="C3372" t="s">
        <v>7086</v>
      </c>
      <c r="D3372" t="s">
        <v>741</v>
      </c>
      <c r="F3372">
        <v>152.97880000000001</v>
      </c>
      <c r="G3372">
        <v>143.04179999999999</v>
      </c>
      <c r="H3372">
        <v>109.7475</v>
      </c>
      <c r="I3372">
        <v>107.56480000000001</v>
      </c>
      <c r="J3372">
        <v>147.84960000000001</v>
      </c>
      <c r="K3372">
        <v>145.38550000000001</v>
      </c>
      <c r="L3372">
        <v>135.48939999999999</v>
      </c>
      <c r="M3372">
        <v>147.4982</v>
      </c>
      <c r="N3372">
        <v>146.7911</v>
      </c>
      <c r="O3372">
        <v>146.29939999999999</v>
      </c>
      <c r="P3372">
        <v>3632</v>
      </c>
      <c r="Q3372" t="s">
        <v>7087</v>
      </c>
    </row>
    <row r="3373" spans="1:17" x14ac:dyDescent="0.3">
      <c r="A3373" t="s">
        <v>4664</v>
      </c>
      <c r="B3373" t="str">
        <f>"002691"</f>
        <v>002691</v>
      </c>
      <c r="C3373" t="s">
        <v>7088</v>
      </c>
      <c r="D3373" t="s">
        <v>395</v>
      </c>
      <c r="F3373">
        <v>617.63670000000002</v>
      </c>
      <c r="G3373">
        <v>916.06989999999996</v>
      </c>
      <c r="H3373">
        <v>602.57860000000005</v>
      </c>
      <c r="I3373">
        <v>587.88620000000003</v>
      </c>
      <c r="J3373">
        <v>881.14110000000005</v>
      </c>
      <c r="K3373">
        <v>1256.0642</v>
      </c>
      <c r="L3373">
        <v>987.32439999999997</v>
      </c>
      <c r="M3373">
        <v>720.98839999999996</v>
      </c>
      <c r="N3373">
        <v>514.46370000000002</v>
      </c>
      <c r="O3373">
        <v>340.65980000000002</v>
      </c>
      <c r="P3373">
        <v>54</v>
      </c>
      <c r="Q3373" t="s">
        <v>7089</v>
      </c>
    </row>
    <row r="3374" spans="1:17" x14ac:dyDescent="0.3">
      <c r="A3374" t="s">
        <v>4664</v>
      </c>
      <c r="B3374" t="str">
        <f>"002692"</f>
        <v>002692</v>
      </c>
      <c r="C3374" t="s">
        <v>7090</v>
      </c>
      <c r="D3374" t="s">
        <v>1164</v>
      </c>
      <c r="F3374">
        <v>82.538600000000002</v>
      </c>
      <c r="G3374">
        <v>135.66759999999999</v>
      </c>
      <c r="H3374">
        <v>96.853099999999998</v>
      </c>
      <c r="I3374">
        <v>97.619100000000003</v>
      </c>
      <c r="J3374">
        <v>94.534599999999998</v>
      </c>
      <c r="K3374">
        <v>89.812899999999999</v>
      </c>
      <c r="L3374">
        <v>96.702600000000004</v>
      </c>
      <c r="M3374">
        <v>104.5946</v>
      </c>
      <c r="N3374">
        <v>89.246300000000005</v>
      </c>
      <c r="O3374">
        <v>73.491900000000001</v>
      </c>
      <c r="P3374">
        <v>53</v>
      </c>
      <c r="Q3374" t="s">
        <v>7091</v>
      </c>
    </row>
    <row r="3375" spans="1:17" x14ac:dyDescent="0.3">
      <c r="A3375" t="s">
        <v>4664</v>
      </c>
      <c r="B3375" t="str">
        <f>"002693"</f>
        <v>002693</v>
      </c>
      <c r="C3375" t="s">
        <v>7092</v>
      </c>
      <c r="D3375" t="s">
        <v>1379</v>
      </c>
      <c r="F3375">
        <v>321.8682</v>
      </c>
      <c r="G3375">
        <v>442.96609999999998</v>
      </c>
      <c r="H3375">
        <v>293.85329999999999</v>
      </c>
      <c r="I3375">
        <v>469.77699999999999</v>
      </c>
      <c r="J3375">
        <v>583.73069999999996</v>
      </c>
      <c r="K3375">
        <v>232.3596</v>
      </c>
      <c r="L3375">
        <v>304.8426</v>
      </c>
      <c r="M3375">
        <v>329.5093</v>
      </c>
      <c r="N3375">
        <v>270.46620000000001</v>
      </c>
      <c r="O3375">
        <v>216.065</v>
      </c>
      <c r="P3375">
        <v>95</v>
      </c>
      <c r="Q3375" t="s">
        <v>7093</v>
      </c>
    </row>
    <row r="3376" spans="1:17" x14ac:dyDescent="0.3">
      <c r="A3376" t="s">
        <v>4664</v>
      </c>
      <c r="B3376" t="str">
        <f>"002694"</f>
        <v>002694</v>
      </c>
      <c r="C3376" t="s">
        <v>7094</v>
      </c>
      <c r="D3376" t="s">
        <v>3320</v>
      </c>
      <c r="F3376">
        <v>109.77160000000001</v>
      </c>
      <c r="G3376">
        <v>153.70849999999999</v>
      </c>
      <c r="H3376">
        <v>122.50920000000001</v>
      </c>
      <c r="I3376">
        <v>104.38</v>
      </c>
      <c r="J3376">
        <v>109.6782</v>
      </c>
      <c r="K3376">
        <v>120.8938</v>
      </c>
      <c r="L3376">
        <v>100.92149999999999</v>
      </c>
      <c r="M3376">
        <v>104.74979999999999</v>
      </c>
      <c r="N3376">
        <v>105.1031</v>
      </c>
      <c r="O3376">
        <v>95.849800000000002</v>
      </c>
      <c r="P3376">
        <v>71</v>
      </c>
      <c r="Q3376" t="s">
        <v>7095</v>
      </c>
    </row>
    <row r="3377" spans="1:17" x14ac:dyDescent="0.3">
      <c r="A3377" t="s">
        <v>4664</v>
      </c>
      <c r="B3377" t="str">
        <f>"002695"</f>
        <v>002695</v>
      </c>
      <c r="C3377" t="s">
        <v>7096</v>
      </c>
      <c r="D3377" t="s">
        <v>2962</v>
      </c>
      <c r="F3377">
        <v>190.64340000000001</v>
      </c>
      <c r="G3377">
        <v>178.60470000000001</v>
      </c>
      <c r="H3377">
        <v>168.8905</v>
      </c>
      <c r="I3377">
        <v>153.71770000000001</v>
      </c>
      <c r="J3377">
        <v>166.3142</v>
      </c>
      <c r="K3377">
        <v>184.7236</v>
      </c>
      <c r="L3377">
        <v>162.26349999999999</v>
      </c>
      <c r="M3377">
        <v>187.42760000000001</v>
      </c>
      <c r="N3377">
        <v>191.83189999999999</v>
      </c>
      <c r="O3377">
        <v>144.47200000000001</v>
      </c>
      <c r="P3377">
        <v>623</v>
      </c>
      <c r="Q3377" t="s">
        <v>7097</v>
      </c>
    </row>
    <row r="3378" spans="1:17" x14ac:dyDescent="0.3">
      <c r="A3378" t="s">
        <v>4664</v>
      </c>
      <c r="B3378" t="str">
        <f>"002696"</f>
        <v>002696</v>
      </c>
      <c r="C3378" t="s">
        <v>7098</v>
      </c>
      <c r="D3378" t="s">
        <v>587</v>
      </c>
      <c r="F3378">
        <v>74.3172</v>
      </c>
      <c r="G3378">
        <v>79.9054</v>
      </c>
      <c r="H3378">
        <v>75.010999999999996</v>
      </c>
      <c r="I3378">
        <v>57.365600000000001</v>
      </c>
      <c r="J3378">
        <v>73.743099999999998</v>
      </c>
      <c r="K3378">
        <v>68.935400000000001</v>
      </c>
      <c r="L3378">
        <v>61.510399999999997</v>
      </c>
      <c r="M3378">
        <v>67.613799999999998</v>
      </c>
      <c r="N3378">
        <v>43.538499999999999</v>
      </c>
      <c r="O3378">
        <v>52.875799999999998</v>
      </c>
      <c r="P3378">
        <v>93</v>
      </c>
      <c r="Q3378" t="s">
        <v>7099</v>
      </c>
    </row>
    <row r="3379" spans="1:17" x14ac:dyDescent="0.3">
      <c r="A3379" t="s">
        <v>4664</v>
      </c>
      <c r="B3379" t="str">
        <f>"002697"</f>
        <v>002697</v>
      </c>
      <c r="C3379" t="s">
        <v>7100</v>
      </c>
      <c r="D3379" t="s">
        <v>798</v>
      </c>
      <c r="F3379">
        <v>111.8175</v>
      </c>
      <c r="G3379">
        <v>98.195499999999996</v>
      </c>
      <c r="H3379">
        <v>93.509900000000002</v>
      </c>
      <c r="I3379">
        <v>96.671400000000006</v>
      </c>
      <c r="J3379">
        <v>100.8519</v>
      </c>
      <c r="K3379">
        <v>96.614099999999993</v>
      </c>
      <c r="L3379">
        <v>90.873400000000004</v>
      </c>
      <c r="M3379">
        <v>87.566900000000004</v>
      </c>
      <c r="N3379">
        <v>93.810699999999997</v>
      </c>
      <c r="O3379">
        <v>95.834199999999996</v>
      </c>
      <c r="P3379">
        <v>503</v>
      </c>
      <c r="Q3379" t="s">
        <v>7101</v>
      </c>
    </row>
    <row r="3380" spans="1:17" x14ac:dyDescent="0.3">
      <c r="A3380" t="s">
        <v>4664</v>
      </c>
      <c r="B3380" t="str">
        <f>"002698"</f>
        <v>002698</v>
      </c>
      <c r="C3380" t="s">
        <v>7102</v>
      </c>
      <c r="D3380" t="s">
        <v>2911</v>
      </c>
      <c r="F3380">
        <v>542.65390000000002</v>
      </c>
      <c r="G3380">
        <v>675.68690000000004</v>
      </c>
      <c r="H3380">
        <v>740.90869999999995</v>
      </c>
      <c r="I3380">
        <v>756.40279999999996</v>
      </c>
      <c r="J3380">
        <v>536.02149999999995</v>
      </c>
      <c r="K3380">
        <v>538.10720000000003</v>
      </c>
      <c r="L3380">
        <v>407.05720000000002</v>
      </c>
      <c r="M3380">
        <v>548.20759999999996</v>
      </c>
      <c r="N3380">
        <v>440.21870000000001</v>
      </c>
      <c r="O3380">
        <v>503.88799999999998</v>
      </c>
      <c r="P3380">
        <v>271</v>
      </c>
      <c r="Q3380" t="s">
        <v>7103</v>
      </c>
    </row>
    <row r="3381" spans="1:17" x14ac:dyDescent="0.3">
      <c r="A3381" t="s">
        <v>4664</v>
      </c>
      <c r="B3381" t="str">
        <f>"002699"</f>
        <v>002699</v>
      </c>
      <c r="C3381" t="s">
        <v>7104</v>
      </c>
      <c r="D3381" t="s">
        <v>113</v>
      </c>
      <c r="F3381">
        <v>97.574200000000005</v>
      </c>
      <c r="G3381">
        <v>103.35720000000001</v>
      </c>
      <c r="H3381">
        <v>93.876199999999997</v>
      </c>
      <c r="I3381">
        <v>140.64240000000001</v>
      </c>
      <c r="J3381">
        <v>132.63650000000001</v>
      </c>
      <c r="K3381">
        <v>161.10499999999999</v>
      </c>
      <c r="L3381">
        <v>335.65750000000003</v>
      </c>
      <c r="M3381">
        <v>170.90870000000001</v>
      </c>
      <c r="N3381">
        <v>100.38420000000001</v>
      </c>
      <c r="O3381">
        <v>61.909500000000001</v>
      </c>
      <c r="P3381">
        <v>157</v>
      </c>
      <c r="Q3381" t="s">
        <v>7105</v>
      </c>
    </row>
    <row r="3382" spans="1:17" x14ac:dyDescent="0.3">
      <c r="A3382" t="s">
        <v>4664</v>
      </c>
      <c r="B3382" t="str">
        <f>"002700"</f>
        <v>002700</v>
      </c>
      <c r="C3382" t="s">
        <v>7106</v>
      </c>
      <c r="D3382" t="s">
        <v>749</v>
      </c>
      <c r="F3382">
        <v>51.2898</v>
      </c>
      <c r="G3382">
        <v>63.601199999999999</v>
      </c>
      <c r="H3382">
        <v>51.573599999999999</v>
      </c>
      <c r="I3382">
        <v>51.677900000000001</v>
      </c>
      <c r="J3382">
        <v>53.0884</v>
      </c>
      <c r="K3382">
        <v>63.810099999999998</v>
      </c>
      <c r="L3382">
        <v>69.610500000000002</v>
      </c>
      <c r="M3382">
        <v>66.319000000000003</v>
      </c>
      <c r="N3382">
        <v>60.2042</v>
      </c>
      <c r="O3382">
        <v>64.369100000000003</v>
      </c>
      <c r="P3382">
        <v>53</v>
      </c>
      <c r="Q3382" t="s">
        <v>7107</v>
      </c>
    </row>
    <row r="3383" spans="1:17" x14ac:dyDescent="0.3">
      <c r="A3383" t="s">
        <v>4664</v>
      </c>
      <c r="B3383" t="str">
        <f>"002701"</f>
        <v>002701</v>
      </c>
      <c r="C3383" t="s">
        <v>7108</v>
      </c>
      <c r="D3383" t="s">
        <v>2364</v>
      </c>
      <c r="F3383">
        <v>61.611800000000002</v>
      </c>
      <c r="G3383">
        <v>65.706000000000003</v>
      </c>
      <c r="H3383">
        <v>55.475499999999997</v>
      </c>
      <c r="I3383">
        <v>56.660299999999999</v>
      </c>
      <c r="J3383">
        <v>54.965299999999999</v>
      </c>
      <c r="K3383">
        <v>58.078299999999999</v>
      </c>
      <c r="L3383">
        <v>64.860399999999998</v>
      </c>
      <c r="M3383">
        <v>70.046700000000001</v>
      </c>
      <c r="N3383">
        <v>71.629800000000003</v>
      </c>
      <c r="O3383">
        <v>81.558700000000002</v>
      </c>
      <c r="P3383">
        <v>1656</v>
      </c>
      <c r="Q3383" t="s">
        <v>7109</v>
      </c>
    </row>
    <row r="3384" spans="1:17" x14ac:dyDescent="0.3">
      <c r="A3384" t="s">
        <v>4664</v>
      </c>
      <c r="B3384" t="str">
        <f>"002702"</f>
        <v>002702</v>
      </c>
      <c r="C3384" t="s">
        <v>7110</v>
      </c>
      <c r="D3384" t="s">
        <v>2838</v>
      </c>
      <c r="F3384">
        <v>136.1754</v>
      </c>
      <c r="G3384">
        <v>129.39930000000001</v>
      </c>
      <c r="H3384">
        <v>142.1396</v>
      </c>
      <c r="I3384">
        <v>138.9177</v>
      </c>
      <c r="J3384">
        <v>155.40190000000001</v>
      </c>
      <c r="K3384">
        <v>133.90289999999999</v>
      </c>
      <c r="L3384">
        <v>151.86949999999999</v>
      </c>
      <c r="M3384">
        <v>129.00069999999999</v>
      </c>
      <c r="N3384">
        <v>143.6183</v>
      </c>
      <c r="O3384">
        <v>137.89510000000001</v>
      </c>
      <c r="P3384">
        <v>186</v>
      </c>
      <c r="Q3384" t="s">
        <v>7111</v>
      </c>
    </row>
    <row r="3385" spans="1:17" x14ac:dyDescent="0.3">
      <c r="A3385" t="s">
        <v>4664</v>
      </c>
      <c r="B3385" t="str">
        <f>"002703"</f>
        <v>002703</v>
      </c>
      <c r="C3385" t="s">
        <v>7112</v>
      </c>
      <c r="D3385" t="s">
        <v>348</v>
      </c>
      <c r="F3385">
        <v>158.2398</v>
      </c>
      <c r="G3385">
        <v>126.7837</v>
      </c>
      <c r="H3385">
        <v>184.47630000000001</v>
      </c>
      <c r="I3385">
        <v>139.13579999999999</v>
      </c>
      <c r="J3385">
        <v>150.04490000000001</v>
      </c>
      <c r="K3385">
        <v>149.20650000000001</v>
      </c>
      <c r="L3385">
        <v>172.35939999999999</v>
      </c>
      <c r="M3385">
        <v>159.27440000000001</v>
      </c>
      <c r="N3385">
        <v>155.63249999999999</v>
      </c>
      <c r="O3385">
        <v>136.86680000000001</v>
      </c>
      <c r="P3385">
        <v>76</v>
      </c>
      <c r="Q3385" t="s">
        <v>7113</v>
      </c>
    </row>
    <row r="3386" spans="1:17" x14ac:dyDescent="0.3">
      <c r="A3386" t="s">
        <v>4664</v>
      </c>
      <c r="B3386" t="str">
        <f>"002705"</f>
        <v>002705</v>
      </c>
      <c r="C3386" t="s">
        <v>7114</v>
      </c>
      <c r="D3386" t="s">
        <v>5712</v>
      </c>
      <c r="F3386">
        <v>90.744100000000003</v>
      </c>
      <c r="G3386">
        <v>85.212100000000007</v>
      </c>
      <c r="H3386">
        <v>79.365300000000005</v>
      </c>
      <c r="I3386">
        <v>71.947400000000002</v>
      </c>
      <c r="J3386">
        <v>64.739199999999997</v>
      </c>
      <c r="K3386">
        <v>59.758000000000003</v>
      </c>
      <c r="L3386">
        <v>70.797799999999995</v>
      </c>
      <c r="M3386">
        <v>85.407799999999995</v>
      </c>
      <c r="N3386">
        <v>35.684399999999997</v>
      </c>
      <c r="P3386">
        <v>1093</v>
      </c>
      <c r="Q3386" t="s">
        <v>7115</v>
      </c>
    </row>
    <row r="3387" spans="1:17" x14ac:dyDescent="0.3">
      <c r="A3387" t="s">
        <v>4664</v>
      </c>
      <c r="B3387" t="str">
        <f>"002706"</f>
        <v>002706</v>
      </c>
      <c r="C3387" t="s">
        <v>7116</v>
      </c>
      <c r="D3387" t="s">
        <v>657</v>
      </c>
      <c r="F3387">
        <v>81.935299999999998</v>
      </c>
      <c r="G3387">
        <v>99.418700000000001</v>
      </c>
      <c r="H3387">
        <v>99.925700000000006</v>
      </c>
      <c r="I3387">
        <v>101.6352</v>
      </c>
      <c r="J3387">
        <v>93.994100000000003</v>
      </c>
      <c r="K3387">
        <v>97.997399999999999</v>
      </c>
      <c r="L3387">
        <v>105.4101</v>
      </c>
      <c r="M3387">
        <v>98.114800000000002</v>
      </c>
      <c r="N3387">
        <v>96.953999999999994</v>
      </c>
      <c r="O3387">
        <v>46.557000000000002</v>
      </c>
      <c r="P3387">
        <v>761</v>
      </c>
      <c r="Q3387" t="s">
        <v>7117</v>
      </c>
    </row>
    <row r="3388" spans="1:17" x14ac:dyDescent="0.3">
      <c r="A3388" t="s">
        <v>4664</v>
      </c>
      <c r="B3388" t="str">
        <f>"002707"</f>
        <v>002707</v>
      </c>
      <c r="C3388" t="s">
        <v>7118</v>
      </c>
      <c r="D3388" t="s">
        <v>1120</v>
      </c>
      <c r="F3388">
        <v>3.8792</v>
      </c>
      <c r="G3388">
        <v>1.4469000000000001</v>
      </c>
      <c r="H3388">
        <v>0.2424</v>
      </c>
      <c r="I3388">
        <v>0.1192</v>
      </c>
      <c r="J3388">
        <v>8.1699999999999995E-2</v>
      </c>
      <c r="K3388">
        <v>2.0899999999999998E-2</v>
      </c>
      <c r="L3388">
        <v>2.7900000000000001E-2</v>
      </c>
      <c r="M3388">
        <v>2.3400000000000001E-2</v>
      </c>
      <c r="N3388">
        <v>0</v>
      </c>
      <c r="P3388">
        <v>295</v>
      </c>
      <c r="Q3388" t="s">
        <v>7119</v>
      </c>
    </row>
    <row r="3389" spans="1:17" x14ac:dyDescent="0.3">
      <c r="A3389" t="s">
        <v>4664</v>
      </c>
      <c r="B3389" t="str">
        <f>"002708"</f>
        <v>002708</v>
      </c>
      <c r="C3389" t="s">
        <v>7120</v>
      </c>
      <c r="D3389" t="s">
        <v>348</v>
      </c>
      <c r="F3389">
        <v>138.93100000000001</v>
      </c>
      <c r="G3389">
        <v>141.8828</v>
      </c>
      <c r="H3389">
        <v>141.90979999999999</v>
      </c>
      <c r="I3389">
        <v>142.00899999999999</v>
      </c>
      <c r="J3389">
        <v>125.18470000000001</v>
      </c>
      <c r="K3389">
        <v>147.78620000000001</v>
      </c>
      <c r="L3389">
        <v>190.0155</v>
      </c>
      <c r="M3389">
        <v>161.25040000000001</v>
      </c>
      <c r="N3389">
        <v>83.009</v>
      </c>
      <c r="P3389">
        <v>91</v>
      </c>
      <c r="Q3389" t="s">
        <v>7121</v>
      </c>
    </row>
    <row r="3390" spans="1:17" x14ac:dyDescent="0.3">
      <c r="A3390" t="s">
        <v>4664</v>
      </c>
      <c r="B3390" t="str">
        <f>"002709"</f>
        <v>002709</v>
      </c>
      <c r="C3390" t="s">
        <v>7122</v>
      </c>
      <c r="D3390" t="s">
        <v>1786</v>
      </c>
      <c r="F3390">
        <v>56.698599999999999</v>
      </c>
      <c r="G3390">
        <v>132.7508</v>
      </c>
      <c r="H3390">
        <v>191.94220000000001</v>
      </c>
      <c r="I3390">
        <v>131.64400000000001</v>
      </c>
      <c r="J3390">
        <v>84.390100000000004</v>
      </c>
      <c r="K3390">
        <v>64.162400000000005</v>
      </c>
      <c r="L3390">
        <v>86.930800000000005</v>
      </c>
      <c r="M3390">
        <v>95.732100000000003</v>
      </c>
      <c r="N3390">
        <v>107.4954</v>
      </c>
      <c r="O3390">
        <v>54.601799999999997</v>
      </c>
      <c r="P3390">
        <v>1069</v>
      </c>
      <c r="Q3390" t="s">
        <v>7123</v>
      </c>
    </row>
    <row r="3391" spans="1:17" x14ac:dyDescent="0.3">
      <c r="A3391" t="s">
        <v>4664</v>
      </c>
      <c r="B3391" t="str">
        <f>"002710"</f>
        <v>002710</v>
      </c>
      <c r="C3391" t="s">
        <v>7124</v>
      </c>
      <c r="D3391" t="s">
        <v>7125</v>
      </c>
      <c r="N3391">
        <v>10.745699999999999</v>
      </c>
      <c r="P3391">
        <v>8</v>
      </c>
      <c r="Q3391" t="s">
        <v>7126</v>
      </c>
    </row>
    <row r="3392" spans="1:17" x14ac:dyDescent="0.3">
      <c r="A3392" t="s">
        <v>4664</v>
      </c>
      <c r="B3392" t="str">
        <f>"002711"</f>
        <v>002711</v>
      </c>
      <c r="C3392" t="s">
        <v>7127</v>
      </c>
      <c r="G3392">
        <v>39.616500000000002</v>
      </c>
      <c r="H3392">
        <v>64.819800000000001</v>
      </c>
      <c r="I3392">
        <v>22.722300000000001</v>
      </c>
      <c r="J3392">
        <v>22.737100000000002</v>
      </c>
      <c r="K3392">
        <v>46.396599999999999</v>
      </c>
      <c r="L3392">
        <v>9.0968</v>
      </c>
      <c r="M3392">
        <v>38.5672</v>
      </c>
      <c r="N3392">
        <v>11.2575</v>
      </c>
      <c r="O3392">
        <v>11.3728</v>
      </c>
      <c r="P3392">
        <v>74</v>
      </c>
      <c r="Q3392" t="s">
        <v>7128</v>
      </c>
    </row>
    <row r="3393" spans="1:17" x14ac:dyDescent="0.3">
      <c r="A3393" t="s">
        <v>4664</v>
      </c>
      <c r="B3393" t="str">
        <f>"002712"</f>
        <v>002712</v>
      </c>
      <c r="C3393" t="s">
        <v>7129</v>
      </c>
      <c r="D3393" t="s">
        <v>207</v>
      </c>
      <c r="F3393">
        <v>1.7932999999999999</v>
      </c>
      <c r="G3393">
        <v>10.432399999999999</v>
      </c>
      <c r="H3393">
        <v>31.5684</v>
      </c>
      <c r="I3393">
        <v>21.0548</v>
      </c>
      <c r="J3393">
        <v>14.8056</v>
      </c>
      <c r="K3393">
        <v>0</v>
      </c>
      <c r="L3393">
        <v>0</v>
      </c>
      <c r="M3393">
        <v>0</v>
      </c>
      <c r="N3393">
        <v>0</v>
      </c>
      <c r="P3393">
        <v>107</v>
      </c>
      <c r="Q3393" t="s">
        <v>7130</v>
      </c>
    </row>
    <row r="3394" spans="1:17" x14ac:dyDescent="0.3">
      <c r="A3394" t="s">
        <v>4664</v>
      </c>
      <c r="B3394" t="str">
        <f>"002713"</f>
        <v>002713</v>
      </c>
      <c r="C3394" t="s">
        <v>7131</v>
      </c>
      <c r="D3394" t="s">
        <v>450</v>
      </c>
      <c r="F3394">
        <v>29.0242</v>
      </c>
      <c r="G3394">
        <v>46.538200000000003</v>
      </c>
      <c r="H3394">
        <v>29.841000000000001</v>
      </c>
      <c r="I3394">
        <v>32.127000000000002</v>
      </c>
      <c r="J3394">
        <v>40.5458</v>
      </c>
      <c r="K3394">
        <v>52.9726</v>
      </c>
      <c r="L3394">
        <v>48.019100000000002</v>
      </c>
      <c r="M3394">
        <v>52.608600000000003</v>
      </c>
      <c r="N3394">
        <v>79.729699999999994</v>
      </c>
      <c r="O3394">
        <v>41.474299999999999</v>
      </c>
      <c r="P3394">
        <v>268</v>
      </c>
      <c r="Q3394" t="s">
        <v>7132</v>
      </c>
    </row>
    <row r="3395" spans="1:17" x14ac:dyDescent="0.3">
      <c r="A3395" t="s">
        <v>4664</v>
      </c>
      <c r="B3395" t="str">
        <f>"002714"</f>
        <v>002714</v>
      </c>
      <c r="C3395" t="s">
        <v>7133</v>
      </c>
      <c r="D3395" t="s">
        <v>1894</v>
      </c>
      <c r="F3395">
        <v>231.21530000000001</v>
      </c>
      <c r="G3395">
        <v>275.8125</v>
      </c>
      <c r="H3395">
        <v>227.9101</v>
      </c>
      <c r="I3395">
        <v>225.21870000000001</v>
      </c>
      <c r="J3395">
        <v>220.5675</v>
      </c>
      <c r="K3395">
        <v>276.65069999999997</v>
      </c>
      <c r="L3395">
        <v>256.18540000000002</v>
      </c>
      <c r="M3395">
        <v>239.48320000000001</v>
      </c>
      <c r="N3395">
        <v>96.522999999999996</v>
      </c>
      <c r="P3395">
        <v>4953</v>
      </c>
      <c r="Q3395" t="s">
        <v>7134</v>
      </c>
    </row>
    <row r="3396" spans="1:17" x14ac:dyDescent="0.3">
      <c r="A3396" t="s">
        <v>4664</v>
      </c>
      <c r="B3396" t="str">
        <f>"002715"</f>
        <v>002715</v>
      </c>
      <c r="C3396" t="s">
        <v>7135</v>
      </c>
      <c r="D3396" t="s">
        <v>348</v>
      </c>
      <c r="F3396">
        <v>280.07600000000002</v>
      </c>
      <c r="G3396">
        <v>338.29149999999998</v>
      </c>
      <c r="H3396">
        <v>377.15649999999999</v>
      </c>
      <c r="I3396">
        <v>289.10250000000002</v>
      </c>
      <c r="J3396">
        <v>285.39280000000002</v>
      </c>
      <c r="K3396">
        <v>377.3553</v>
      </c>
      <c r="L3396">
        <v>437.94290000000001</v>
      </c>
      <c r="M3396">
        <v>318.49369999999999</v>
      </c>
      <c r="N3396">
        <v>133.30029999999999</v>
      </c>
      <c r="P3396">
        <v>61</v>
      </c>
      <c r="Q3396" t="s">
        <v>7136</v>
      </c>
    </row>
    <row r="3397" spans="1:17" x14ac:dyDescent="0.3">
      <c r="A3397" t="s">
        <v>4664</v>
      </c>
      <c r="B3397" t="str">
        <f>"002716"</f>
        <v>002716</v>
      </c>
      <c r="C3397" t="s">
        <v>7137</v>
      </c>
      <c r="D3397" t="s">
        <v>2072</v>
      </c>
      <c r="F3397">
        <v>228.6088</v>
      </c>
      <c r="G3397">
        <v>611.32079999999996</v>
      </c>
      <c r="H3397">
        <v>297.45890000000003</v>
      </c>
      <c r="I3397">
        <v>178.48079999999999</v>
      </c>
      <c r="J3397">
        <v>195.85470000000001</v>
      </c>
      <c r="K3397">
        <v>249.57249999999999</v>
      </c>
      <c r="L3397">
        <v>300.88709999999998</v>
      </c>
      <c r="M3397">
        <v>292.20580000000001</v>
      </c>
      <c r="N3397">
        <v>336.7133</v>
      </c>
      <c r="O3397">
        <v>118.8754</v>
      </c>
      <c r="P3397">
        <v>129</v>
      </c>
      <c r="Q3397" t="s">
        <v>7138</v>
      </c>
    </row>
    <row r="3398" spans="1:17" x14ac:dyDescent="0.3">
      <c r="A3398" t="s">
        <v>4664</v>
      </c>
      <c r="B3398" t="str">
        <f>"002717"</f>
        <v>002717</v>
      </c>
      <c r="C3398" t="s">
        <v>7139</v>
      </c>
      <c r="D3398" t="s">
        <v>2408</v>
      </c>
      <c r="F3398">
        <v>35.358899999999998</v>
      </c>
      <c r="G3398">
        <v>306.91399999999999</v>
      </c>
      <c r="H3398">
        <v>526.755</v>
      </c>
      <c r="I3398">
        <v>348.92410000000001</v>
      </c>
      <c r="J3398">
        <v>333.72710000000001</v>
      </c>
      <c r="K3398">
        <v>464.65710000000001</v>
      </c>
      <c r="L3398">
        <v>385.09620000000001</v>
      </c>
      <c r="M3398">
        <v>357.46350000000001</v>
      </c>
      <c r="N3398">
        <v>147.0994</v>
      </c>
      <c r="P3398">
        <v>394</v>
      </c>
      <c r="Q3398" t="s">
        <v>7140</v>
      </c>
    </row>
    <row r="3399" spans="1:17" x14ac:dyDescent="0.3">
      <c r="A3399" t="s">
        <v>4664</v>
      </c>
      <c r="B3399" t="str">
        <f>"002718"</f>
        <v>002718</v>
      </c>
      <c r="C3399" t="s">
        <v>7141</v>
      </c>
      <c r="D3399" t="s">
        <v>722</v>
      </c>
      <c r="F3399">
        <v>90.813599999999994</v>
      </c>
      <c r="G3399">
        <v>117.51479999999999</v>
      </c>
      <c r="H3399">
        <v>116.4102</v>
      </c>
      <c r="I3399">
        <v>122.47880000000001</v>
      </c>
      <c r="J3399">
        <v>78.918199999999999</v>
      </c>
      <c r="K3399">
        <v>72.415899999999993</v>
      </c>
      <c r="L3399">
        <v>68.455399999999997</v>
      </c>
      <c r="M3399">
        <v>78.797499999999999</v>
      </c>
      <c r="N3399">
        <v>37.989600000000003</v>
      </c>
      <c r="P3399">
        <v>170</v>
      </c>
      <c r="Q3399" t="s">
        <v>7142</v>
      </c>
    </row>
    <row r="3400" spans="1:17" x14ac:dyDescent="0.3">
      <c r="A3400" t="s">
        <v>4664</v>
      </c>
      <c r="B3400" t="str">
        <f>"002719"</f>
        <v>002719</v>
      </c>
      <c r="C3400" t="s">
        <v>7143</v>
      </c>
      <c r="D3400" t="s">
        <v>900</v>
      </c>
      <c r="F3400">
        <v>49.973599999999998</v>
      </c>
      <c r="G3400">
        <v>60.714500000000001</v>
      </c>
      <c r="H3400">
        <v>58.204099999999997</v>
      </c>
      <c r="I3400">
        <v>61.846600000000002</v>
      </c>
      <c r="J3400">
        <v>74.8048</v>
      </c>
      <c r="K3400">
        <v>81.399199999999993</v>
      </c>
      <c r="L3400">
        <v>108.51600000000001</v>
      </c>
      <c r="M3400">
        <v>119.7645</v>
      </c>
      <c r="N3400">
        <v>42.746699999999997</v>
      </c>
      <c r="P3400">
        <v>97</v>
      </c>
      <c r="Q3400" t="s">
        <v>7144</v>
      </c>
    </row>
    <row r="3401" spans="1:17" x14ac:dyDescent="0.3">
      <c r="A3401" t="s">
        <v>4664</v>
      </c>
      <c r="B3401" t="str">
        <f>"002720"</f>
        <v>002720</v>
      </c>
      <c r="C3401" t="s">
        <v>7145</v>
      </c>
      <c r="D3401" t="s">
        <v>2929</v>
      </c>
      <c r="P3401">
        <v>11</v>
      </c>
      <c r="Q3401" t="s">
        <v>7146</v>
      </c>
    </row>
    <row r="3402" spans="1:17" x14ac:dyDescent="0.3">
      <c r="A3402" t="s">
        <v>4664</v>
      </c>
      <c r="B3402" t="str">
        <f>"002721"</f>
        <v>002721</v>
      </c>
      <c r="C3402" t="s">
        <v>7147</v>
      </c>
      <c r="D3402" t="s">
        <v>1238</v>
      </c>
      <c r="F3402">
        <v>701.71420000000001</v>
      </c>
      <c r="G3402">
        <v>704.0086</v>
      </c>
      <c r="H3402">
        <v>176.34309999999999</v>
      </c>
      <c r="I3402">
        <v>155.62710000000001</v>
      </c>
      <c r="J3402">
        <v>141.84270000000001</v>
      </c>
      <c r="K3402">
        <v>123.6212</v>
      </c>
      <c r="L3402">
        <v>131.60499999999999</v>
      </c>
      <c r="M3402">
        <v>71.241</v>
      </c>
      <c r="N3402">
        <v>113.1935</v>
      </c>
      <c r="O3402">
        <v>58.905999999999999</v>
      </c>
      <c r="P3402">
        <v>89</v>
      </c>
      <c r="Q3402" t="s">
        <v>7148</v>
      </c>
    </row>
    <row r="3403" spans="1:17" x14ac:dyDescent="0.3">
      <c r="A3403" t="s">
        <v>4664</v>
      </c>
      <c r="B3403" t="str">
        <f>"002722"</f>
        <v>002722</v>
      </c>
      <c r="C3403" t="s">
        <v>7149</v>
      </c>
      <c r="D3403" t="s">
        <v>366</v>
      </c>
      <c r="F3403">
        <v>102.93810000000001</v>
      </c>
      <c r="G3403">
        <v>148.01300000000001</v>
      </c>
      <c r="H3403">
        <v>132.75810000000001</v>
      </c>
      <c r="I3403">
        <v>118.8335</v>
      </c>
      <c r="J3403">
        <v>121.21980000000001</v>
      </c>
      <c r="K3403">
        <v>113.5111</v>
      </c>
      <c r="L3403">
        <v>211.49289999999999</v>
      </c>
      <c r="M3403">
        <v>204.55789999999999</v>
      </c>
      <c r="N3403">
        <v>202.87200000000001</v>
      </c>
      <c r="O3403">
        <v>102.88249999999999</v>
      </c>
      <c r="P3403">
        <v>102</v>
      </c>
      <c r="Q3403" t="s">
        <v>7150</v>
      </c>
    </row>
    <row r="3404" spans="1:17" x14ac:dyDescent="0.3">
      <c r="A3404" t="s">
        <v>4664</v>
      </c>
      <c r="B3404" t="str">
        <f>"002723"</f>
        <v>002723</v>
      </c>
      <c r="C3404" t="s">
        <v>7151</v>
      </c>
      <c r="D3404" t="s">
        <v>598</v>
      </c>
      <c r="F3404">
        <v>83.531300000000002</v>
      </c>
      <c r="G3404">
        <v>111.03619999999999</v>
      </c>
      <c r="H3404">
        <v>118.1341</v>
      </c>
      <c r="I3404">
        <v>123.65300000000001</v>
      </c>
      <c r="J3404">
        <v>108.6803</v>
      </c>
      <c r="K3404">
        <v>101.2897</v>
      </c>
      <c r="L3404">
        <v>71.804199999999994</v>
      </c>
      <c r="M3404">
        <v>86.143500000000003</v>
      </c>
      <c r="N3404">
        <v>82.008799999999994</v>
      </c>
      <c r="O3404">
        <v>32.401600000000002</v>
      </c>
      <c r="P3404">
        <v>92</v>
      </c>
      <c r="Q3404" t="s">
        <v>7152</v>
      </c>
    </row>
    <row r="3405" spans="1:17" x14ac:dyDescent="0.3">
      <c r="A3405" t="s">
        <v>4664</v>
      </c>
      <c r="B3405" t="str">
        <f>"002724"</f>
        <v>002724</v>
      </c>
      <c r="C3405" t="s">
        <v>7153</v>
      </c>
      <c r="D3405" t="s">
        <v>651</v>
      </c>
      <c r="F3405">
        <v>206.7259</v>
      </c>
      <c r="G3405">
        <v>233.80439999999999</v>
      </c>
      <c r="H3405">
        <v>215.39359999999999</v>
      </c>
      <c r="I3405">
        <v>183.26320000000001</v>
      </c>
      <c r="J3405">
        <v>208.43389999999999</v>
      </c>
      <c r="K3405">
        <v>255.53219999999999</v>
      </c>
      <c r="L3405">
        <v>219.05860000000001</v>
      </c>
      <c r="M3405">
        <v>164.55160000000001</v>
      </c>
      <c r="N3405">
        <v>66.550700000000006</v>
      </c>
      <c r="P3405">
        <v>139</v>
      </c>
      <c r="Q3405" t="s">
        <v>7154</v>
      </c>
    </row>
    <row r="3406" spans="1:17" x14ac:dyDescent="0.3">
      <c r="A3406" t="s">
        <v>4664</v>
      </c>
      <c r="B3406" t="str">
        <f>"002725"</f>
        <v>002725</v>
      </c>
      <c r="C3406" t="s">
        <v>7155</v>
      </c>
      <c r="D3406" t="s">
        <v>422</v>
      </c>
      <c r="F3406">
        <v>119.10899999999999</v>
      </c>
      <c r="G3406">
        <v>166.40110000000001</v>
      </c>
      <c r="H3406">
        <v>147.7116</v>
      </c>
      <c r="I3406">
        <v>112.61369999999999</v>
      </c>
      <c r="J3406">
        <v>96.457599999999999</v>
      </c>
      <c r="K3406">
        <v>121.76390000000001</v>
      </c>
      <c r="L3406">
        <v>110.42440000000001</v>
      </c>
      <c r="M3406">
        <v>75.370999999999995</v>
      </c>
      <c r="N3406">
        <v>27.517800000000001</v>
      </c>
      <c r="P3406">
        <v>135</v>
      </c>
      <c r="Q3406" t="s">
        <v>7156</v>
      </c>
    </row>
    <row r="3407" spans="1:17" x14ac:dyDescent="0.3">
      <c r="A3407" t="s">
        <v>4664</v>
      </c>
      <c r="B3407" t="str">
        <f>"002726"</f>
        <v>002726</v>
      </c>
      <c r="C3407" t="s">
        <v>7157</v>
      </c>
      <c r="D3407" t="s">
        <v>170</v>
      </c>
      <c r="F3407">
        <v>71.219499999999996</v>
      </c>
      <c r="G3407">
        <v>56.475000000000001</v>
      </c>
      <c r="H3407">
        <v>56.020400000000002</v>
      </c>
      <c r="I3407">
        <v>47.865299999999998</v>
      </c>
      <c r="J3407">
        <v>43.76</v>
      </c>
      <c r="K3407">
        <v>46.5047</v>
      </c>
      <c r="L3407">
        <v>65.486999999999995</v>
      </c>
      <c r="M3407">
        <v>70.811300000000003</v>
      </c>
      <c r="N3407">
        <v>26.0991</v>
      </c>
      <c r="P3407">
        <v>1021</v>
      </c>
      <c r="Q3407" t="s">
        <v>7158</v>
      </c>
    </row>
    <row r="3408" spans="1:17" x14ac:dyDescent="0.3">
      <c r="A3408" t="s">
        <v>4664</v>
      </c>
      <c r="B3408" t="str">
        <f>"002727"</f>
        <v>002727</v>
      </c>
      <c r="C3408" t="s">
        <v>7159</v>
      </c>
      <c r="D3408" t="s">
        <v>1684</v>
      </c>
      <c r="F3408">
        <v>147.32929999999999</v>
      </c>
      <c r="G3408">
        <v>137.01830000000001</v>
      </c>
      <c r="H3408">
        <v>147.1472</v>
      </c>
      <c r="I3408">
        <v>154.6662</v>
      </c>
      <c r="J3408">
        <v>163.74279999999999</v>
      </c>
      <c r="K3408">
        <v>153.90479999999999</v>
      </c>
      <c r="L3408">
        <v>144.38409999999999</v>
      </c>
      <c r="M3408">
        <v>125.9327</v>
      </c>
      <c r="N3408">
        <v>52.504300000000001</v>
      </c>
      <c r="P3408">
        <v>1246</v>
      </c>
      <c r="Q3408" t="s">
        <v>7160</v>
      </c>
    </row>
    <row r="3409" spans="1:17" x14ac:dyDescent="0.3">
      <c r="A3409" t="s">
        <v>4664</v>
      </c>
      <c r="B3409" t="str">
        <f>"002728"</f>
        <v>002728</v>
      </c>
      <c r="C3409" t="s">
        <v>7161</v>
      </c>
      <c r="D3409" t="s">
        <v>188</v>
      </c>
      <c r="F3409">
        <v>288.94650000000001</v>
      </c>
      <c r="G3409">
        <v>318.74849999999998</v>
      </c>
      <c r="H3409">
        <v>242.30590000000001</v>
      </c>
      <c r="I3409">
        <v>238.0814</v>
      </c>
      <c r="J3409">
        <v>237.56610000000001</v>
      </c>
      <c r="K3409">
        <v>223.66579999999999</v>
      </c>
      <c r="L3409">
        <v>216.75030000000001</v>
      </c>
      <c r="M3409">
        <v>159.76329999999999</v>
      </c>
      <c r="N3409">
        <v>100.48099999999999</v>
      </c>
      <c r="P3409">
        <v>286</v>
      </c>
      <c r="Q3409" t="s">
        <v>7162</v>
      </c>
    </row>
    <row r="3410" spans="1:17" x14ac:dyDescent="0.3">
      <c r="A3410" t="s">
        <v>4664</v>
      </c>
      <c r="B3410" t="str">
        <f>"002729"</f>
        <v>002729</v>
      </c>
      <c r="C3410" t="s">
        <v>7163</v>
      </c>
      <c r="D3410" t="s">
        <v>651</v>
      </c>
      <c r="F3410">
        <v>158.13589999999999</v>
      </c>
      <c r="G3410">
        <v>200.905</v>
      </c>
      <c r="H3410">
        <v>183.9787</v>
      </c>
      <c r="I3410">
        <v>186.80719999999999</v>
      </c>
      <c r="J3410">
        <v>158.1953</v>
      </c>
      <c r="K3410">
        <v>175.9186</v>
      </c>
      <c r="L3410">
        <v>187.51509999999999</v>
      </c>
      <c r="M3410">
        <v>148.733</v>
      </c>
      <c r="N3410">
        <v>58.658299999999997</v>
      </c>
      <c r="P3410">
        <v>71</v>
      </c>
      <c r="Q3410" t="s">
        <v>7164</v>
      </c>
    </row>
    <row r="3411" spans="1:17" x14ac:dyDescent="0.3">
      <c r="A3411" t="s">
        <v>4664</v>
      </c>
      <c r="B3411" t="str">
        <f>"002730"</f>
        <v>002730</v>
      </c>
      <c r="C3411" t="s">
        <v>7165</v>
      </c>
      <c r="D3411" t="s">
        <v>395</v>
      </c>
      <c r="F3411">
        <v>133.97929999999999</v>
      </c>
      <c r="G3411">
        <v>150.99369999999999</v>
      </c>
      <c r="H3411">
        <v>132.51929999999999</v>
      </c>
      <c r="I3411">
        <v>139.03100000000001</v>
      </c>
      <c r="J3411">
        <v>173.88120000000001</v>
      </c>
      <c r="K3411">
        <v>179.13040000000001</v>
      </c>
      <c r="L3411">
        <v>233.6053</v>
      </c>
      <c r="M3411">
        <v>163.23939999999999</v>
      </c>
      <c r="N3411">
        <v>90.933300000000003</v>
      </c>
      <c r="P3411">
        <v>82</v>
      </c>
      <c r="Q3411" t="s">
        <v>7166</v>
      </c>
    </row>
    <row r="3412" spans="1:17" x14ac:dyDescent="0.3">
      <c r="A3412" t="s">
        <v>4664</v>
      </c>
      <c r="B3412" t="str">
        <f>"002731"</f>
        <v>002731</v>
      </c>
      <c r="C3412" t="s">
        <v>7167</v>
      </c>
      <c r="D3412" t="s">
        <v>1238</v>
      </c>
      <c r="F3412">
        <v>330.86630000000002</v>
      </c>
      <c r="G3412">
        <v>547.70309999999995</v>
      </c>
      <c r="H3412">
        <v>452.56569999999999</v>
      </c>
      <c r="I3412">
        <v>341.46359999999999</v>
      </c>
      <c r="J3412">
        <v>314.38299999999998</v>
      </c>
      <c r="K3412">
        <v>304.08870000000002</v>
      </c>
      <c r="L3412">
        <v>184.54839999999999</v>
      </c>
      <c r="M3412">
        <v>144.9812</v>
      </c>
      <c r="N3412">
        <v>35.3887</v>
      </c>
      <c r="P3412">
        <v>81</v>
      </c>
      <c r="Q3412" t="s">
        <v>7168</v>
      </c>
    </row>
    <row r="3413" spans="1:17" x14ac:dyDescent="0.3">
      <c r="A3413" t="s">
        <v>4664</v>
      </c>
      <c r="B3413" t="str">
        <f>"002732"</f>
        <v>002732</v>
      </c>
      <c r="C3413" t="s">
        <v>7169</v>
      </c>
      <c r="D3413" t="s">
        <v>900</v>
      </c>
      <c r="F3413">
        <v>48.270299999999999</v>
      </c>
      <c r="G3413">
        <v>58.296300000000002</v>
      </c>
      <c r="H3413">
        <v>58.140599999999999</v>
      </c>
      <c r="I3413">
        <v>56.466000000000001</v>
      </c>
      <c r="J3413">
        <v>49.716000000000001</v>
      </c>
      <c r="K3413">
        <v>48.914900000000003</v>
      </c>
      <c r="L3413">
        <v>47.9651</v>
      </c>
      <c r="M3413">
        <v>48.842399999999998</v>
      </c>
      <c r="N3413">
        <v>17.759599999999999</v>
      </c>
      <c r="P3413">
        <v>349</v>
      </c>
      <c r="Q3413" t="s">
        <v>7170</v>
      </c>
    </row>
    <row r="3414" spans="1:17" x14ac:dyDescent="0.3">
      <c r="A3414" t="s">
        <v>4664</v>
      </c>
      <c r="B3414" t="str">
        <f>"002733"</f>
        <v>002733</v>
      </c>
      <c r="C3414" t="s">
        <v>7171</v>
      </c>
      <c r="D3414" t="s">
        <v>555</v>
      </c>
      <c r="F3414">
        <v>112.51990000000001</v>
      </c>
      <c r="G3414">
        <v>129.83860000000001</v>
      </c>
      <c r="H3414">
        <v>97.966099999999997</v>
      </c>
      <c r="I3414">
        <v>95.156300000000002</v>
      </c>
      <c r="J3414">
        <v>99.087599999999995</v>
      </c>
      <c r="K3414">
        <v>92.116</v>
      </c>
      <c r="L3414">
        <v>115.3112</v>
      </c>
      <c r="M3414">
        <v>101.0791</v>
      </c>
      <c r="N3414">
        <v>58.967599999999997</v>
      </c>
      <c r="P3414">
        <v>236</v>
      </c>
      <c r="Q3414" t="s">
        <v>7172</v>
      </c>
    </row>
    <row r="3415" spans="1:17" x14ac:dyDescent="0.3">
      <c r="A3415" t="s">
        <v>4664</v>
      </c>
      <c r="B3415" t="str">
        <f>"002734"</f>
        <v>002734</v>
      </c>
      <c r="C3415" t="s">
        <v>7173</v>
      </c>
      <c r="D3415" t="s">
        <v>853</v>
      </c>
      <c r="F3415">
        <v>88.934100000000001</v>
      </c>
      <c r="G3415">
        <v>83.533000000000001</v>
      </c>
      <c r="H3415">
        <v>99.432599999999994</v>
      </c>
      <c r="I3415">
        <v>113.7449</v>
      </c>
      <c r="J3415">
        <v>80.562399999999997</v>
      </c>
      <c r="K3415">
        <v>75.161299999999997</v>
      </c>
      <c r="L3415">
        <v>80.400400000000005</v>
      </c>
      <c r="M3415">
        <v>37.173299999999998</v>
      </c>
      <c r="P3415">
        <v>261</v>
      </c>
      <c r="Q3415" t="s">
        <v>7174</v>
      </c>
    </row>
    <row r="3416" spans="1:17" x14ac:dyDescent="0.3">
      <c r="A3416" t="s">
        <v>4664</v>
      </c>
      <c r="B3416" t="str">
        <f>"002735"</f>
        <v>002735</v>
      </c>
      <c r="C3416" t="s">
        <v>7175</v>
      </c>
      <c r="D3416" t="s">
        <v>485</v>
      </c>
      <c r="F3416">
        <v>62.101599999999998</v>
      </c>
      <c r="G3416">
        <v>61.432600000000001</v>
      </c>
      <c r="H3416">
        <v>62.325099999999999</v>
      </c>
      <c r="I3416">
        <v>84.258399999999995</v>
      </c>
      <c r="J3416">
        <v>81.370099999999994</v>
      </c>
      <c r="K3416">
        <v>76.841800000000006</v>
      </c>
      <c r="L3416">
        <v>79.456699999999998</v>
      </c>
      <c r="M3416">
        <v>37.037700000000001</v>
      </c>
      <c r="P3416">
        <v>71</v>
      </c>
      <c r="Q3416" t="s">
        <v>7176</v>
      </c>
    </row>
    <row r="3417" spans="1:17" x14ac:dyDescent="0.3">
      <c r="A3417" t="s">
        <v>4664</v>
      </c>
      <c r="B3417" t="str">
        <f>"002736"</f>
        <v>002736</v>
      </c>
      <c r="C3417" t="s">
        <v>7177</v>
      </c>
      <c r="D3417" t="s">
        <v>80</v>
      </c>
      <c r="P3417">
        <v>2389</v>
      </c>
      <c r="Q3417" t="s">
        <v>7178</v>
      </c>
    </row>
    <row r="3418" spans="1:17" x14ac:dyDescent="0.3">
      <c r="A3418" t="s">
        <v>4664</v>
      </c>
      <c r="B3418" t="str">
        <f>"002737"</f>
        <v>002737</v>
      </c>
      <c r="C3418" t="s">
        <v>7179</v>
      </c>
      <c r="D3418" t="s">
        <v>188</v>
      </c>
      <c r="F3418">
        <v>174.2689</v>
      </c>
      <c r="G3418">
        <v>228.7046</v>
      </c>
      <c r="H3418">
        <v>207.59909999999999</v>
      </c>
      <c r="I3418">
        <v>217.0598</v>
      </c>
      <c r="J3418">
        <v>241.07849999999999</v>
      </c>
      <c r="K3418">
        <v>244.535</v>
      </c>
      <c r="L3418">
        <v>174.1738</v>
      </c>
      <c r="M3418">
        <v>88.412000000000006</v>
      </c>
      <c r="N3418">
        <v>112.7856</v>
      </c>
      <c r="P3418">
        <v>1117</v>
      </c>
      <c r="Q3418" t="s">
        <v>7180</v>
      </c>
    </row>
    <row r="3419" spans="1:17" x14ac:dyDescent="0.3">
      <c r="A3419" t="s">
        <v>4664</v>
      </c>
      <c r="B3419" t="str">
        <f>"002738"</f>
        <v>002738</v>
      </c>
      <c r="C3419" t="s">
        <v>7181</v>
      </c>
      <c r="D3419" t="s">
        <v>636</v>
      </c>
      <c r="F3419">
        <v>259.13810000000001</v>
      </c>
      <c r="G3419">
        <v>396.30270000000002</v>
      </c>
      <c r="H3419">
        <v>265.96769999999998</v>
      </c>
      <c r="I3419">
        <v>234.63140000000001</v>
      </c>
      <c r="J3419">
        <v>221.38740000000001</v>
      </c>
      <c r="K3419">
        <v>218.17529999999999</v>
      </c>
      <c r="L3419">
        <v>204.67590000000001</v>
      </c>
      <c r="M3419">
        <v>157.3372</v>
      </c>
      <c r="N3419">
        <v>59.701300000000003</v>
      </c>
      <c r="P3419">
        <v>192</v>
      </c>
      <c r="Q3419" t="s">
        <v>7182</v>
      </c>
    </row>
    <row r="3420" spans="1:17" x14ac:dyDescent="0.3">
      <c r="A3420" t="s">
        <v>4664</v>
      </c>
      <c r="B3420" t="str">
        <f>"002739"</f>
        <v>002739</v>
      </c>
      <c r="C3420" t="s">
        <v>7183</v>
      </c>
      <c r="D3420" t="s">
        <v>2558</v>
      </c>
      <c r="F3420">
        <v>99.478300000000004</v>
      </c>
      <c r="G3420">
        <v>179.28909999999999</v>
      </c>
      <c r="H3420">
        <v>43.734900000000003</v>
      </c>
      <c r="I3420">
        <v>9.2775999999999996</v>
      </c>
      <c r="J3420">
        <v>8.8277000000000001</v>
      </c>
      <c r="K3420">
        <v>5.5016999999999996</v>
      </c>
      <c r="L3420">
        <v>4.5987999999999998</v>
      </c>
      <c r="M3420">
        <v>2.2313999999999998</v>
      </c>
      <c r="P3420">
        <v>911</v>
      </c>
      <c r="Q3420" t="s">
        <v>7184</v>
      </c>
    </row>
    <row r="3421" spans="1:17" x14ac:dyDescent="0.3">
      <c r="A3421" t="s">
        <v>4664</v>
      </c>
      <c r="B3421" t="str">
        <f>"002740"</f>
        <v>002740</v>
      </c>
      <c r="C3421" t="s">
        <v>7185</v>
      </c>
      <c r="D3421" t="s">
        <v>1238</v>
      </c>
      <c r="F3421">
        <v>1036.7860000000001</v>
      </c>
      <c r="G3421">
        <v>1062.0506</v>
      </c>
      <c r="H3421">
        <v>431.30599999999998</v>
      </c>
      <c r="I3421">
        <v>293.25</v>
      </c>
      <c r="J3421">
        <v>216.1276</v>
      </c>
      <c r="K3421">
        <v>246.35069999999999</v>
      </c>
      <c r="L3421">
        <v>294.45150000000001</v>
      </c>
      <c r="M3421">
        <v>88.575100000000006</v>
      </c>
      <c r="P3421">
        <v>78</v>
      </c>
      <c r="Q3421" t="s">
        <v>7186</v>
      </c>
    </row>
    <row r="3422" spans="1:17" x14ac:dyDescent="0.3">
      <c r="A3422" t="s">
        <v>4664</v>
      </c>
      <c r="B3422" t="str">
        <f>"002741"</f>
        <v>002741</v>
      </c>
      <c r="C3422" t="s">
        <v>7187</v>
      </c>
      <c r="D3422" t="s">
        <v>2399</v>
      </c>
      <c r="F3422">
        <v>89.292599999999993</v>
      </c>
      <c r="G3422">
        <v>148.4016</v>
      </c>
      <c r="H3422">
        <v>197.04079999999999</v>
      </c>
      <c r="I3422">
        <v>116.13590000000001</v>
      </c>
      <c r="J3422">
        <v>82.393699999999995</v>
      </c>
      <c r="K3422">
        <v>111.06870000000001</v>
      </c>
      <c r="L3422">
        <v>100.3912</v>
      </c>
      <c r="M3422">
        <v>35.793599999999998</v>
      </c>
      <c r="P3422">
        <v>187</v>
      </c>
      <c r="Q3422" t="s">
        <v>7188</v>
      </c>
    </row>
    <row r="3423" spans="1:17" x14ac:dyDescent="0.3">
      <c r="A3423" t="s">
        <v>4664</v>
      </c>
      <c r="B3423" t="str">
        <f>"002742"</f>
        <v>002742</v>
      </c>
      <c r="C3423" t="s">
        <v>7189</v>
      </c>
      <c r="D3423" t="s">
        <v>3071</v>
      </c>
      <c r="F3423">
        <v>84.867400000000004</v>
      </c>
      <c r="G3423">
        <v>82.615399999999994</v>
      </c>
      <c r="H3423">
        <v>67.032399999999996</v>
      </c>
      <c r="I3423">
        <v>68.505099999999999</v>
      </c>
      <c r="J3423">
        <v>49.031700000000001</v>
      </c>
      <c r="K3423">
        <v>30.342199999999998</v>
      </c>
      <c r="L3423">
        <v>28.026900000000001</v>
      </c>
      <c r="M3423">
        <v>32.627499999999998</v>
      </c>
      <c r="P3423">
        <v>67</v>
      </c>
      <c r="Q3423" t="s">
        <v>7190</v>
      </c>
    </row>
    <row r="3424" spans="1:17" x14ac:dyDescent="0.3">
      <c r="A3424" t="s">
        <v>4664</v>
      </c>
      <c r="B3424" t="str">
        <f>"002743"</f>
        <v>002743</v>
      </c>
      <c r="C3424" t="s">
        <v>7191</v>
      </c>
      <c r="D3424" t="s">
        <v>978</v>
      </c>
      <c r="F3424">
        <v>48.636499999999998</v>
      </c>
      <c r="G3424">
        <v>197.7783</v>
      </c>
      <c r="H3424">
        <v>311.69979999999998</v>
      </c>
      <c r="I3424">
        <v>264.34140000000002</v>
      </c>
      <c r="J3424">
        <v>405.06909999999999</v>
      </c>
      <c r="K3424">
        <v>357.88679999999999</v>
      </c>
      <c r="L3424">
        <v>492.65350000000001</v>
      </c>
      <c r="M3424">
        <v>296.30399999999997</v>
      </c>
      <c r="P3424">
        <v>77</v>
      </c>
      <c r="Q3424" t="s">
        <v>7192</v>
      </c>
    </row>
    <row r="3425" spans="1:17" x14ac:dyDescent="0.3">
      <c r="A3425" t="s">
        <v>4664</v>
      </c>
      <c r="B3425" t="str">
        <f>"002745"</f>
        <v>002745</v>
      </c>
      <c r="C3425" t="s">
        <v>7193</v>
      </c>
      <c r="D3425" t="s">
        <v>803</v>
      </c>
      <c r="F3425">
        <v>129.0941</v>
      </c>
      <c r="G3425">
        <v>168.72579999999999</v>
      </c>
      <c r="H3425">
        <v>167.20060000000001</v>
      </c>
      <c r="I3425">
        <v>128.67359999999999</v>
      </c>
      <c r="J3425">
        <v>99.125900000000001</v>
      </c>
      <c r="K3425">
        <v>100.07</v>
      </c>
      <c r="L3425">
        <v>109.6542</v>
      </c>
      <c r="M3425">
        <v>100.4226</v>
      </c>
      <c r="P3425">
        <v>324</v>
      </c>
      <c r="Q3425" t="s">
        <v>7194</v>
      </c>
    </row>
    <row r="3426" spans="1:17" x14ac:dyDescent="0.3">
      <c r="A3426" t="s">
        <v>4664</v>
      </c>
      <c r="B3426" t="str">
        <f>"002746"</f>
        <v>002746</v>
      </c>
      <c r="C3426" t="s">
        <v>7195</v>
      </c>
      <c r="D3426" t="s">
        <v>6173</v>
      </c>
      <c r="F3426">
        <v>69.592500000000001</v>
      </c>
      <c r="G3426">
        <v>64.133200000000002</v>
      </c>
      <c r="H3426">
        <v>70.539699999999996</v>
      </c>
      <c r="I3426">
        <v>73.3005</v>
      </c>
      <c r="J3426">
        <v>68.301400000000001</v>
      </c>
      <c r="K3426">
        <v>75.537800000000004</v>
      </c>
      <c r="L3426">
        <v>86.081900000000005</v>
      </c>
      <c r="M3426">
        <v>40.635100000000001</v>
      </c>
      <c r="P3426">
        <v>457</v>
      </c>
      <c r="Q3426" t="s">
        <v>7196</v>
      </c>
    </row>
    <row r="3427" spans="1:17" x14ac:dyDescent="0.3">
      <c r="A3427" t="s">
        <v>4664</v>
      </c>
      <c r="B3427" t="str">
        <f>"002747"</f>
        <v>002747</v>
      </c>
      <c r="C3427" t="s">
        <v>7197</v>
      </c>
      <c r="D3427" t="s">
        <v>2911</v>
      </c>
      <c r="F3427">
        <v>173.95160000000001</v>
      </c>
      <c r="G3427">
        <v>182.7122</v>
      </c>
      <c r="H3427">
        <v>212.14859999999999</v>
      </c>
      <c r="I3427">
        <v>178.81829999999999</v>
      </c>
      <c r="J3427">
        <v>156.6207</v>
      </c>
      <c r="K3427">
        <v>147.28989999999999</v>
      </c>
      <c r="L3427">
        <v>141.61660000000001</v>
      </c>
      <c r="M3427">
        <v>114.4122</v>
      </c>
      <c r="P3427">
        <v>474</v>
      </c>
      <c r="Q3427" t="s">
        <v>7198</v>
      </c>
    </row>
    <row r="3428" spans="1:17" x14ac:dyDescent="0.3">
      <c r="A3428" t="s">
        <v>4664</v>
      </c>
      <c r="B3428" t="str">
        <f>"002748"</f>
        <v>002748</v>
      </c>
      <c r="C3428" t="s">
        <v>7199</v>
      </c>
      <c r="D3428" t="s">
        <v>175</v>
      </c>
      <c r="F3428">
        <v>34.256</v>
      </c>
      <c r="G3428">
        <v>30.162400000000002</v>
      </c>
      <c r="H3428">
        <v>21.115600000000001</v>
      </c>
      <c r="I3428">
        <v>28.715699999999998</v>
      </c>
      <c r="J3428">
        <v>24.4876</v>
      </c>
      <c r="K3428">
        <v>26.424700000000001</v>
      </c>
      <c r="L3428">
        <v>25.407499999999999</v>
      </c>
      <c r="M3428">
        <v>13.729699999999999</v>
      </c>
      <c r="P3428">
        <v>77</v>
      </c>
      <c r="Q3428" t="s">
        <v>7200</v>
      </c>
    </row>
    <row r="3429" spans="1:17" x14ac:dyDescent="0.3">
      <c r="A3429" t="s">
        <v>4664</v>
      </c>
      <c r="B3429" t="str">
        <f>"002749"</f>
        <v>002749</v>
      </c>
      <c r="C3429" t="s">
        <v>7201</v>
      </c>
      <c r="D3429" t="s">
        <v>853</v>
      </c>
      <c r="F3429">
        <v>185.76259999999999</v>
      </c>
      <c r="G3429">
        <v>156.34800000000001</v>
      </c>
      <c r="H3429">
        <v>141.98179999999999</v>
      </c>
      <c r="I3429">
        <v>135.2456</v>
      </c>
      <c r="J3429">
        <v>141.50360000000001</v>
      </c>
      <c r="K3429">
        <v>165.94479999999999</v>
      </c>
      <c r="L3429">
        <v>148.0187</v>
      </c>
      <c r="M3429">
        <v>90.093400000000003</v>
      </c>
      <c r="P3429">
        <v>9783</v>
      </c>
      <c r="Q3429" t="s">
        <v>7202</v>
      </c>
    </row>
    <row r="3430" spans="1:17" x14ac:dyDescent="0.3">
      <c r="A3430" t="s">
        <v>4664</v>
      </c>
      <c r="B3430" t="str">
        <f>"002750"</f>
        <v>002750</v>
      </c>
      <c r="C3430" t="s">
        <v>7203</v>
      </c>
      <c r="D3430" t="s">
        <v>188</v>
      </c>
      <c r="F3430">
        <v>81.7727</v>
      </c>
      <c r="G3430">
        <v>525.5761</v>
      </c>
      <c r="H3430">
        <v>536.16679999999997</v>
      </c>
      <c r="I3430">
        <v>461.85550000000001</v>
      </c>
      <c r="J3430">
        <v>391.4128</v>
      </c>
      <c r="K3430">
        <v>177.51580000000001</v>
      </c>
      <c r="L3430">
        <v>127.39360000000001</v>
      </c>
      <c r="M3430">
        <v>125.973</v>
      </c>
      <c r="P3430">
        <v>142</v>
      </c>
      <c r="Q3430" t="s">
        <v>7204</v>
      </c>
    </row>
    <row r="3431" spans="1:17" x14ac:dyDescent="0.3">
      <c r="A3431" t="s">
        <v>4664</v>
      </c>
      <c r="B3431" t="str">
        <f>"002751"</f>
        <v>002751</v>
      </c>
      <c r="C3431" t="s">
        <v>7205</v>
      </c>
      <c r="D3431" t="s">
        <v>1671</v>
      </c>
      <c r="F3431">
        <v>139.6816</v>
      </c>
      <c r="G3431">
        <v>138.3989</v>
      </c>
      <c r="H3431">
        <v>218.31610000000001</v>
      </c>
      <c r="I3431">
        <v>81.478300000000004</v>
      </c>
      <c r="J3431">
        <v>85.486699999999999</v>
      </c>
      <c r="K3431">
        <v>71.045599999999993</v>
      </c>
      <c r="L3431">
        <v>48.297800000000002</v>
      </c>
      <c r="M3431">
        <v>22.882200000000001</v>
      </c>
      <c r="P3431">
        <v>145</v>
      </c>
      <c r="Q3431" t="s">
        <v>7206</v>
      </c>
    </row>
    <row r="3432" spans="1:17" x14ac:dyDescent="0.3">
      <c r="A3432" t="s">
        <v>4664</v>
      </c>
      <c r="B3432" t="str">
        <f>"002752"</f>
        <v>002752</v>
      </c>
      <c r="C3432" t="s">
        <v>7207</v>
      </c>
      <c r="D3432" t="s">
        <v>2364</v>
      </c>
      <c r="F3432">
        <v>83.255300000000005</v>
      </c>
      <c r="G3432">
        <v>85.035700000000006</v>
      </c>
      <c r="H3432">
        <v>106.7313</v>
      </c>
      <c r="I3432">
        <v>110.0124</v>
      </c>
      <c r="J3432">
        <v>94.665800000000004</v>
      </c>
      <c r="K3432">
        <v>82.800700000000006</v>
      </c>
      <c r="L3432">
        <v>89.079800000000006</v>
      </c>
      <c r="M3432">
        <v>43.914900000000003</v>
      </c>
      <c r="P3432">
        <v>79</v>
      </c>
      <c r="Q3432" t="s">
        <v>7208</v>
      </c>
    </row>
    <row r="3433" spans="1:17" x14ac:dyDescent="0.3">
      <c r="A3433" t="s">
        <v>4664</v>
      </c>
      <c r="B3433" t="str">
        <f>"002753"</f>
        <v>002753</v>
      </c>
      <c r="C3433" t="s">
        <v>7209</v>
      </c>
      <c r="D3433" t="s">
        <v>3619</v>
      </c>
      <c r="F3433">
        <v>53.7913</v>
      </c>
      <c r="G3433">
        <v>55.7408</v>
      </c>
      <c r="H3433">
        <v>53.435200000000002</v>
      </c>
      <c r="I3433">
        <v>54.9084</v>
      </c>
      <c r="J3433">
        <v>55.920400000000001</v>
      </c>
      <c r="K3433">
        <v>76.050299999999993</v>
      </c>
      <c r="L3433">
        <v>101.7527</v>
      </c>
      <c r="M3433">
        <v>40.964500000000001</v>
      </c>
      <c r="P3433">
        <v>170</v>
      </c>
      <c r="Q3433" t="s">
        <v>7210</v>
      </c>
    </row>
    <row r="3434" spans="1:17" x14ac:dyDescent="0.3">
      <c r="A3434" t="s">
        <v>4664</v>
      </c>
      <c r="B3434" t="str">
        <f>"002755"</f>
        <v>002755</v>
      </c>
      <c r="C3434" t="s">
        <v>7211</v>
      </c>
      <c r="D3434" t="s">
        <v>143</v>
      </c>
      <c r="F3434">
        <v>290.90320000000003</v>
      </c>
      <c r="G3434">
        <v>279.04660000000001</v>
      </c>
      <c r="H3434">
        <v>269.82769999999999</v>
      </c>
      <c r="I3434">
        <v>58.227600000000002</v>
      </c>
      <c r="J3434">
        <v>108.111</v>
      </c>
      <c r="K3434">
        <v>165.5162</v>
      </c>
      <c r="L3434">
        <v>66.451999999999998</v>
      </c>
      <c r="M3434">
        <v>70.3673</v>
      </c>
      <c r="P3434">
        <v>307</v>
      </c>
      <c r="Q3434" t="s">
        <v>7212</v>
      </c>
    </row>
    <row r="3435" spans="1:17" x14ac:dyDescent="0.3">
      <c r="A3435" t="s">
        <v>4664</v>
      </c>
      <c r="B3435" t="str">
        <f>"002756"</f>
        <v>002756</v>
      </c>
      <c r="C3435" t="s">
        <v>7213</v>
      </c>
      <c r="D3435" t="s">
        <v>281</v>
      </c>
      <c r="F3435">
        <v>50.901899999999998</v>
      </c>
      <c r="G3435">
        <v>52.370199999999997</v>
      </c>
      <c r="H3435">
        <v>44.006100000000004</v>
      </c>
      <c r="I3435">
        <v>42.411700000000003</v>
      </c>
      <c r="J3435">
        <v>54.485700000000001</v>
      </c>
      <c r="K3435">
        <v>44.558500000000002</v>
      </c>
      <c r="L3435">
        <v>37.073599999999999</v>
      </c>
      <c r="M3435">
        <v>16.338100000000001</v>
      </c>
      <c r="P3435">
        <v>307</v>
      </c>
      <c r="Q3435" t="s">
        <v>7214</v>
      </c>
    </row>
    <row r="3436" spans="1:17" x14ac:dyDescent="0.3">
      <c r="A3436" t="s">
        <v>4664</v>
      </c>
      <c r="B3436" t="str">
        <f>"002757"</f>
        <v>002757</v>
      </c>
      <c r="C3436" t="s">
        <v>7215</v>
      </c>
      <c r="D3436" t="s">
        <v>741</v>
      </c>
      <c r="F3436">
        <v>70.148200000000003</v>
      </c>
      <c r="G3436">
        <v>73.397099999999995</v>
      </c>
      <c r="H3436">
        <v>94.630700000000004</v>
      </c>
      <c r="I3436">
        <v>154.83189999999999</v>
      </c>
      <c r="J3436">
        <v>215.17830000000001</v>
      </c>
      <c r="K3436">
        <v>191.81649999999999</v>
      </c>
      <c r="L3436">
        <v>192.73929999999999</v>
      </c>
      <c r="M3436">
        <v>107.5462</v>
      </c>
      <c r="P3436">
        <v>267</v>
      </c>
      <c r="Q3436" t="s">
        <v>7216</v>
      </c>
    </row>
    <row r="3437" spans="1:17" x14ac:dyDescent="0.3">
      <c r="A3437" t="s">
        <v>4664</v>
      </c>
      <c r="B3437" t="str">
        <f>"002758"</f>
        <v>002758</v>
      </c>
      <c r="C3437" t="s">
        <v>7217</v>
      </c>
      <c r="D3437" t="s">
        <v>125</v>
      </c>
      <c r="F3437">
        <v>57.382199999999997</v>
      </c>
      <c r="G3437">
        <v>86.202699999999993</v>
      </c>
      <c r="H3437">
        <v>82.4572</v>
      </c>
      <c r="I3437">
        <v>87.330799999999996</v>
      </c>
      <c r="J3437">
        <v>76.599599999999995</v>
      </c>
      <c r="K3437">
        <v>69.401600000000002</v>
      </c>
      <c r="L3437">
        <v>58.2682</v>
      </c>
      <c r="M3437">
        <v>27.758500000000002</v>
      </c>
      <c r="P3437">
        <v>180</v>
      </c>
      <c r="Q3437" t="s">
        <v>7218</v>
      </c>
    </row>
    <row r="3438" spans="1:17" x14ac:dyDescent="0.3">
      <c r="A3438" t="s">
        <v>4664</v>
      </c>
      <c r="B3438" t="str">
        <f>"002759"</f>
        <v>002759</v>
      </c>
      <c r="C3438" t="s">
        <v>7219</v>
      </c>
      <c r="D3438" t="s">
        <v>1786</v>
      </c>
      <c r="F3438">
        <v>71.277699999999996</v>
      </c>
      <c r="G3438">
        <v>147.06370000000001</v>
      </c>
      <c r="H3438">
        <v>160.29060000000001</v>
      </c>
      <c r="I3438">
        <v>139.84690000000001</v>
      </c>
      <c r="J3438">
        <v>108.9824</v>
      </c>
      <c r="K3438">
        <v>124.0518</v>
      </c>
      <c r="L3438">
        <v>109.4472</v>
      </c>
      <c r="M3438">
        <v>41.331899999999997</v>
      </c>
      <c r="P3438">
        <v>251</v>
      </c>
      <c r="Q3438" t="s">
        <v>7220</v>
      </c>
    </row>
    <row r="3439" spans="1:17" x14ac:dyDescent="0.3">
      <c r="A3439" t="s">
        <v>4664</v>
      </c>
      <c r="B3439" t="str">
        <f>"002760"</f>
        <v>002760</v>
      </c>
      <c r="C3439" t="s">
        <v>7221</v>
      </c>
      <c r="D3439" t="s">
        <v>404</v>
      </c>
      <c r="F3439">
        <v>123.21380000000001</v>
      </c>
      <c r="G3439">
        <v>190.6831</v>
      </c>
      <c r="H3439">
        <v>108.8245</v>
      </c>
      <c r="I3439">
        <v>115.2045</v>
      </c>
      <c r="J3439">
        <v>167.51050000000001</v>
      </c>
      <c r="K3439">
        <v>233.13730000000001</v>
      </c>
      <c r="L3439">
        <v>164.33430000000001</v>
      </c>
      <c r="M3439">
        <v>92.201899999999995</v>
      </c>
      <c r="P3439">
        <v>72</v>
      </c>
      <c r="Q3439" t="s">
        <v>7222</v>
      </c>
    </row>
    <row r="3440" spans="1:17" x14ac:dyDescent="0.3">
      <c r="A3440" t="s">
        <v>4664</v>
      </c>
      <c r="B3440" t="str">
        <f>"002761"</f>
        <v>002761</v>
      </c>
      <c r="C3440" t="s">
        <v>7223</v>
      </c>
      <c r="D3440" t="s">
        <v>398</v>
      </c>
      <c r="F3440">
        <v>7.0052000000000003</v>
      </c>
      <c r="G3440">
        <v>51.609900000000003</v>
      </c>
      <c r="H3440">
        <v>297.07339999999999</v>
      </c>
      <c r="I3440">
        <v>272.96719999999999</v>
      </c>
      <c r="J3440">
        <v>325.30029999999999</v>
      </c>
      <c r="K3440">
        <v>280.23509999999999</v>
      </c>
      <c r="L3440">
        <v>339.82299999999998</v>
      </c>
      <c r="M3440">
        <v>147.16970000000001</v>
      </c>
      <c r="P3440">
        <v>195</v>
      </c>
      <c r="Q3440" t="s">
        <v>7224</v>
      </c>
    </row>
    <row r="3441" spans="1:17" x14ac:dyDescent="0.3">
      <c r="A3441" t="s">
        <v>4664</v>
      </c>
      <c r="B3441" t="str">
        <f>"002762"</f>
        <v>002762</v>
      </c>
      <c r="C3441" t="s">
        <v>7225</v>
      </c>
      <c r="D3441" t="s">
        <v>255</v>
      </c>
      <c r="F3441">
        <v>617.17759999999998</v>
      </c>
      <c r="G3441">
        <v>654.3723</v>
      </c>
      <c r="H3441">
        <v>567.36090000000002</v>
      </c>
      <c r="I3441">
        <v>508.79899999999998</v>
      </c>
      <c r="J3441">
        <v>441.55059999999997</v>
      </c>
      <c r="K3441">
        <v>422.60849999999999</v>
      </c>
      <c r="L3441">
        <v>313.10000000000002</v>
      </c>
      <c r="M3441">
        <v>178.34530000000001</v>
      </c>
      <c r="P3441">
        <v>128</v>
      </c>
      <c r="Q3441" t="s">
        <v>7226</v>
      </c>
    </row>
    <row r="3442" spans="1:17" x14ac:dyDescent="0.3">
      <c r="A3442" t="s">
        <v>4664</v>
      </c>
      <c r="B3442" t="str">
        <f>"002763"</f>
        <v>002763</v>
      </c>
      <c r="C3442" t="s">
        <v>7227</v>
      </c>
      <c r="D3442" t="s">
        <v>330</v>
      </c>
      <c r="F3442">
        <v>408.79520000000002</v>
      </c>
      <c r="G3442">
        <v>470.8954</v>
      </c>
      <c r="H3442">
        <v>453.81549999999999</v>
      </c>
      <c r="I3442">
        <v>439.86509999999998</v>
      </c>
      <c r="J3442">
        <v>463.79739999999998</v>
      </c>
      <c r="K3442">
        <v>527.86329999999998</v>
      </c>
      <c r="L3442">
        <v>499.84949999999998</v>
      </c>
      <c r="M3442">
        <v>280.81509999999997</v>
      </c>
      <c r="P3442">
        <v>293</v>
      </c>
      <c r="Q3442" t="s">
        <v>7228</v>
      </c>
    </row>
    <row r="3443" spans="1:17" x14ac:dyDescent="0.3">
      <c r="A3443" t="s">
        <v>4664</v>
      </c>
      <c r="B3443" t="str">
        <f>"002765"</f>
        <v>002765</v>
      </c>
      <c r="C3443" t="s">
        <v>7229</v>
      </c>
      <c r="D3443" t="s">
        <v>1117</v>
      </c>
      <c r="F3443">
        <v>122.4269</v>
      </c>
      <c r="G3443">
        <v>118.29049999999999</v>
      </c>
      <c r="H3443">
        <v>232.7542</v>
      </c>
      <c r="I3443">
        <v>174.62280000000001</v>
      </c>
      <c r="J3443">
        <v>146.41290000000001</v>
      </c>
      <c r="K3443">
        <v>132.88489999999999</v>
      </c>
      <c r="L3443">
        <v>149.3124</v>
      </c>
      <c r="M3443">
        <v>74.759299999999996</v>
      </c>
      <c r="P3443">
        <v>118</v>
      </c>
      <c r="Q3443" t="s">
        <v>7230</v>
      </c>
    </row>
    <row r="3444" spans="1:17" x14ac:dyDescent="0.3">
      <c r="A3444" t="s">
        <v>4664</v>
      </c>
      <c r="B3444" t="str">
        <f>"002766"</f>
        <v>002766</v>
      </c>
      <c r="C3444" t="s">
        <v>7231</v>
      </c>
      <c r="D3444" t="s">
        <v>1415</v>
      </c>
      <c r="F3444">
        <v>266.5659</v>
      </c>
      <c r="G3444">
        <v>224.87520000000001</v>
      </c>
      <c r="H3444">
        <v>197.85679999999999</v>
      </c>
      <c r="I3444">
        <v>210.8124</v>
      </c>
      <c r="J3444">
        <v>255.65350000000001</v>
      </c>
      <c r="K3444">
        <v>303.50319999999999</v>
      </c>
      <c r="L3444">
        <v>231.49440000000001</v>
      </c>
      <c r="M3444">
        <v>118.09990000000001</v>
      </c>
      <c r="P3444">
        <v>85</v>
      </c>
      <c r="Q3444" t="s">
        <v>7232</v>
      </c>
    </row>
    <row r="3445" spans="1:17" x14ac:dyDescent="0.3">
      <c r="A3445" t="s">
        <v>4664</v>
      </c>
      <c r="B3445" t="str">
        <f>"002767"</f>
        <v>002767</v>
      </c>
      <c r="C3445" t="s">
        <v>7233</v>
      </c>
      <c r="D3445" t="s">
        <v>2551</v>
      </c>
      <c r="F3445">
        <v>154.48570000000001</v>
      </c>
      <c r="G3445">
        <v>140.6592</v>
      </c>
      <c r="H3445">
        <v>134.1146</v>
      </c>
      <c r="I3445">
        <v>133.80260000000001</v>
      </c>
      <c r="J3445">
        <v>116.81189999999999</v>
      </c>
      <c r="K3445">
        <v>119.2109</v>
      </c>
      <c r="L3445">
        <v>131.73220000000001</v>
      </c>
      <c r="M3445">
        <v>51.686799999999998</v>
      </c>
      <c r="P3445">
        <v>73</v>
      </c>
      <c r="Q3445" t="s">
        <v>7234</v>
      </c>
    </row>
    <row r="3446" spans="1:17" x14ac:dyDescent="0.3">
      <c r="A3446" t="s">
        <v>4664</v>
      </c>
      <c r="B3446" t="str">
        <f>"002768"</f>
        <v>002768</v>
      </c>
      <c r="C3446" t="s">
        <v>7235</v>
      </c>
      <c r="D3446" t="s">
        <v>341</v>
      </c>
      <c r="F3446">
        <v>105.2136</v>
      </c>
      <c r="G3446">
        <v>118.785</v>
      </c>
      <c r="H3446">
        <v>143.44059999999999</v>
      </c>
      <c r="I3446">
        <v>115.756</v>
      </c>
      <c r="J3446">
        <v>118.61450000000001</v>
      </c>
      <c r="K3446">
        <v>120.5522</v>
      </c>
      <c r="L3446">
        <v>120.0474</v>
      </c>
      <c r="M3446">
        <v>46.449800000000003</v>
      </c>
      <c r="P3446">
        <v>595</v>
      </c>
      <c r="Q3446" t="s">
        <v>7236</v>
      </c>
    </row>
    <row r="3447" spans="1:17" x14ac:dyDescent="0.3">
      <c r="A3447" t="s">
        <v>4664</v>
      </c>
      <c r="B3447" t="str">
        <f>"002769"</f>
        <v>002769</v>
      </c>
      <c r="C3447" t="s">
        <v>7237</v>
      </c>
      <c r="D3447" t="s">
        <v>3098</v>
      </c>
      <c r="F3447">
        <v>31.8127</v>
      </c>
      <c r="G3447">
        <v>11.834300000000001</v>
      </c>
      <c r="H3447">
        <v>16.092099999999999</v>
      </c>
      <c r="I3447">
        <v>11.9815</v>
      </c>
      <c r="J3447">
        <v>8.7779000000000007</v>
      </c>
      <c r="K3447">
        <v>8.8903999999999996</v>
      </c>
      <c r="L3447">
        <v>21.6159</v>
      </c>
      <c r="M3447">
        <v>2.7791999999999999</v>
      </c>
      <c r="P3447">
        <v>96</v>
      </c>
      <c r="Q3447" t="s">
        <v>7238</v>
      </c>
    </row>
    <row r="3448" spans="1:17" x14ac:dyDescent="0.3">
      <c r="A3448" t="s">
        <v>4664</v>
      </c>
      <c r="B3448" t="str">
        <f>"002770"</f>
        <v>002770</v>
      </c>
      <c r="C3448" t="s">
        <v>7239</v>
      </c>
      <c r="D3448" t="s">
        <v>900</v>
      </c>
      <c r="F3448">
        <v>37.247500000000002</v>
      </c>
      <c r="G3448">
        <v>50.168900000000001</v>
      </c>
      <c r="H3448">
        <v>39.458599999999997</v>
      </c>
      <c r="I3448">
        <v>41.828800000000001</v>
      </c>
      <c r="J3448">
        <v>41.624400000000001</v>
      </c>
      <c r="K3448">
        <v>57.34</v>
      </c>
      <c r="L3448">
        <v>55.049900000000001</v>
      </c>
      <c r="M3448">
        <v>42.722000000000001</v>
      </c>
      <c r="P3448">
        <v>163</v>
      </c>
      <c r="Q3448" t="s">
        <v>7240</v>
      </c>
    </row>
    <row r="3449" spans="1:17" x14ac:dyDescent="0.3">
      <c r="A3449" t="s">
        <v>4664</v>
      </c>
      <c r="B3449" t="str">
        <f>"002771"</f>
        <v>002771</v>
      </c>
      <c r="C3449" t="s">
        <v>7241</v>
      </c>
      <c r="D3449" t="s">
        <v>316</v>
      </c>
      <c r="F3449">
        <v>412.24180000000001</v>
      </c>
      <c r="G3449">
        <v>373.93380000000002</v>
      </c>
      <c r="H3449">
        <v>279.1474</v>
      </c>
      <c r="I3449">
        <v>255.49080000000001</v>
      </c>
      <c r="J3449">
        <v>185.30090000000001</v>
      </c>
      <c r="K3449">
        <v>282.488</v>
      </c>
      <c r="L3449">
        <v>417.04270000000002</v>
      </c>
      <c r="M3449">
        <v>194.6592</v>
      </c>
      <c r="P3449">
        <v>95</v>
      </c>
      <c r="Q3449" t="s">
        <v>7242</v>
      </c>
    </row>
    <row r="3450" spans="1:17" x14ac:dyDescent="0.3">
      <c r="A3450" t="s">
        <v>4664</v>
      </c>
      <c r="B3450" t="str">
        <f>"002772"</f>
        <v>002772</v>
      </c>
      <c r="C3450" t="s">
        <v>7243</v>
      </c>
      <c r="D3450" t="s">
        <v>7244</v>
      </c>
      <c r="F3450">
        <v>108.1412</v>
      </c>
      <c r="G3450">
        <v>68.047700000000006</v>
      </c>
      <c r="H3450">
        <v>71.840199999999996</v>
      </c>
      <c r="I3450">
        <v>70.742800000000003</v>
      </c>
      <c r="J3450">
        <v>80.465000000000003</v>
      </c>
      <c r="K3450">
        <v>86.341300000000004</v>
      </c>
      <c r="L3450">
        <v>77.786299999999997</v>
      </c>
      <c r="M3450">
        <v>34.941000000000003</v>
      </c>
      <c r="P3450">
        <v>202</v>
      </c>
      <c r="Q3450" t="s">
        <v>7245</v>
      </c>
    </row>
    <row r="3451" spans="1:17" x14ac:dyDescent="0.3">
      <c r="A3451" t="s">
        <v>4664</v>
      </c>
      <c r="B3451" t="str">
        <f>"002773"</f>
        <v>002773</v>
      </c>
      <c r="C3451" t="s">
        <v>7246</v>
      </c>
      <c r="D3451" t="s">
        <v>143</v>
      </c>
      <c r="F3451">
        <v>333.11509999999998</v>
      </c>
      <c r="G3451">
        <v>400.21449999999999</v>
      </c>
      <c r="H3451">
        <v>486.52159999999998</v>
      </c>
      <c r="I3451">
        <v>443.57400000000001</v>
      </c>
      <c r="J3451">
        <v>273.11840000000001</v>
      </c>
      <c r="K3451">
        <v>249.05099999999999</v>
      </c>
      <c r="L3451">
        <v>247.5112</v>
      </c>
      <c r="M3451">
        <v>108.42400000000001</v>
      </c>
      <c r="P3451">
        <v>5281</v>
      </c>
      <c r="Q3451" t="s">
        <v>7247</v>
      </c>
    </row>
    <row r="3452" spans="1:17" x14ac:dyDescent="0.3">
      <c r="A3452" t="s">
        <v>4664</v>
      </c>
      <c r="B3452" t="str">
        <f>"002774"</f>
        <v>002774</v>
      </c>
      <c r="C3452" t="s">
        <v>7248</v>
      </c>
      <c r="D3452" t="s">
        <v>1689</v>
      </c>
      <c r="F3452">
        <v>164.95840000000001</v>
      </c>
      <c r="G3452">
        <v>292.48480000000001</v>
      </c>
      <c r="H3452">
        <v>270.07870000000003</v>
      </c>
      <c r="I3452">
        <v>179.11709999999999</v>
      </c>
      <c r="J3452">
        <v>199.64930000000001</v>
      </c>
      <c r="P3452">
        <v>77</v>
      </c>
      <c r="Q3452" t="s">
        <v>7249</v>
      </c>
    </row>
    <row r="3453" spans="1:17" x14ac:dyDescent="0.3">
      <c r="A3453" t="s">
        <v>4664</v>
      </c>
      <c r="B3453" t="str">
        <f>"002775"</f>
        <v>002775</v>
      </c>
      <c r="C3453" t="s">
        <v>7250</v>
      </c>
      <c r="D3453" t="s">
        <v>2408</v>
      </c>
      <c r="F3453">
        <v>89.509900000000002</v>
      </c>
      <c r="G3453">
        <v>100.3768</v>
      </c>
      <c r="H3453">
        <v>174.8622</v>
      </c>
      <c r="I3453">
        <v>191.19720000000001</v>
      </c>
      <c r="J3453">
        <v>181.68350000000001</v>
      </c>
      <c r="K3453">
        <v>375.48219999999998</v>
      </c>
      <c r="L3453">
        <v>467.67529999999999</v>
      </c>
      <c r="M3453">
        <v>203.399</v>
      </c>
      <c r="P3453">
        <v>218</v>
      </c>
      <c r="Q3453" t="s">
        <v>7251</v>
      </c>
    </row>
    <row r="3454" spans="1:17" x14ac:dyDescent="0.3">
      <c r="A3454" t="s">
        <v>4664</v>
      </c>
      <c r="B3454" t="str">
        <f>"002776"</f>
        <v>002776</v>
      </c>
      <c r="C3454" t="s">
        <v>7252</v>
      </c>
      <c r="D3454" t="s">
        <v>255</v>
      </c>
      <c r="F3454">
        <v>262.07659999999998</v>
      </c>
      <c r="G3454">
        <v>74.756100000000004</v>
      </c>
      <c r="H3454">
        <v>43.311999999999998</v>
      </c>
      <c r="I3454">
        <v>96.016400000000004</v>
      </c>
      <c r="J3454">
        <v>58.375799999999998</v>
      </c>
      <c r="K3454">
        <v>76.668999999999997</v>
      </c>
      <c r="L3454">
        <v>73.435699999999997</v>
      </c>
      <c r="M3454">
        <v>42.608499999999999</v>
      </c>
      <c r="P3454">
        <v>125</v>
      </c>
      <c r="Q3454" t="s">
        <v>7253</v>
      </c>
    </row>
    <row r="3455" spans="1:17" x14ac:dyDescent="0.3">
      <c r="A3455" t="s">
        <v>4664</v>
      </c>
      <c r="B3455" t="str">
        <f>"002777"</f>
        <v>002777</v>
      </c>
      <c r="C3455" t="s">
        <v>7254</v>
      </c>
      <c r="D3455" t="s">
        <v>316</v>
      </c>
      <c r="F3455">
        <v>458.59179999999998</v>
      </c>
      <c r="G3455">
        <v>605.4991</v>
      </c>
      <c r="H3455">
        <v>580.25689999999997</v>
      </c>
      <c r="I3455">
        <v>578.77279999999996</v>
      </c>
      <c r="J3455">
        <v>669.35289999999998</v>
      </c>
      <c r="K3455">
        <v>743.71969999999999</v>
      </c>
      <c r="L3455">
        <v>666.25300000000004</v>
      </c>
      <c r="M3455">
        <v>273.86529999999999</v>
      </c>
      <c r="P3455">
        <v>372</v>
      </c>
      <c r="Q3455" t="s">
        <v>7255</v>
      </c>
    </row>
    <row r="3456" spans="1:17" x14ac:dyDescent="0.3">
      <c r="A3456" t="s">
        <v>4664</v>
      </c>
      <c r="B3456" t="str">
        <f>"002778"</f>
        <v>002778</v>
      </c>
      <c r="C3456" t="s">
        <v>7256</v>
      </c>
      <c r="D3456" t="s">
        <v>1615</v>
      </c>
      <c r="F3456">
        <v>131.5154</v>
      </c>
      <c r="G3456">
        <v>122.00579999999999</v>
      </c>
      <c r="H3456">
        <v>134.02420000000001</v>
      </c>
      <c r="I3456">
        <v>132.63910000000001</v>
      </c>
      <c r="J3456">
        <v>130.5222</v>
      </c>
      <c r="K3456">
        <v>147.5915</v>
      </c>
      <c r="L3456">
        <v>137.12549999999999</v>
      </c>
      <c r="M3456">
        <v>38.878500000000003</v>
      </c>
      <c r="P3456">
        <v>75</v>
      </c>
      <c r="Q3456" t="s">
        <v>7257</v>
      </c>
    </row>
    <row r="3457" spans="1:17" x14ac:dyDescent="0.3">
      <c r="A3457" t="s">
        <v>4664</v>
      </c>
      <c r="B3457" t="str">
        <f>"002779"</f>
        <v>002779</v>
      </c>
      <c r="C3457" t="s">
        <v>7258</v>
      </c>
      <c r="D3457" t="s">
        <v>741</v>
      </c>
      <c r="F3457">
        <v>248.2167</v>
      </c>
      <c r="G3457">
        <v>239.6361</v>
      </c>
      <c r="H3457">
        <v>200.61519999999999</v>
      </c>
      <c r="I3457">
        <v>193.10849999999999</v>
      </c>
      <c r="J3457">
        <v>186.77760000000001</v>
      </c>
      <c r="K3457">
        <v>169.30779999999999</v>
      </c>
      <c r="L3457">
        <v>158.5659</v>
      </c>
      <c r="M3457">
        <v>75.901200000000003</v>
      </c>
      <c r="P3457">
        <v>54</v>
      </c>
      <c r="Q3457" t="s">
        <v>7259</v>
      </c>
    </row>
    <row r="3458" spans="1:17" x14ac:dyDescent="0.3">
      <c r="A3458" t="s">
        <v>4664</v>
      </c>
      <c r="B3458" t="str">
        <f>"002780"</f>
        <v>002780</v>
      </c>
      <c r="C3458" t="s">
        <v>7260</v>
      </c>
      <c r="D3458" t="s">
        <v>2990</v>
      </c>
      <c r="F3458">
        <v>497.95679999999999</v>
      </c>
      <c r="G3458">
        <v>639.62729999999999</v>
      </c>
      <c r="H3458">
        <v>530.03520000000003</v>
      </c>
      <c r="I3458">
        <v>480.6694</v>
      </c>
      <c r="J3458">
        <v>444.50909999999999</v>
      </c>
      <c r="K3458">
        <v>466.23149999999998</v>
      </c>
      <c r="L3458">
        <v>202.36349999999999</v>
      </c>
      <c r="M3458">
        <v>207.38900000000001</v>
      </c>
      <c r="P3458">
        <v>85</v>
      </c>
      <c r="Q3458" t="s">
        <v>7261</v>
      </c>
    </row>
    <row r="3459" spans="1:17" x14ac:dyDescent="0.3">
      <c r="A3459" t="s">
        <v>4664</v>
      </c>
      <c r="B3459" t="str">
        <f>"002781"</f>
        <v>002781</v>
      </c>
      <c r="C3459" t="s">
        <v>7262</v>
      </c>
      <c r="D3459" t="s">
        <v>450</v>
      </c>
      <c r="F3459">
        <v>169.20959999999999</v>
      </c>
      <c r="G3459">
        <v>29.214300000000001</v>
      </c>
      <c r="H3459">
        <v>48.725099999999998</v>
      </c>
      <c r="I3459">
        <v>25.807700000000001</v>
      </c>
      <c r="J3459">
        <v>26.9206</v>
      </c>
      <c r="K3459">
        <v>25.272400000000001</v>
      </c>
      <c r="P3459">
        <v>68</v>
      </c>
      <c r="Q3459" t="s">
        <v>7263</v>
      </c>
    </row>
    <row r="3460" spans="1:17" x14ac:dyDescent="0.3">
      <c r="A3460" t="s">
        <v>4664</v>
      </c>
      <c r="B3460" t="str">
        <f>"002782"</f>
        <v>002782</v>
      </c>
      <c r="C3460" t="s">
        <v>7264</v>
      </c>
      <c r="D3460" t="s">
        <v>313</v>
      </c>
      <c r="F3460">
        <v>95.474599999999995</v>
      </c>
      <c r="G3460">
        <v>65.876199999999997</v>
      </c>
      <c r="H3460">
        <v>76.8232</v>
      </c>
      <c r="I3460">
        <v>72.533100000000005</v>
      </c>
      <c r="J3460">
        <v>73.093800000000002</v>
      </c>
      <c r="K3460">
        <v>69.375100000000003</v>
      </c>
      <c r="P3460">
        <v>167</v>
      </c>
      <c r="Q3460" t="s">
        <v>7265</v>
      </c>
    </row>
    <row r="3461" spans="1:17" x14ac:dyDescent="0.3">
      <c r="A3461" t="s">
        <v>4664</v>
      </c>
      <c r="B3461" t="str">
        <f>"002783"</f>
        <v>002783</v>
      </c>
      <c r="C3461" t="s">
        <v>7266</v>
      </c>
      <c r="D3461" t="s">
        <v>2713</v>
      </c>
      <c r="F3461">
        <v>58.233800000000002</v>
      </c>
      <c r="G3461">
        <v>81.396100000000004</v>
      </c>
      <c r="H3461">
        <v>70.544600000000003</v>
      </c>
      <c r="I3461">
        <v>60.706000000000003</v>
      </c>
      <c r="J3461">
        <v>55.177999999999997</v>
      </c>
      <c r="K3461">
        <v>76.504599999999996</v>
      </c>
      <c r="P3461">
        <v>112</v>
      </c>
      <c r="Q3461" t="s">
        <v>7267</v>
      </c>
    </row>
    <row r="3462" spans="1:17" x14ac:dyDescent="0.3">
      <c r="A3462" t="s">
        <v>4664</v>
      </c>
      <c r="B3462" t="str">
        <f>"002785"</f>
        <v>002785</v>
      </c>
      <c r="C3462" t="s">
        <v>7268</v>
      </c>
      <c r="D3462" t="s">
        <v>722</v>
      </c>
      <c r="F3462">
        <v>79.238399999999999</v>
      </c>
      <c r="G3462">
        <v>139.27189999999999</v>
      </c>
      <c r="H3462">
        <v>135.50739999999999</v>
      </c>
      <c r="I3462">
        <v>123.8454</v>
      </c>
      <c r="J3462">
        <v>164.59270000000001</v>
      </c>
      <c r="K3462">
        <v>174.1584</v>
      </c>
      <c r="L3462">
        <v>176.93010000000001</v>
      </c>
      <c r="M3462">
        <v>78.763900000000007</v>
      </c>
      <c r="P3462">
        <v>57</v>
      </c>
      <c r="Q3462" t="s">
        <v>7269</v>
      </c>
    </row>
    <row r="3463" spans="1:17" x14ac:dyDescent="0.3">
      <c r="A3463" t="s">
        <v>4664</v>
      </c>
      <c r="B3463" t="str">
        <f>"002786"</f>
        <v>002786</v>
      </c>
      <c r="C3463" t="s">
        <v>7270</v>
      </c>
      <c r="D3463" t="s">
        <v>741</v>
      </c>
      <c r="F3463">
        <v>289.38319999999999</v>
      </c>
      <c r="G3463">
        <v>220.60929999999999</v>
      </c>
      <c r="H3463">
        <v>261.19929999999999</v>
      </c>
      <c r="I3463">
        <v>217.23400000000001</v>
      </c>
      <c r="J3463">
        <v>197.77940000000001</v>
      </c>
      <c r="K3463">
        <v>160.57939999999999</v>
      </c>
      <c r="L3463">
        <v>197.965</v>
      </c>
      <c r="M3463">
        <v>81.205799999999996</v>
      </c>
      <c r="P3463">
        <v>176</v>
      </c>
      <c r="Q3463" t="s">
        <v>7271</v>
      </c>
    </row>
    <row r="3464" spans="1:17" x14ac:dyDescent="0.3">
      <c r="A3464" t="s">
        <v>4664</v>
      </c>
      <c r="B3464" t="str">
        <f>"002787"</f>
        <v>002787</v>
      </c>
      <c r="C3464" t="s">
        <v>7272</v>
      </c>
      <c r="D3464" t="s">
        <v>2364</v>
      </c>
      <c r="F3464">
        <v>111.8485</v>
      </c>
      <c r="G3464">
        <v>107.9164</v>
      </c>
      <c r="H3464">
        <v>102.23050000000001</v>
      </c>
      <c r="I3464">
        <v>133.7876</v>
      </c>
      <c r="J3464">
        <v>113.02379999999999</v>
      </c>
      <c r="K3464">
        <v>109.67749999999999</v>
      </c>
      <c r="L3464">
        <v>110.348</v>
      </c>
      <c r="M3464">
        <v>47.889800000000001</v>
      </c>
      <c r="P3464">
        <v>102</v>
      </c>
      <c r="Q3464" t="s">
        <v>7273</v>
      </c>
    </row>
    <row r="3465" spans="1:17" x14ac:dyDescent="0.3">
      <c r="A3465" t="s">
        <v>4664</v>
      </c>
      <c r="B3465" t="str">
        <f>"002788"</f>
        <v>002788</v>
      </c>
      <c r="C3465" t="s">
        <v>7274</v>
      </c>
      <c r="D3465" t="s">
        <v>125</v>
      </c>
      <c r="F3465">
        <v>63.486699999999999</v>
      </c>
      <c r="G3465">
        <v>61.433799999999998</v>
      </c>
      <c r="H3465">
        <v>51.194000000000003</v>
      </c>
      <c r="I3465">
        <v>54.781599999999997</v>
      </c>
      <c r="J3465">
        <v>62.027500000000003</v>
      </c>
      <c r="K3465">
        <v>55.3536</v>
      </c>
      <c r="L3465">
        <v>43.919499999999999</v>
      </c>
      <c r="P3465">
        <v>162</v>
      </c>
      <c r="Q3465" t="s">
        <v>7275</v>
      </c>
    </row>
    <row r="3466" spans="1:17" x14ac:dyDescent="0.3">
      <c r="A3466" t="s">
        <v>4664</v>
      </c>
      <c r="B3466" t="str">
        <f>"002789"</f>
        <v>002789</v>
      </c>
      <c r="C3466" t="s">
        <v>7276</v>
      </c>
      <c r="D3466" t="s">
        <v>450</v>
      </c>
      <c r="F3466">
        <v>29.739000000000001</v>
      </c>
      <c r="G3466">
        <v>25.235800000000001</v>
      </c>
      <c r="H3466">
        <v>25.143999999999998</v>
      </c>
      <c r="I3466">
        <v>18.9693</v>
      </c>
      <c r="J3466">
        <v>16.6784</v>
      </c>
      <c r="K3466">
        <v>20.208100000000002</v>
      </c>
      <c r="L3466">
        <v>19.188800000000001</v>
      </c>
      <c r="P3466">
        <v>57</v>
      </c>
      <c r="Q3466" t="s">
        <v>7277</v>
      </c>
    </row>
    <row r="3467" spans="1:17" x14ac:dyDescent="0.3">
      <c r="A3467" t="s">
        <v>4664</v>
      </c>
      <c r="B3467" t="str">
        <f>"002790"</f>
        <v>002790</v>
      </c>
      <c r="C3467" t="s">
        <v>7278</v>
      </c>
      <c r="D3467" t="s">
        <v>2885</v>
      </c>
      <c r="F3467">
        <v>98.522099999999995</v>
      </c>
      <c r="G3467">
        <v>129.84469999999999</v>
      </c>
      <c r="H3467">
        <v>111.0543</v>
      </c>
      <c r="I3467">
        <v>109.2282</v>
      </c>
      <c r="J3467">
        <v>110.65309999999999</v>
      </c>
      <c r="K3467">
        <v>106.91459999999999</v>
      </c>
      <c r="L3467">
        <v>102.4033</v>
      </c>
      <c r="P3467">
        <v>138</v>
      </c>
      <c r="Q3467" t="s">
        <v>7279</v>
      </c>
    </row>
    <row r="3468" spans="1:17" x14ac:dyDescent="0.3">
      <c r="A3468" t="s">
        <v>4664</v>
      </c>
      <c r="B3468" t="str">
        <f>"002791"</f>
        <v>002791</v>
      </c>
      <c r="C3468" t="s">
        <v>7280</v>
      </c>
      <c r="D3468" t="s">
        <v>722</v>
      </c>
      <c r="F3468">
        <v>120.5283</v>
      </c>
      <c r="G3468">
        <v>151.15309999999999</v>
      </c>
      <c r="H3468">
        <v>159.78120000000001</v>
      </c>
      <c r="I3468">
        <v>174.94800000000001</v>
      </c>
      <c r="J3468">
        <v>162.72280000000001</v>
      </c>
      <c r="K3468">
        <v>148.17330000000001</v>
      </c>
      <c r="L3468">
        <v>156.67570000000001</v>
      </c>
      <c r="P3468">
        <v>552</v>
      </c>
      <c r="Q3468" t="s">
        <v>7281</v>
      </c>
    </row>
    <row r="3469" spans="1:17" x14ac:dyDescent="0.3">
      <c r="A3469" t="s">
        <v>4664</v>
      </c>
      <c r="B3469" t="str">
        <f>"002792"</f>
        <v>002792</v>
      </c>
      <c r="C3469" t="s">
        <v>7282</v>
      </c>
      <c r="D3469" t="s">
        <v>1019</v>
      </c>
      <c r="F3469">
        <v>130.63480000000001</v>
      </c>
      <c r="G3469">
        <v>155.9315</v>
      </c>
      <c r="H3469">
        <v>154.80770000000001</v>
      </c>
      <c r="I3469">
        <v>194.62379999999999</v>
      </c>
      <c r="J3469">
        <v>167.35130000000001</v>
      </c>
      <c r="K3469">
        <v>209.5872</v>
      </c>
      <c r="L3469">
        <v>219.4477</v>
      </c>
      <c r="P3469">
        <v>343</v>
      </c>
      <c r="Q3469" t="s">
        <v>7283</v>
      </c>
    </row>
    <row r="3470" spans="1:17" x14ac:dyDescent="0.3">
      <c r="A3470" t="s">
        <v>4664</v>
      </c>
      <c r="B3470" t="str">
        <f>"002793"</f>
        <v>002793</v>
      </c>
      <c r="C3470" t="s">
        <v>7284</v>
      </c>
      <c r="D3470" t="s">
        <v>143</v>
      </c>
      <c r="F3470">
        <v>99.28</v>
      </c>
      <c r="G3470">
        <v>135.23759999999999</v>
      </c>
      <c r="H3470">
        <v>129.84440000000001</v>
      </c>
      <c r="I3470">
        <v>148.3734</v>
      </c>
      <c r="J3470">
        <v>128.05099999999999</v>
      </c>
      <c r="K3470">
        <v>133.3038</v>
      </c>
      <c r="L3470">
        <v>58.000999999999998</v>
      </c>
      <c r="P3470">
        <v>213</v>
      </c>
      <c r="Q3470" t="s">
        <v>7285</v>
      </c>
    </row>
    <row r="3471" spans="1:17" x14ac:dyDescent="0.3">
      <c r="A3471" t="s">
        <v>4664</v>
      </c>
      <c r="B3471" t="str">
        <f>"002795"</f>
        <v>002795</v>
      </c>
      <c r="C3471" t="s">
        <v>7286</v>
      </c>
      <c r="D3471" t="s">
        <v>274</v>
      </c>
      <c r="F3471">
        <v>140.7114</v>
      </c>
      <c r="G3471">
        <v>184.97239999999999</v>
      </c>
      <c r="H3471">
        <v>155.87209999999999</v>
      </c>
      <c r="I3471">
        <v>133.80289999999999</v>
      </c>
      <c r="J3471">
        <v>142.23400000000001</v>
      </c>
      <c r="K3471">
        <v>135.5727</v>
      </c>
      <c r="L3471">
        <v>75.935900000000004</v>
      </c>
      <c r="P3471">
        <v>73</v>
      </c>
      <c r="Q3471" t="s">
        <v>7287</v>
      </c>
    </row>
    <row r="3472" spans="1:17" x14ac:dyDescent="0.3">
      <c r="A3472" t="s">
        <v>4664</v>
      </c>
      <c r="B3472" t="str">
        <f>"002796"</f>
        <v>002796</v>
      </c>
      <c r="C3472" t="s">
        <v>7288</v>
      </c>
      <c r="D3472" t="s">
        <v>1689</v>
      </c>
      <c r="F3472">
        <v>85.975800000000007</v>
      </c>
      <c r="G3472">
        <v>73.089100000000002</v>
      </c>
      <c r="H3472">
        <v>68.494100000000003</v>
      </c>
      <c r="I3472">
        <v>53.163600000000002</v>
      </c>
      <c r="J3472">
        <v>41.053899999999999</v>
      </c>
      <c r="K3472">
        <v>36.020499999999998</v>
      </c>
      <c r="L3472">
        <v>16.498000000000001</v>
      </c>
      <c r="P3472">
        <v>248</v>
      </c>
      <c r="Q3472" t="s">
        <v>7289</v>
      </c>
    </row>
    <row r="3473" spans="1:17" x14ac:dyDescent="0.3">
      <c r="A3473" t="s">
        <v>4664</v>
      </c>
      <c r="B3473" t="str">
        <f>"002797"</f>
        <v>002797</v>
      </c>
      <c r="C3473" t="s">
        <v>7290</v>
      </c>
      <c r="D3473" t="s">
        <v>80</v>
      </c>
      <c r="P3473">
        <v>838</v>
      </c>
      <c r="Q3473" t="s">
        <v>7291</v>
      </c>
    </row>
    <row r="3474" spans="1:17" x14ac:dyDescent="0.3">
      <c r="A3474" t="s">
        <v>4664</v>
      </c>
      <c r="B3474" t="str">
        <f>"002798"</f>
        <v>002798</v>
      </c>
      <c r="C3474" t="s">
        <v>7292</v>
      </c>
      <c r="D3474" t="s">
        <v>178</v>
      </c>
      <c r="F3474">
        <v>107.8112</v>
      </c>
      <c r="G3474">
        <v>105.6786</v>
      </c>
      <c r="H3474">
        <v>86.785499999999999</v>
      </c>
      <c r="I3474">
        <v>50.602200000000003</v>
      </c>
      <c r="J3474">
        <v>144.54759999999999</v>
      </c>
      <c r="K3474">
        <v>171.59350000000001</v>
      </c>
      <c r="L3474">
        <v>88.465299999999999</v>
      </c>
      <c r="P3474">
        <v>374</v>
      </c>
      <c r="Q3474" t="s">
        <v>7293</v>
      </c>
    </row>
    <row r="3475" spans="1:17" x14ac:dyDescent="0.3">
      <c r="A3475" t="s">
        <v>4664</v>
      </c>
      <c r="B3475" t="str">
        <f>"002799"</f>
        <v>002799</v>
      </c>
      <c r="C3475" t="s">
        <v>7294</v>
      </c>
      <c r="D3475" t="s">
        <v>2156</v>
      </c>
      <c r="F3475">
        <v>17.4468</v>
      </c>
      <c r="G3475">
        <v>27.433700000000002</v>
      </c>
      <c r="H3475">
        <v>40.939900000000002</v>
      </c>
      <c r="I3475">
        <v>98.49</v>
      </c>
      <c r="J3475">
        <v>97.720500000000001</v>
      </c>
      <c r="K3475">
        <v>88.064800000000005</v>
      </c>
      <c r="L3475">
        <v>38.421900000000001</v>
      </c>
      <c r="P3475">
        <v>109</v>
      </c>
      <c r="Q3475" t="s">
        <v>7295</v>
      </c>
    </row>
    <row r="3476" spans="1:17" x14ac:dyDescent="0.3">
      <c r="A3476" t="s">
        <v>4664</v>
      </c>
      <c r="B3476" t="str">
        <f>"002800"</f>
        <v>002800</v>
      </c>
      <c r="C3476" t="s">
        <v>7296</v>
      </c>
      <c r="D3476" t="s">
        <v>2492</v>
      </c>
      <c r="F3476">
        <v>39.670099999999998</v>
      </c>
      <c r="G3476">
        <v>33.433399999999999</v>
      </c>
      <c r="H3476">
        <v>35.644199999999998</v>
      </c>
      <c r="I3476">
        <v>46.9253</v>
      </c>
      <c r="J3476">
        <v>18.8904</v>
      </c>
      <c r="K3476">
        <v>8.4331999999999994</v>
      </c>
      <c r="L3476">
        <v>8.2662999999999993</v>
      </c>
      <c r="P3476">
        <v>86</v>
      </c>
      <c r="Q3476" t="s">
        <v>7297</v>
      </c>
    </row>
    <row r="3477" spans="1:17" x14ac:dyDescent="0.3">
      <c r="A3477" t="s">
        <v>4664</v>
      </c>
      <c r="B3477" t="str">
        <f>"002801"</f>
        <v>002801</v>
      </c>
      <c r="C3477" t="s">
        <v>7298</v>
      </c>
      <c r="D3477" t="s">
        <v>1171</v>
      </c>
      <c r="F3477">
        <v>86.079800000000006</v>
      </c>
      <c r="G3477">
        <v>99.905900000000003</v>
      </c>
      <c r="H3477">
        <v>74.305099999999996</v>
      </c>
      <c r="I3477">
        <v>74.202799999999996</v>
      </c>
      <c r="J3477">
        <v>52.803800000000003</v>
      </c>
      <c r="K3477">
        <v>59.851900000000001</v>
      </c>
      <c r="L3477">
        <v>23.4802</v>
      </c>
      <c r="P3477">
        <v>201</v>
      </c>
      <c r="Q3477" t="s">
        <v>7299</v>
      </c>
    </row>
    <row r="3478" spans="1:17" x14ac:dyDescent="0.3">
      <c r="A3478" t="s">
        <v>4664</v>
      </c>
      <c r="B3478" t="str">
        <f>"002802"</f>
        <v>002802</v>
      </c>
      <c r="C3478" t="s">
        <v>7300</v>
      </c>
      <c r="D3478" t="s">
        <v>386</v>
      </c>
      <c r="F3478">
        <v>29.267900000000001</v>
      </c>
      <c r="G3478">
        <v>42.582599999999999</v>
      </c>
      <c r="H3478">
        <v>43.519799999999996</v>
      </c>
      <c r="I3478">
        <v>39.863700000000001</v>
      </c>
      <c r="J3478">
        <v>37.2562</v>
      </c>
      <c r="K3478">
        <v>34.1755</v>
      </c>
      <c r="L3478">
        <v>27.532299999999999</v>
      </c>
      <c r="P3478">
        <v>102</v>
      </c>
      <c r="Q3478" t="s">
        <v>7301</v>
      </c>
    </row>
    <row r="3479" spans="1:17" x14ac:dyDescent="0.3">
      <c r="A3479" t="s">
        <v>4664</v>
      </c>
      <c r="B3479" t="str">
        <f>"002803"</f>
        <v>002803</v>
      </c>
      <c r="C3479" t="s">
        <v>7302</v>
      </c>
      <c r="D3479" t="s">
        <v>2014</v>
      </c>
      <c r="F3479">
        <v>50.542200000000001</v>
      </c>
      <c r="G3479">
        <v>66.361699999999999</v>
      </c>
      <c r="H3479">
        <v>64.655000000000001</v>
      </c>
      <c r="I3479">
        <v>64.709800000000001</v>
      </c>
      <c r="J3479">
        <v>71.631200000000007</v>
      </c>
      <c r="K3479">
        <v>65.610900000000001</v>
      </c>
      <c r="L3479">
        <v>32.325299999999999</v>
      </c>
      <c r="P3479">
        <v>601</v>
      </c>
      <c r="Q3479" t="s">
        <v>7303</v>
      </c>
    </row>
    <row r="3480" spans="1:17" x14ac:dyDescent="0.3">
      <c r="A3480" t="s">
        <v>4664</v>
      </c>
      <c r="B3480" t="str">
        <f>"002805"</f>
        <v>002805</v>
      </c>
      <c r="C3480" t="s">
        <v>7304</v>
      </c>
      <c r="D3480" t="s">
        <v>1233</v>
      </c>
      <c r="F3480">
        <v>112.64709999999999</v>
      </c>
      <c r="G3480">
        <v>257.26260000000002</v>
      </c>
      <c r="H3480">
        <v>188.2466</v>
      </c>
      <c r="I3480">
        <v>265.71780000000001</v>
      </c>
      <c r="J3480">
        <v>187.5788</v>
      </c>
      <c r="K3480">
        <v>183.1215</v>
      </c>
      <c r="L3480">
        <v>71.654499999999999</v>
      </c>
      <c r="P3480">
        <v>113</v>
      </c>
      <c r="Q3480" t="s">
        <v>7305</v>
      </c>
    </row>
    <row r="3481" spans="1:17" x14ac:dyDescent="0.3">
      <c r="A3481" t="s">
        <v>4664</v>
      </c>
      <c r="B3481" t="str">
        <f>"002806"</f>
        <v>002806</v>
      </c>
      <c r="C3481" t="s">
        <v>7306</v>
      </c>
      <c r="D3481" t="s">
        <v>504</v>
      </c>
      <c r="F3481">
        <v>86.143299999999996</v>
      </c>
      <c r="G3481">
        <v>153.3347</v>
      </c>
      <c r="H3481">
        <v>126.65470000000001</v>
      </c>
      <c r="I3481">
        <v>102.8626</v>
      </c>
      <c r="J3481">
        <v>91.703900000000004</v>
      </c>
      <c r="K3481">
        <v>107.986</v>
      </c>
      <c r="L3481">
        <v>61.113999999999997</v>
      </c>
      <c r="P3481">
        <v>100</v>
      </c>
      <c r="Q3481" t="s">
        <v>7307</v>
      </c>
    </row>
    <row r="3482" spans="1:17" x14ac:dyDescent="0.3">
      <c r="A3482" t="s">
        <v>4664</v>
      </c>
      <c r="B3482" t="str">
        <f>"002807"</f>
        <v>002807</v>
      </c>
      <c r="C3482" t="s">
        <v>7308</v>
      </c>
      <c r="D3482" t="s">
        <v>1827</v>
      </c>
      <c r="P3482">
        <v>571</v>
      </c>
      <c r="Q3482" t="s">
        <v>7309</v>
      </c>
    </row>
    <row r="3483" spans="1:17" x14ac:dyDescent="0.3">
      <c r="A3483" t="s">
        <v>4664</v>
      </c>
      <c r="B3483" t="str">
        <f>"002808"</f>
        <v>002808</v>
      </c>
      <c r="C3483" t="s">
        <v>7310</v>
      </c>
      <c r="D3483" t="s">
        <v>164</v>
      </c>
      <c r="F3483">
        <v>202.14519999999999</v>
      </c>
      <c r="G3483">
        <v>155.97880000000001</v>
      </c>
      <c r="H3483">
        <v>216.9716</v>
      </c>
      <c r="I3483">
        <v>215.11240000000001</v>
      </c>
      <c r="J3483">
        <v>140.0823</v>
      </c>
      <c r="K3483">
        <v>138.47620000000001</v>
      </c>
      <c r="L3483">
        <v>60.478900000000003</v>
      </c>
      <c r="P3483">
        <v>73</v>
      </c>
      <c r="Q3483" t="s">
        <v>7311</v>
      </c>
    </row>
    <row r="3484" spans="1:17" x14ac:dyDescent="0.3">
      <c r="A3484" t="s">
        <v>4664</v>
      </c>
      <c r="B3484" t="str">
        <f>"002809"</f>
        <v>002809</v>
      </c>
      <c r="C3484" t="s">
        <v>7312</v>
      </c>
      <c r="D3484" t="s">
        <v>386</v>
      </c>
      <c r="F3484">
        <v>34.255600000000001</v>
      </c>
      <c r="G3484">
        <v>41.127000000000002</v>
      </c>
      <c r="H3484">
        <v>39.440300000000001</v>
      </c>
      <c r="I3484">
        <v>33.292999999999999</v>
      </c>
      <c r="J3484">
        <v>39.265999999999998</v>
      </c>
      <c r="K3484">
        <v>45.738999999999997</v>
      </c>
      <c r="L3484">
        <v>28.2669</v>
      </c>
      <c r="P3484">
        <v>99</v>
      </c>
      <c r="Q3484" t="s">
        <v>7313</v>
      </c>
    </row>
    <row r="3485" spans="1:17" x14ac:dyDescent="0.3">
      <c r="A3485" t="s">
        <v>4664</v>
      </c>
      <c r="B3485" t="str">
        <f>"002810"</f>
        <v>002810</v>
      </c>
      <c r="C3485" t="s">
        <v>7314</v>
      </c>
      <c r="D3485" t="s">
        <v>386</v>
      </c>
      <c r="F3485">
        <v>70.658299999999997</v>
      </c>
      <c r="G3485">
        <v>79.858599999999996</v>
      </c>
      <c r="H3485">
        <v>94.187799999999996</v>
      </c>
      <c r="I3485">
        <v>97.729299999999995</v>
      </c>
      <c r="J3485">
        <v>114.05159999999999</v>
      </c>
      <c r="K3485">
        <v>129.21889999999999</v>
      </c>
      <c r="L3485">
        <v>45.205399999999997</v>
      </c>
      <c r="P3485">
        <v>419</v>
      </c>
      <c r="Q3485" t="s">
        <v>7315</v>
      </c>
    </row>
    <row r="3486" spans="1:17" x14ac:dyDescent="0.3">
      <c r="A3486" t="s">
        <v>4664</v>
      </c>
      <c r="B3486" t="str">
        <f>"002811"</f>
        <v>002811</v>
      </c>
      <c r="C3486" t="s">
        <v>7316</v>
      </c>
      <c r="D3486" t="s">
        <v>450</v>
      </c>
      <c r="F3486">
        <v>23.957999999999998</v>
      </c>
      <c r="G3486">
        <v>29.339600000000001</v>
      </c>
      <c r="H3486">
        <v>31.844999999999999</v>
      </c>
      <c r="I3486">
        <v>14.3042</v>
      </c>
      <c r="J3486">
        <v>12.512499999999999</v>
      </c>
      <c r="K3486">
        <v>13.4556</v>
      </c>
      <c r="L3486">
        <v>6.6817000000000002</v>
      </c>
      <c r="P3486">
        <v>95</v>
      </c>
      <c r="Q3486" t="s">
        <v>7317</v>
      </c>
    </row>
    <row r="3487" spans="1:17" x14ac:dyDescent="0.3">
      <c r="A3487" t="s">
        <v>4664</v>
      </c>
      <c r="B3487" t="str">
        <f>"002812"</f>
        <v>002812</v>
      </c>
      <c r="C3487" t="s">
        <v>7318</v>
      </c>
      <c r="D3487" t="s">
        <v>1786</v>
      </c>
      <c r="F3487">
        <v>183.23840000000001</v>
      </c>
      <c r="G3487">
        <v>217.31180000000001</v>
      </c>
      <c r="H3487">
        <v>177.61369999999999</v>
      </c>
      <c r="I3487">
        <v>128.738</v>
      </c>
      <c r="J3487">
        <v>108.4128</v>
      </c>
      <c r="K3487">
        <v>122.1336</v>
      </c>
      <c r="L3487">
        <v>53.658700000000003</v>
      </c>
      <c r="P3487">
        <v>1583</v>
      </c>
      <c r="Q3487" t="s">
        <v>7319</v>
      </c>
    </row>
    <row r="3488" spans="1:17" x14ac:dyDescent="0.3">
      <c r="A3488" t="s">
        <v>4664</v>
      </c>
      <c r="B3488" t="str">
        <f>"002813"</f>
        <v>002813</v>
      </c>
      <c r="C3488" t="s">
        <v>7320</v>
      </c>
      <c r="D3488" t="s">
        <v>1415</v>
      </c>
      <c r="F3488">
        <v>120.8197</v>
      </c>
      <c r="G3488">
        <v>124.1645</v>
      </c>
      <c r="H3488">
        <v>307.71429999999998</v>
      </c>
      <c r="I3488">
        <v>357.94830000000002</v>
      </c>
      <c r="J3488">
        <v>251.01679999999999</v>
      </c>
      <c r="K3488">
        <v>173.96549999999999</v>
      </c>
      <c r="L3488">
        <v>87.350499999999997</v>
      </c>
      <c r="P3488">
        <v>113</v>
      </c>
      <c r="Q3488" t="s">
        <v>7321</v>
      </c>
    </row>
    <row r="3489" spans="1:17" x14ac:dyDescent="0.3">
      <c r="A3489" t="s">
        <v>4664</v>
      </c>
      <c r="B3489" t="str">
        <f>"002815"</f>
        <v>002815</v>
      </c>
      <c r="C3489" t="s">
        <v>7322</v>
      </c>
      <c r="D3489" t="s">
        <v>425</v>
      </c>
      <c r="F3489">
        <v>76.790999999999997</v>
      </c>
      <c r="G3489">
        <v>60.739400000000003</v>
      </c>
      <c r="H3489">
        <v>62.574399999999997</v>
      </c>
      <c r="I3489">
        <v>61.386899999999997</v>
      </c>
      <c r="J3489">
        <v>60.852600000000002</v>
      </c>
      <c r="K3489">
        <v>58.142099999999999</v>
      </c>
      <c r="L3489">
        <v>23.785900000000002</v>
      </c>
      <c r="P3489">
        <v>919</v>
      </c>
      <c r="Q3489" t="s">
        <v>7323</v>
      </c>
    </row>
    <row r="3490" spans="1:17" x14ac:dyDescent="0.3">
      <c r="A3490" t="s">
        <v>4664</v>
      </c>
      <c r="B3490" t="str">
        <f>"002816"</f>
        <v>002816</v>
      </c>
      <c r="C3490" t="s">
        <v>7324</v>
      </c>
      <c r="D3490" t="s">
        <v>741</v>
      </c>
      <c r="F3490">
        <v>723.06790000000001</v>
      </c>
      <c r="G3490">
        <v>823.66129999999998</v>
      </c>
      <c r="H3490">
        <v>909.33299999999997</v>
      </c>
      <c r="I3490">
        <v>441.67250000000001</v>
      </c>
      <c r="J3490">
        <v>303.34210000000002</v>
      </c>
      <c r="K3490">
        <v>276.44900000000001</v>
      </c>
      <c r="L3490">
        <v>130.3904</v>
      </c>
      <c r="P3490">
        <v>46</v>
      </c>
      <c r="Q3490" t="s">
        <v>7325</v>
      </c>
    </row>
    <row r="3491" spans="1:17" x14ac:dyDescent="0.3">
      <c r="A3491" t="s">
        <v>4664</v>
      </c>
      <c r="B3491" t="str">
        <f>"002817"</f>
        <v>002817</v>
      </c>
      <c r="C3491" t="s">
        <v>7326</v>
      </c>
      <c r="D3491" t="s">
        <v>1077</v>
      </c>
      <c r="F3491">
        <v>169.9992</v>
      </c>
      <c r="G3491">
        <v>211.61179999999999</v>
      </c>
      <c r="H3491">
        <v>153.52000000000001</v>
      </c>
      <c r="I3491">
        <v>162.6182</v>
      </c>
      <c r="J3491">
        <v>151.6798</v>
      </c>
      <c r="K3491">
        <v>133.94990000000001</v>
      </c>
      <c r="L3491">
        <v>42.932899999999997</v>
      </c>
      <c r="P3491">
        <v>126</v>
      </c>
      <c r="Q3491" t="s">
        <v>7327</v>
      </c>
    </row>
    <row r="3492" spans="1:17" x14ac:dyDescent="0.3">
      <c r="A3492" t="s">
        <v>4664</v>
      </c>
      <c r="B3492" t="str">
        <f>"002818"</f>
        <v>002818</v>
      </c>
      <c r="C3492" t="s">
        <v>7328</v>
      </c>
      <c r="D3492" t="s">
        <v>271</v>
      </c>
      <c r="F3492">
        <v>213.59710000000001</v>
      </c>
      <c r="G3492">
        <v>213.0016</v>
      </c>
      <c r="H3492">
        <v>176.00620000000001</v>
      </c>
      <c r="I3492">
        <v>0</v>
      </c>
      <c r="J3492">
        <v>0</v>
      </c>
      <c r="K3492">
        <v>0</v>
      </c>
      <c r="L3492">
        <v>0</v>
      </c>
      <c r="P3492">
        <v>868</v>
      </c>
      <c r="Q3492" t="s">
        <v>7329</v>
      </c>
    </row>
    <row r="3493" spans="1:17" x14ac:dyDescent="0.3">
      <c r="A3493" t="s">
        <v>4664</v>
      </c>
      <c r="B3493" t="str">
        <f>"002819"</f>
        <v>002819</v>
      </c>
      <c r="C3493" t="s">
        <v>7330</v>
      </c>
      <c r="D3493" t="s">
        <v>2551</v>
      </c>
      <c r="F3493">
        <v>43.926499999999997</v>
      </c>
      <c r="G3493">
        <v>61.604399999999998</v>
      </c>
      <c r="H3493">
        <v>50.566600000000001</v>
      </c>
      <c r="I3493">
        <v>45.741199999999999</v>
      </c>
      <c r="J3493">
        <v>42.291699999999999</v>
      </c>
      <c r="K3493">
        <v>37.842199999999998</v>
      </c>
      <c r="L3493">
        <v>18.3705</v>
      </c>
      <c r="P3493">
        <v>139</v>
      </c>
      <c r="Q3493" t="s">
        <v>7331</v>
      </c>
    </row>
    <row r="3494" spans="1:17" x14ac:dyDescent="0.3">
      <c r="A3494" t="s">
        <v>4664</v>
      </c>
      <c r="B3494" t="str">
        <f>"002820"</f>
        <v>002820</v>
      </c>
      <c r="C3494" t="s">
        <v>7332</v>
      </c>
      <c r="D3494" t="s">
        <v>2479</v>
      </c>
      <c r="F3494">
        <v>90.116799999999998</v>
      </c>
      <c r="G3494">
        <v>131.0352</v>
      </c>
      <c r="H3494">
        <v>80.715000000000003</v>
      </c>
      <c r="I3494">
        <v>68.835899999999995</v>
      </c>
      <c r="J3494">
        <v>64.3262</v>
      </c>
      <c r="K3494">
        <v>56.234200000000001</v>
      </c>
      <c r="L3494">
        <v>31.210799999999999</v>
      </c>
      <c r="P3494">
        <v>146</v>
      </c>
      <c r="Q3494" t="s">
        <v>7333</v>
      </c>
    </row>
    <row r="3495" spans="1:17" x14ac:dyDescent="0.3">
      <c r="A3495" t="s">
        <v>4664</v>
      </c>
      <c r="B3495" t="str">
        <f>"002821"</f>
        <v>002821</v>
      </c>
      <c r="C3495" t="s">
        <v>7334</v>
      </c>
      <c r="D3495" t="s">
        <v>1461</v>
      </c>
      <c r="F3495">
        <v>202.32939999999999</v>
      </c>
      <c r="G3495">
        <v>187.94409999999999</v>
      </c>
      <c r="H3495">
        <v>162.84450000000001</v>
      </c>
      <c r="I3495">
        <v>178.095</v>
      </c>
      <c r="J3495">
        <v>204.99080000000001</v>
      </c>
      <c r="K3495">
        <v>185.81270000000001</v>
      </c>
      <c r="L3495">
        <v>82.491399999999999</v>
      </c>
      <c r="P3495">
        <v>2412</v>
      </c>
      <c r="Q3495" t="s">
        <v>7335</v>
      </c>
    </row>
    <row r="3496" spans="1:17" x14ac:dyDescent="0.3">
      <c r="A3496" t="s">
        <v>4664</v>
      </c>
      <c r="B3496" t="str">
        <f>"002822"</f>
        <v>002822</v>
      </c>
      <c r="C3496" t="s">
        <v>7336</v>
      </c>
      <c r="D3496" t="s">
        <v>450</v>
      </c>
      <c r="F3496">
        <v>39.837200000000003</v>
      </c>
      <c r="G3496">
        <v>26.2775</v>
      </c>
      <c r="H3496">
        <v>25.037400000000002</v>
      </c>
      <c r="I3496">
        <v>20.880700000000001</v>
      </c>
      <c r="J3496">
        <v>16.499099999999999</v>
      </c>
      <c r="K3496">
        <v>14.7211</v>
      </c>
      <c r="L3496">
        <v>6.7331000000000003</v>
      </c>
      <c r="P3496">
        <v>134</v>
      </c>
      <c r="Q3496" t="s">
        <v>7337</v>
      </c>
    </row>
    <row r="3497" spans="1:17" x14ac:dyDescent="0.3">
      <c r="A3497" t="s">
        <v>4664</v>
      </c>
      <c r="B3497" t="str">
        <f>"002823"</f>
        <v>002823</v>
      </c>
      <c r="C3497" t="s">
        <v>7338</v>
      </c>
      <c r="D3497" t="s">
        <v>1171</v>
      </c>
      <c r="F3497">
        <v>105.98399999999999</v>
      </c>
      <c r="G3497">
        <v>117.78400000000001</v>
      </c>
      <c r="H3497">
        <v>106.81570000000001</v>
      </c>
      <c r="I3497">
        <v>99.867199999999997</v>
      </c>
      <c r="J3497">
        <v>85.162000000000006</v>
      </c>
      <c r="K3497">
        <v>39.379600000000003</v>
      </c>
      <c r="P3497">
        <v>158</v>
      </c>
      <c r="Q3497" t="s">
        <v>7339</v>
      </c>
    </row>
    <row r="3498" spans="1:17" x14ac:dyDescent="0.3">
      <c r="A3498" t="s">
        <v>4664</v>
      </c>
      <c r="B3498" t="str">
        <f>"002824"</f>
        <v>002824</v>
      </c>
      <c r="C3498" t="s">
        <v>7340</v>
      </c>
      <c r="D3498" t="s">
        <v>504</v>
      </c>
      <c r="F3498">
        <v>73.156599999999997</v>
      </c>
      <c r="G3498">
        <v>115.90309999999999</v>
      </c>
      <c r="H3498">
        <v>113.4568</v>
      </c>
      <c r="I3498">
        <v>98.383200000000002</v>
      </c>
      <c r="J3498">
        <v>98.077699999999993</v>
      </c>
      <c r="K3498">
        <v>95.5501</v>
      </c>
      <c r="L3498">
        <v>44.534999999999997</v>
      </c>
      <c r="P3498">
        <v>167</v>
      </c>
      <c r="Q3498" t="s">
        <v>7341</v>
      </c>
    </row>
    <row r="3499" spans="1:17" x14ac:dyDescent="0.3">
      <c r="A3499" t="s">
        <v>4664</v>
      </c>
      <c r="B3499" t="str">
        <f>"002825"</f>
        <v>002825</v>
      </c>
      <c r="C3499" t="s">
        <v>7342</v>
      </c>
      <c r="D3499" t="s">
        <v>1192</v>
      </c>
      <c r="F3499">
        <v>77.829800000000006</v>
      </c>
      <c r="G3499">
        <v>76.962999999999994</v>
      </c>
      <c r="H3499">
        <v>75.507900000000006</v>
      </c>
      <c r="I3499">
        <v>61.352400000000003</v>
      </c>
      <c r="J3499">
        <v>58.996099999999998</v>
      </c>
      <c r="K3499">
        <v>59.4283</v>
      </c>
      <c r="L3499">
        <v>34.3932</v>
      </c>
      <c r="P3499">
        <v>100</v>
      </c>
      <c r="Q3499" t="s">
        <v>7343</v>
      </c>
    </row>
    <row r="3500" spans="1:17" x14ac:dyDescent="0.3">
      <c r="A3500" t="s">
        <v>4664</v>
      </c>
      <c r="B3500" t="str">
        <f>"002826"</f>
        <v>002826</v>
      </c>
      <c r="C3500" t="s">
        <v>7344</v>
      </c>
      <c r="D3500" t="s">
        <v>143</v>
      </c>
      <c r="F3500">
        <v>27.2834</v>
      </c>
      <c r="G3500">
        <v>38.459099999999999</v>
      </c>
      <c r="H3500">
        <v>44.768500000000003</v>
      </c>
      <c r="I3500">
        <v>93.503699999999995</v>
      </c>
      <c r="J3500">
        <v>201.71350000000001</v>
      </c>
      <c r="K3500">
        <v>89.959100000000007</v>
      </c>
      <c r="P3500">
        <v>127</v>
      </c>
      <c r="Q3500" t="s">
        <v>7345</v>
      </c>
    </row>
    <row r="3501" spans="1:17" x14ac:dyDescent="0.3">
      <c r="A3501" t="s">
        <v>4664</v>
      </c>
      <c r="B3501" t="str">
        <f>"002827"</f>
        <v>002827</v>
      </c>
      <c r="C3501" t="s">
        <v>7346</v>
      </c>
      <c r="D3501" t="s">
        <v>2713</v>
      </c>
      <c r="F3501">
        <v>23.647200000000002</v>
      </c>
      <c r="G3501">
        <v>24.4023</v>
      </c>
      <c r="H3501">
        <v>40.385399999999997</v>
      </c>
      <c r="I3501">
        <v>46.642499999999998</v>
      </c>
      <c r="J3501">
        <v>42.479599999999998</v>
      </c>
      <c r="K3501">
        <v>37.250500000000002</v>
      </c>
      <c r="L3501">
        <v>34.9923</v>
      </c>
      <c r="P3501">
        <v>89</v>
      </c>
      <c r="Q3501" t="s">
        <v>7347</v>
      </c>
    </row>
    <row r="3502" spans="1:17" x14ac:dyDescent="0.3">
      <c r="A3502" t="s">
        <v>4664</v>
      </c>
      <c r="B3502" t="str">
        <f>"002828"</f>
        <v>002828</v>
      </c>
      <c r="C3502" t="s">
        <v>7348</v>
      </c>
      <c r="D3502" t="s">
        <v>1758</v>
      </c>
      <c r="F3502">
        <v>84.765500000000003</v>
      </c>
      <c r="G3502">
        <v>168.79929999999999</v>
      </c>
      <c r="H3502">
        <v>130.86799999999999</v>
      </c>
      <c r="I3502">
        <v>149.67009999999999</v>
      </c>
      <c r="J3502">
        <v>83.5</v>
      </c>
      <c r="K3502">
        <v>73.637100000000004</v>
      </c>
      <c r="L3502">
        <v>51.821800000000003</v>
      </c>
      <c r="P3502">
        <v>73</v>
      </c>
      <c r="Q3502" t="s">
        <v>7349</v>
      </c>
    </row>
    <row r="3503" spans="1:17" x14ac:dyDescent="0.3">
      <c r="A3503" t="s">
        <v>4664</v>
      </c>
      <c r="B3503" t="str">
        <f>"002829"</f>
        <v>002829</v>
      </c>
      <c r="C3503" t="s">
        <v>7350</v>
      </c>
      <c r="D3503" t="s">
        <v>284</v>
      </c>
      <c r="F3503">
        <v>736.78440000000001</v>
      </c>
      <c r="G3503">
        <v>608.18259999999998</v>
      </c>
      <c r="H3503">
        <v>858.16809999999998</v>
      </c>
      <c r="I3503">
        <v>586.64750000000004</v>
      </c>
      <c r="J3503">
        <v>273.54329999999999</v>
      </c>
      <c r="K3503">
        <v>251.0223</v>
      </c>
      <c r="L3503">
        <v>137.84960000000001</v>
      </c>
      <c r="P3503">
        <v>132</v>
      </c>
      <c r="Q3503" t="s">
        <v>7351</v>
      </c>
    </row>
    <row r="3504" spans="1:17" x14ac:dyDescent="0.3">
      <c r="A3504" t="s">
        <v>4664</v>
      </c>
      <c r="B3504" t="str">
        <f>"002830"</f>
        <v>002830</v>
      </c>
      <c r="C3504" t="s">
        <v>7352</v>
      </c>
      <c r="D3504" t="s">
        <v>450</v>
      </c>
      <c r="F3504">
        <v>16.738199999999999</v>
      </c>
      <c r="G3504">
        <v>27.242899999999999</v>
      </c>
      <c r="H3504">
        <v>36.9253</v>
      </c>
      <c r="I3504">
        <v>33.604799999999997</v>
      </c>
      <c r="J3504">
        <v>28.655999999999999</v>
      </c>
      <c r="K3504">
        <v>27.751899999999999</v>
      </c>
      <c r="L3504">
        <v>14.202199999999999</v>
      </c>
      <c r="P3504">
        <v>78</v>
      </c>
      <c r="Q3504" t="s">
        <v>7353</v>
      </c>
    </row>
    <row r="3505" spans="1:17" x14ac:dyDescent="0.3">
      <c r="A3505" t="s">
        <v>4664</v>
      </c>
      <c r="B3505" t="str">
        <f>"002831"</f>
        <v>002831</v>
      </c>
      <c r="C3505" t="s">
        <v>7354</v>
      </c>
      <c r="D3505" t="s">
        <v>2156</v>
      </c>
      <c r="F3505">
        <v>78.959900000000005</v>
      </c>
      <c r="G3505">
        <v>81.158799999999999</v>
      </c>
      <c r="H3505">
        <v>80.331199999999995</v>
      </c>
      <c r="I3505">
        <v>76.514300000000006</v>
      </c>
      <c r="J3505">
        <v>70.120099999999994</v>
      </c>
      <c r="K3505">
        <v>50.0199</v>
      </c>
      <c r="L3505">
        <v>19.958200000000001</v>
      </c>
      <c r="P3505">
        <v>663</v>
      </c>
      <c r="Q3505" t="s">
        <v>7355</v>
      </c>
    </row>
    <row r="3506" spans="1:17" x14ac:dyDescent="0.3">
      <c r="A3506" t="s">
        <v>4664</v>
      </c>
      <c r="B3506" t="str">
        <f>"002832"</f>
        <v>002832</v>
      </c>
      <c r="C3506" t="s">
        <v>7356</v>
      </c>
      <c r="D3506" t="s">
        <v>255</v>
      </c>
      <c r="F3506">
        <v>464.22919999999999</v>
      </c>
      <c r="G3506">
        <v>526.56859999999995</v>
      </c>
      <c r="H3506">
        <v>552.51130000000001</v>
      </c>
      <c r="I3506">
        <v>389.1266</v>
      </c>
      <c r="J3506">
        <v>414.42320000000001</v>
      </c>
      <c r="K3506">
        <v>344.25709999999998</v>
      </c>
      <c r="P3506">
        <v>636</v>
      </c>
      <c r="Q3506" t="s">
        <v>7357</v>
      </c>
    </row>
    <row r="3507" spans="1:17" x14ac:dyDescent="0.3">
      <c r="A3507" t="s">
        <v>4664</v>
      </c>
      <c r="B3507" t="str">
        <f>"002833"</f>
        <v>002833</v>
      </c>
      <c r="C3507" t="s">
        <v>7358</v>
      </c>
      <c r="D3507" t="s">
        <v>741</v>
      </c>
      <c r="F3507">
        <v>87.6708</v>
      </c>
      <c r="G3507">
        <v>106.2846</v>
      </c>
      <c r="H3507">
        <v>104.9203</v>
      </c>
      <c r="I3507">
        <v>84.297399999999996</v>
      </c>
      <c r="J3507">
        <v>66.915899999999993</v>
      </c>
      <c r="K3507">
        <v>65.426000000000002</v>
      </c>
      <c r="P3507">
        <v>2869</v>
      </c>
      <c r="Q3507" t="s">
        <v>7359</v>
      </c>
    </row>
    <row r="3508" spans="1:17" x14ac:dyDescent="0.3">
      <c r="A3508" t="s">
        <v>4664</v>
      </c>
      <c r="B3508" t="str">
        <f>"002835"</f>
        <v>002835</v>
      </c>
      <c r="C3508" t="s">
        <v>7360</v>
      </c>
      <c r="D3508" t="s">
        <v>2953</v>
      </c>
      <c r="F3508">
        <v>188.8426</v>
      </c>
      <c r="G3508">
        <v>179.57589999999999</v>
      </c>
      <c r="H3508">
        <v>153.68469999999999</v>
      </c>
      <c r="I3508">
        <v>150.7236</v>
      </c>
      <c r="J3508">
        <v>129.90700000000001</v>
      </c>
      <c r="K3508">
        <v>60.289900000000003</v>
      </c>
      <c r="P3508">
        <v>94</v>
      </c>
      <c r="Q3508" t="s">
        <v>7361</v>
      </c>
    </row>
    <row r="3509" spans="1:17" x14ac:dyDescent="0.3">
      <c r="A3509" t="s">
        <v>4664</v>
      </c>
      <c r="B3509" t="str">
        <f>"002836"</f>
        <v>002836</v>
      </c>
      <c r="C3509" t="s">
        <v>7362</v>
      </c>
      <c r="D3509" t="s">
        <v>2156</v>
      </c>
      <c r="F3509">
        <v>86.181700000000006</v>
      </c>
      <c r="G3509">
        <v>88.981999999999999</v>
      </c>
      <c r="H3509">
        <v>74.086100000000002</v>
      </c>
      <c r="I3509">
        <v>84.192700000000002</v>
      </c>
      <c r="J3509">
        <v>104.0523</v>
      </c>
      <c r="K3509">
        <v>94.693600000000004</v>
      </c>
      <c r="P3509">
        <v>63</v>
      </c>
      <c r="Q3509" t="s">
        <v>7363</v>
      </c>
    </row>
    <row r="3510" spans="1:17" x14ac:dyDescent="0.3">
      <c r="A3510" t="s">
        <v>4664</v>
      </c>
      <c r="B3510" t="str">
        <f>"002837"</f>
        <v>002837</v>
      </c>
      <c r="C3510" t="s">
        <v>7364</v>
      </c>
      <c r="D3510" t="s">
        <v>741</v>
      </c>
      <c r="F3510">
        <v>161.16249999999999</v>
      </c>
      <c r="G3510">
        <v>195.3355</v>
      </c>
      <c r="H3510">
        <v>192.53219999999999</v>
      </c>
      <c r="I3510">
        <v>156.46850000000001</v>
      </c>
      <c r="J3510">
        <v>149.33779999999999</v>
      </c>
      <c r="K3510">
        <v>58.23</v>
      </c>
      <c r="P3510">
        <v>396</v>
      </c>
      <c r="Q3510" t="s">
        <v>7365</v>
      </c>
    </row>
    <row r="3511" spans="1:17" x14ac:dyDescent="0.3">
      <c r="A3511" t="s">
        <v>4664</v>
      </c>
      <c r="B3511" t="str">
        <f>"002838"</f>
        <v>002838</v>
      </c>
      <c r="C3511" t="s">
        <v>7366</v>
      </c>
      <c r="D3511" t="s">
        <v>341</v>
      </c>
      <c r="F3511">
        <v>55.156300000000002</v>
      </c>
      <c r="G3511">
        <v>58.058399999999999</v>
      </c>
      <c r="H3511">
        <v>66.747</v>
      </c>
      <c r="I3511">
        <v>87.623400000000004</v>
      </c>
      <c r="J3511">
        <v>90.428799999999995</v>
      </c>
      <c r="K3511">
        <v>79.628600000000006</v>
      </c>
      <c r="L3511">
        <v>39.366700000000002</v>
      </c>
      <c r="P3511">
        <v>614</v>
      </c>
      <c r="Q3511" t="s">
        <v>7367</v>
      </c>
    </row>
    <row r="3512" spans="1:17" x14ac:dyDescent="0.3">
      <c r="A3512" t="s">
        <v>4664</v>
      </c>
      <c r="B3512" t="str">
        <f>"002839"</f>
        <v>002839</v>
      </c>
      <c r="C3512" t="s">
        <v>7368</v>
      </c>
      <c r="D3512" t="s">
        <v>1827</v>
      </c>
      <c r="P3512">
        <v>474</v>
      </c>
      <c r="Q3512" t="s">
        <v>7369</v>
      </c>
    </row>
    <row r="3513" spans="1:17" x14ac:dyDescent="0.3">
      <c r="A3513" t="s">
        <v>4664</v>
      </c>
      <c r="B3513" t="str">
        <f>"002840"</f>
        <v>002840</v>
      </c>
      <c r="C3513" t="s">
        <v>7370</v>
      </c>
      <c r="D3513" t="s">
        <v>170</v>
      </c>
      <c r="F3513">
        <v>26.6068</v>
      </c>
      <c r="G3513">
        <v>19.991599999999998</v>
      </c>
      <c r="H3513">
        <v>17.698</v>
      </c>
      <c r="I3513">
        <v>14.6379</v>
      </c>
      <c r="J3513">
        <v>14.7837</v>
      </c>
      <c r="K3513">
        <v>27.822600000000001</v>
      </c>
      <c r="L3513">
        <v>33.622</v>
      </c>
      <c r="P3513">
        <v>600</v>
      </c>
      <c r="Q3513" t="s">
        <v>7371</v>
      </c>
    </row>
    <row r="3514" spans="1:17" x14ac:dyDescent="0.3">
      <c r="A3514" t="s">
        <v>4664</v>
      </c>
      <c r="B3514" t="str">
        <f>"002841"</f>
        <v>002841</v>
      </c>
      <c r="C3514" t="s">
        <v>7372</v>
      </c>
      <c r="D3514" t="s">
        <v>1285</v>
      </c>
      <c r="F3514">
        <v>78.520700000000005</v>
      </c>
      <c r="G3514">
        <v>71.351100000000002</v>
      </c>
      <c r="H3514">
        <v>63.88</v>
      </c>
      <c r="I3514">
        <v>63.829799999999999</v>
      </c>
      <c r="J3514">
        <v>64.963499999999996</v>
      </c>
      <c r="K3514">
        <v>45.393900000000002</v>
      </c>
      <c r="L3514">
        <v>18.014800000000001</v>
      </c>
      <c r="P3514">
        <v>3102</v>
      </c>
      <c r="Q3514" t="s">
        <v>7373</v>
      </c>
    </row>
    <row r="3515" spans="1:17" x14ac:dyDescent="0.3">
      <c r="A3515" t="s">
        <v>4664</v>
      </c>
      <c r="B3515" t="str">
        <f>"002842"</f>
        <v>002842</v>
      </c>
      <c r="C3515" t="s">
        <v>7374</v>
      </c>
      <c r="D3515" t="s">
        <v>1110</v>
      </c>
      <c r="F3515">
        <v>226.19200000000001</v>
      </c>
      <c r="G3515">
        <v>203.934</v>
      </c>
      <c r="H3515">
        <v>175.03550000000001</v>
      </c>
      <c r="I3515">
        <v>154.4136</v>
      </c>
      <c r="J3515">
        <v>154.8914</v>
      </c>
      <c r="K3515">
        <v>65.706000000000003</v>
      </c>
      <c r="P3515">
        <v>99</v>
      </c>
      <c r="Q3515" t="s">
        <v>7375</v>
      </c>
    </row>
    <row r="3516" spans="1:17" x14ac:dyDescent="0.3">
      <c r="A3516" t="s">
        <v>4664</v>
      </c>
      <c r="B3516" t="str">
        <f>"002843"</f>
        <v>002843</v>
      </c>
      <c r="C3516" t="s">
        <v>7376</v>
      </c>
      <c r="D3516" t="s">
        <v>274</v>
      </c>
      <c r="F3516">
        <v>136.98179999999999</v>
      </c>
      <c r="G3516">
        <v>167.39449999999999</v>
      </c>
      <c r="H3516">
        <v>152.0264</v>
      </c>
      <c r="I3516">
        <v>141.68180000000001</v>
      </c>
      <c r="J3516">
        <v>131.85159999999999</v>
      </c>
      <c r="K3516">
        <v>202.66829999999999</v>
      </c>
      <c r="L3516">
        <v>148.56790000000001</v>
      </c>
      <c r="P3516">
        <v>74</v>
      </c>
      <c r="Q3516" t="s">
        <v>7377</v>
      </c>
    </row>
    <row r="3517" spans="1:17" x14ac:dyDescent="0.3">
      <c r="A3517" t="s">
        <v>4664</v>
      </c>
      <c r="B3517" t="str">
        <f>"002845"</f>
        <v>002845</v>
      </c>
      <c r="C3517" t="s">
        <v>7378</v>
      </c>
      <c r="D3517" t="s">
        <v>1117</v>
      </c>
      <c r="F3517">
        <v>87.465000000000003</v>
      </c>
      <c r="G3517">
        <v>88.975200000000001</v>
      </c>
      <c r="H3517">
        <v>149.27619999999999</v>
      </c>
      <c r="I3517">
        <v>139.92789999999999</v>
      </c>
      <c r="J3517">
        <v>148.9162</v>
      </c>
      <c r="K3517">
        <v>124.6656</v>
      </c>
      <c r="L3517">
        <v>49.026800000000001</v>
      </c>
      <c r="P3517">
        <v>222</v>
      </c>
      <c r="Q3517" t="s">
        <v>7379</v>
      </c>
    </row>
    <row r="3518" spans="1:17" x14ac:dyDescent="0.3">
      <c r="A3518" t="s">
        <v>4664</v>
      </c>
      <c r="B3518" t="str">
        <f>"002846"</f>
        <v>002846</v>
      </c>
      <c r="C3518" t="s">
        <v>7380</v>
      </c>
      <c r="D3518" t="s">
        <v>2364</v>
      </c>
      <c r="F3518">
        <v>104.1709</v>
      </c>
      <c r="G3518">
        <v>111.8703</v>
      </c>
      <c r="H3518">
        <v>109.9507</v>
      </c>
      <c r="I3518">
        <v>127.32470000000001</v>
      </c>
      <c r="J3518">
        <v>114.5187</v>
      </c>
      <c r="K3518">
        <v>92.248800000000003</v>
      </c>
      <c r="L3518">
        <v>63.250500000000002</v>
      </c>
      <c r="P3518">
        <v>109</v>
      </c>
      <c r="Q3518" t="s">
        <v>7381</v>
      </c>
    </row>
    <row r="3519" spans="1:17" x14ac:dyDescent="0.3">
      <c r="A3519" t="s">
        <v>4664</v>
      </c>
      <c r="B3519" t="str">
        <f>"002847"</f>
        <v>002847</v>
      </c>
      <c r="C3519" t="s">
        <v>7382</v>
      </c>
      <c r="D3519" t="s">
        <v>3167</v>
      </c>
      <c r="F3519">
        <v>109.2649</v>
      </c>
      <c r="G3519">
        <v>108.0279</v>
      </c>
      <c r="H3519">
        <v>112.42659999999999</v>
      </c>
      <c r="I3519">
        <v>158.10300000000001</v>
      </c>
      <c r="J3519">
        <v>163.57570000000001</v>
      </c>
      <c r="K3519">
        <v>146.49850000000001</v>
      </c>
      <c r="L3519">
        <v>69.791799999999995</v>
      </c>
      <c r="P3519">
        <v>742</v>
      </c>
      <c r="Q3519" t="s">
        <v>7383</v>
      </c>
    </row>
    <row r="3520" spans="1:17" x14ac:dyDescent="0.3">
      <c r="A3520" t="s">
        <v>4664</v>
      </c>
      <c r="B3520" t="str">
        <f>"002848"</f>
        <v>002848</v>
      </c>
      <c r="C3520" t="s">
        <v>7384</v>
      </c>
      <c r="D3520" t="s">
        <v>4404</v>
      </c>
      <c r="F3520">
        <v>135.89769999999999</v>
      </c>
      <c r="G3520">
        <v>244.6747</v>
      </c>
      <c r="H3520">
        <v>180.48840000000001</v>
      </c>
      <c r="I3520">
        <v>154.65049999999999</v>
      </c>
      <c r="J3520">
        <v>130.74260000000001</v>
      </c>
      <c r="K3520">
        <v>136.7056</v>
      </c>
      <c r="L3520">
        <v>46.339300000000001</v>
      </c>
      <c r="P3520">
        <v>189</v>
      </c>
      <c r="Q3520" t="s">
        <v>7385</v>
      </c>
    </row>
    <row r="3521" spans="1:17" x14ac:dyDescent="0.3">
      <c r="A3521" t="s">
        <v>4664</v>
      </c>
      <c r="B3521" t="str">
        <f>"002849"</f>
        <v>002849</v>
      </c>
      <c r="C3521" t="s">
        <v>7386</v>
      </c>
      <c r="D3521" t="s">
        <v>2551</v>
      </c>
      <c r="F3521">
        <v>176.7474</v>
      </c>
      <c r="G3521">
        <v>152.0985</v>
      </c>
      <c r="H3521">
        <v>176.67080000000001</v>
      </c>
      <c r="I3521">
        <v>213.94990000000001</v>
      </c>
      <c r="J3521">
        <v>228.584</v>
      </c>
      <c r="P3521">
        <v>177</v>
      </c>
      <c r="Q3521" t="s">
        <v>7387</v>
      </c>
    </row>
    <row r="3522" spans="1:17" x14ac:dyDescent="0.3">
      <c r="A3522" t="s">
        <v>4664</v>
      </c>
      <c r="B3522" t="str">
        <f>"002850"</f>
        <v>002850</v>
      </c>
      <c r="C3522" t="s">
        <v>7388</v>
      </c>
      <c r="D3522" t="s">
        <v>359</v>
      </c>
      <c r="F3522">
        <v>72.973200000000006</v>
      </c>
      <c r="G3522">
        <v>127.07259999999999</v>
      </c>
      <c r="H3522">
        <v>80.321100000000001</v>
      </c>
      <c r="I3522">
        <v>95.058700000000002</v>
      </c>
      <c r="J3522">
        <v>85.508899999999997</v>
      </c>
      <c r="P3522">
        <v>379</v>
      </c>
      <c r="Q3522" t="s">
        <v>7389</v>
      </c>
    </row>
    <row r="3523" spans="1:17" x14ac:dyDescent="0.3">
      <c r="A3523" t="s">
        <v>4664</v>
      </c>
      <c r="B3523" t="str">
        <f>"002851"</f>
        <v>002851</v>
      </c>
      <c r="C3523" t="s">
        <v>7390</v>
      </c>
      <c r="D3523" t="s">
        <v>880</v>
      </c>
      <c r="F3523">
        <v>190.13749999999999</v>
      </c>
      <c r="G3523">
        <v>163.07249999999999</v>
      </c>
      <c r="H3523">
        <v>155.27959999999999</v>
      </c>
      <c r="I3523">
        <v>206.46719999999999</v>
      </c>
      <c r="J3523">
        <v>212.4819</v>
      </c>
      <c r="P3523">
        <v>565</v>
      </c>
      <c r="Q3523" t="s">
        <v>7391</v>
      </c>
    </row>
    <row r="3524" spans="1:17" x14ac:dyDescent="0.3">
      <c r="A3524" t="s">
        <v>4664</v>
      </c>
      <c r="B3524" t="str">
        <f>"002852"</f>
        <v>002852</v>
      </c>
      <c r="C3524" t="s">
        <v>7392</v>
      </c>
      <c r="D3524" t="s">
        <v>306</v>
      </c>
      <c r="F3524">
        <v>107.6767</v>
      </c>
      <c r="G3524">
        <v>80.894400000000005</v>
      </c>
      <c r="H3524">
        <v>78.738600000000005</v>
      </c>
      <c r="I3524">
        <v>103.3369</v>
      </c>
      <c r="J3524">
        <v>57.96</v>
      </c>
      <c r="P3524">
        <v>141</v>
      </c>
      <c r="Q3524" t="s">
        <v>7393</v>
      </c>
    </row>
    <row r="3525" spans="1:17" x14ac:dyDescent="0.3">
      <c r="A3525" t="s">
        <v>4664</v>
      </c>
      <c r="B3525" t="str">
        <f>"002853"</f>
        <v>002853</v>
      </c>
      <c r="C3525" t="s">
        <v>7394</v>
      </c>
      <c r="D3525" t="s">
        <v>2647</v>
      </c>
      <c r="F3525">
        <v>109.28149999999999</v>
      </c>
      <c r="G3525">
        <v>141.09909999999999</v>
      </c>
      <c r="H3525">
        <v>101.1366</v>
      </c>
      <c r="I3525">
        <v>92.938299999999998</v>
      </c>
      <c r="J3525">
        <v>62.048200000000001</v>
      </c>
      <c r="P3525">
        <v>379</v>
      </c>
      <c r="Q3525" t="s">
        <v>7395</v>
      </c>
    </row>
    <row r="3526" spans="1:17" x14ac:dyDescent="0.3">
      <c r="A3526" t="s">
        <v>4664</v>
      </c>
      <c r="B3526" t="str">
        <f>"002855"</f>
        <v>002855</v>
      </c>
      <c r="C3526" t="s">
        <v>7396</v>
      </c>
      <c r="D3526" t="s">
        <v>313</v>
      </c>
      <c r="F3526">
        <v>106.4645</v>
      </c>
      <c r="G3526">
        <v>142.95580000000001</v>
      </c>
      <c r="H3526">
        <v>123.642</v>
      </c>
      <c r="I3526">
        <v>137.571</v>
      </c>
      <c r="J3526">
        <v>164.02070000000001</v>
      </c>
      <c r="P3526">
        <v>138</v>
      </c>
      <c r="Q3526" t="s">
        <v>7397</v>
      </c>
    </row>
    <row r="3527" spans="1:17" x14ac:dyDescent="0.3">
      <c r="A3527" t="s">
        <v>4664</v>
      </c>
      <c r="B3527" t="str">
        <f>"002856"</f>
        <v>002856</v>
      </c>
      <c r="C3527" t="s">
        <v>7398</v>
      </c>
      <c r="D3527" t="s">
        <v>450</v>
      </c>
      <c r="F3527">
        <v>26.555099999999999</v>
      </c>
      <c r="G3527">
        <v>70.539100000000005</v>
      </c>
      <c r="H3527">
        <v>197.73429999999999</v>
      </c>
      <c r="I3527">
        <v>130.53039999999999</v>
      </c>
      <c r="J3527">
        <v>141.49029999999999</v>
      </c>
      <c r="P3527">
        <v>51</v>
      </c>
      <c r="Q3527" t="s">
        <v>7399</v>
      </c>
    </row>
    <row r="3528" spans="1:17" x14ac:dyDescent="0.3">
      <c r="A3528" t="s">
        <v>4664</v>
      </c>
      <c r="B3528" t="str">
        <f>"002857"</f>
        <v>002857</v>
      </c>
      <c r="C3528" t="s">
        <v>7400</v>
      </c>
      <c r="D3528" t="s">
        <v>2171</v>
      </c>
      <c r="F3528">
        <v>478.5804</v>
      </c>
      <c r="G3528">
        <v>247.17500000000001</v>
      </c>
      <c r="H3528">
        <v>284.83240000000001</v>
      </c>
      <c r="I3528">
        <v>297.79169999999999</v>
      </c>
      <c r="J3528">
        <v>200.62819999999999</v>
      </c>
      <c r="K3528">
        <v>248.1619</v>
      </c>
      <c r="P3528">
        <v>45</v>
      </c>
      <c r="Q3528" t="s">
        <v>7401</v>
      </c>
    </row>
    <row r="3529" spans="1:17" x14ac:dyDescent="0.3">
      <c r="A3529" t="s">
        <v>4664</v>
      </c>
      <c r="B3529" t="str">
        <f>"002858"</f>
        <v>002858</v>
      </c>
      <c r="C3529" t="s">
        <v>7402</v>
      </c>
      <c r="D3529" t="s">
        <v>327</v>
      </c>
      <c r="F3529">
        <v>169.73650000000001</v>
      </c>
      <c r="G3529">
        <v>161.5119</v>
      </c>
      <c r="H3529">
        <v>88.227999999999994</v>
      </c>
      <c r="I3529">
        <v>69.369699999999995</v>
      </c>
      <c r="J3529">
        <v>81.2149</v>
      </c>
      <c r="P3529">
        <v>75</v>
      </c>
      <c r="Q3529" t="s">
        <v>7403</v>
      </c>
    </row>
    <row r="3530" spans="1:17" x14ac:dyDescent="0.3">
      <c r="A3530" t="s">
        <v>4664</v>
      </c>
      <c r="B3530" t="str">
        <f>"002859"</f>
        <v>002859</v>
      </c>
      <c r="C3530" t="s">
        <v>7404</v>
      </c>
      <c r="D3530" t="s">
        <v>651</v>
      </c>
      <c r="F3530">
        <v>134.48099999999999</v>
      </c>
      <c r="G3530">
        <v>189.68620000000001</v>
      </c>
      <c r="H3530">
        <v>240.51410000000001</v>
      </c>
      <c r="I3530">
        <v>89.743899999999996</v>
      </c>
      <c r="J3530">
        <v>94.23</v>
      </c>
      <c r="P3530">
        <v>2969</v>
      </c>
      <c r="Q3530" t="s">
        <v>7405</v>
      </c>
    </row>
    <row r="3531" spans="1:17" x14ac:dyDescent="0.3">
      <c r="A3531" t="s">
        <v>4664</v>
      </c>
      <c r="B3531" t="str">
        <f>"002860"</f>
        <v>002860</v>
      </c>
      <c r="C3531" t="s">
        <v>7406</v>
      </c>
      <c r="D3531" t="s">
        <v>1253</v>
      </c>
      <c r="F3531">
        <v>104.946</v>
      </c>
      <c r="G3531">
        <v>121.62009999999999</v>
      </c>
      <c r="H3531">
        <v>115.1588</v>
      </c>
      <c r="I3531">
        <v>132.0591</v>
      </c>
      <c r="J3531">
        <v>138.8312</v>
      </c>
      <c r="P3531">
        <v>249</v>
      </c>
      <c r="Q3531" t="s">
        <v>7407</v>
      </c>
    </row>
    <row r="3532" spans="1:17" x14ac:dyDescent="0.3">
      <c r="A3532" t="s">
        <v>4664</v>
      </c>
      <c r="B3532" t="str">
        <f>"002861"</f>
        <v>002861</v>
      </c>
      <c r="C3532" t="s">
        <v>7408</v>
      </c>
      <c r="D3532" t="s">
        <v>313</v>
      </c>
      <c r="F3532">
        <v>106.2568</v>
      </c>
      <c r="G3532">
        <v>100.4216</v>
      </c>
      <c r="H3532">
        <v>110.97929999999999</v>
      </c>
      <c r="I3532">
        <v>87.139700000000005</v>
      </c>
      <c r="J3532">
        <v>92.153800000000004</v>
      </c>
      <c r="P3532">
        <v>155</v>
      </c>
      <c r="Q3532" t="s">
        <v>7409</v>
      </c>
    </row>
    <row r="3533" spans="1:17" x14ac:dyDescent="0.3">
      <c r="A3533" t="s">
        <v>4664</v>
      </c>
      <c r="B3533" t="str">
        <f>"002862"</f>
        <v>002862</v>
      </c>
      <c r="C3533" t="s">
        <v>7410</v>
      </c>
      <c r="D3533" t="s">
        <v>2904</v>
      </c>
      <c r="F3533">
        <v>155.52610000000001</v>
      </c>
      <c r="G3533">
        <v>139.2107</v>
      </c>
      <c r="H3533">
        <v>73.508899999999997</v>
      </c>
      <c r="I3533">
        <v>74.881900000000002</v>
      </c>
      <c r="J3533">
        <v>63.641399999999997</v>
      </c>
      <c r="P3533">
        <v>66</v>
      </c>
      <c r="Q3533" t="s">
        <v>7411</v>
      </c>
    </row>
    <row r="3534" spans="1:17" x14ac:dyDescent="0.3">
      <c r="A3534" t="s">
        <v>4664</v>
      </c>
      <c r="B3534" t="str">
        <f>"002863"</f>
        <v>002863</v>
      </c>
      <c r="C3534" t="s">
        <v>7412</v>
      </c>
      <c r="D3534" t="s">
        <v>422</v>
      </c>
      <c r="F3534">
        <v>179.51339999999999</v>
      </c>
      <c r="G3534">
        <v>210.7029</v>
      </c>
      <c r="H3534">
        <v>212.17420000000001</v>
      </c>
      <c r="I3534">
        <v>190.8502</v>
      </c>
      <c r="J3534">
        <v>177.32329999999999</v>
      </c>
      <c r="P3534">
        <v>104</v>
      </c>
      <c r="Q3534" t="s">
        <v>7413</v>
      </c>
    </row>
    <row r="3535" spans="1:17" x14ac:dyDescent="0.3">
      <c r="A3535" t="s">
        <v>4664</v>
      </c>
      <c r="B3535" t="str">
        <f>"002864"</f>
        <v>002864</v>
      </c>
      <c r="C3535" t="s">
        <v>7414</v>
      </c>
      <c r="D3535" t="s">
        <v>188</v>
      </c>
      <c r="F3535">
        <v>98.657300000000006</v>
      </c>
      <c r="G3535">
        <v>132.184</v>
      </c>
      <c r="H3535">
        <v>129.65520000000001</v>
      </c>
      <c r="I3535">
        <v>138.91229999999999</v>
      </c>
      <c r="J3535">
        <v>116.5677</v>
      </c>
      <c r="P3535">
        <v>184</v>
      </c>
      <c r="Q3535" t="s">
        <v>7415</v>
      </c>
    </row>
    <row r="3536" spans="1:17" x14ac:dyDescent="0.3">
      <c r="A3536" t="s">
        <v>4664</v>
      </c>
      <c r="B3536" t="str">
        <f>"002865"</f>
        <v>002865</v>
      </c>
      <c r="C3536" t="s">
        <v>7416</v>
      </c>
      <c r="D3536" t="s">
        <v>191</v>
      </c>
      <c r="F3536">
        <v>141.43889999999999</v>
      </c>
      <c r="G3536">
        <v>179.45509999999999</v>
      </c>
      <c r="H3536">
        <v>241.5745</v>
      </c>
      <c r="I3536">
        <v>218.1343</v>
      </c>
      <c r="J3536">
        <v>203.96250000000001</v>
      </c>
      <c r="P3536">
        <v>111</v>
      </c>
      <c r="Q3536" t="s">
        <v>7417</v>
      </c>
    </row>
    <row r="3537" spans="1:17" x14ac:dyDescent="0.3">
      <c r="A3537" t="s">
        <v>4664</v>
      </c>
      <c r="B3537" t="str">
        <f>"002866"</f>
        <v>002866</v>
      </c>
      <c r="C3537" t="s">
        <v>7418</v>
      </c>
      <c r="D3537" t="s">
        <v>313</v>
      </c>
      <c r="F3537">
        <v>125.31480000000001</v>
      </c>
      <c r="G3537">
        <v>111.0595</v>
      </c>
      <c r="H3537">
        <v>96.666499999999999</v>
      </c>
      <c r="I3537">
        <v>97.702399999999997</v>
      </c>
      <c r="J3537">
        <v>75.088800000000006</v>
      </c>
      <c r="P3537">
        <v>161</v>
      </c>
      <c r="Q3537" t="s">
        <v>7419</v>
      </c>
    </row>
    <row r="3538" spans="1:17" x14ac:dyDescent="0.3">
      <c r="A3538" t="s">
        <v>4664</v>
      </c>
      <c r="B3538" t="str">
        <f>"002867"</f>
        <v>002867</v>
      </c>
      <c r="C3538" t="s">
        <v>7420</v>
      </c>
      <c r="D3538" t="s">
        <v>1238</v>
      </c>
      <c r="F3538">
        <v>206.715</v>
      </c>
      <c r="G3538">
        <v>474.98439999999999</v>
      </c>
      <c r="H3538">
        <v>397.76459999999997</v>
      </c>
      <c r="I3538">
        <v>345.69110000000001</v>
      </c>
      <c r="J3538">
        <v>332.9932</v>
      </c>
      <c r="P3538">
        <v>1635</v>
      </c>
      <c r="Q3538" t="s">
        <v>7421</v>
      </c>
    </row>
    <row r="3539" spans="1:17" x14ac:dyDescent="0.3">
      <c r="A3539" t="s">
        <v>4664</v>
      </c>
      <c r="B3539" t="str">
        <f>"002868"</f>
        <v>002868</v>
      </c>
      <c r="C3539" t="s">
        <v>7422</v>
      </c>
      <c r="D3539" t="s">
        <v>453</v>
      </c>
      <c r="F3539">
        <v>115.2647</v>
      </c>
      <c r="G3539">
        <v>120.47199999999999</v>
      </c>
      <c r="H3539">
        <v>91.092799999999997</v>
      </c>
      <c r="I3539">
        <v>82.437899999999999</v>
      </c>
      <c r="J3539">
        <v>64.532200000000003</v>
      </c>
      <c r="P3539">
        <v>88</v>
      </c>
      <c r="Q3539" t="s">
        <v>7423</v>
      </c>
    </row>
    <row r="3540" spans="1:17" x14ac:dyDescent="0.3">
      <c r="A3540" t="s">
        <v>4664</v>
      </c>
      <c r="B3540" t="str">
        <f>"002869"</f>
        <v>002869</v>
      </c>
      <c r="C3540" t="s">
        <v>7424</v>
      </c>
      <c r="D3540" t="s">
        <v>651</v>
      </c>
      <c r="F3540">
        <v>581.73929999999996</v>
      </c>
      <c r="G3540">
        <v>416.56619999999998</v>
      </c>
      <c r="H3540">
        <v>287.92770000000002</v>
      </c>
      <c r="I3540">
        <v>174.8973</v>
      </c>
      <c r="J3540">
        <v>173.33869999999999</v>
      </c>
      <c r="P3540">
        <v>600</v>
      </c>
      <c r="Q3540" t="s">
        <v>7425</v>
      </c>
    </row>
    <row r="3541" spans="1:17" x14ac:dyDescent="0.3">
      <c r="A3541" t="s">
        <v>4664</v>
      </c>
      <c r="B3541" t="str">
        <f>"002870"</f>
        <v>002870</v>
      </c>
      <c r="C3541" t="s">
        <v>7426</v>
      </c>
      <c r="D3541" t="s">
        <v>2551</v>
      </c>
      <c r="F3541">
        <v>93.909499999999994</v>
      </c>
      <c r="G3541">
        <v>69.614900000000006</v>
      </c>
      <c r="H3541">
        <v>93.088899999999995</v>
      </c>
      <c r="I3541">
        <v>130.3665</v>
      </c>
      <c r="J3541">
        <v>89.786000000000001</v>
      </c>
      <c r="P3541">
        <v>91</v>
      </c>
      <c r="Q3541" t="s">
        <v>7427</v>
      </c>
    </row>
    <row r="3542" spans="1:17" x14ac:dyDescent="0.3">
      <c r="A3542" t="s">
        <v>4664</v>
      </c>
      <c r="B3542" t="str">
        <f>"002871"</f>
        <v>002871</v>
      </c>
      <c r="C3542" t="s">
        <v>7428</v>
      </c>
      <c r="D3542" t="s">
        <v>274</v>
      </c>
      <c r="F3542">
        <v>172.0538</v>
      </c>
      <c r="G3542">
        <v>174.13050000000001</v>
      </c>
      <c r="H3542">
        <v>188.24940000000001</v>
      </c>
      <c r="I3542">
        <v>185.41300000000001</v>
      </c>
      <c r="J3542">
        <v>168.43530000000001</v>
      </c>
      <c r="P3542">
        <v>66</v>
      </c>
      <c r="Q3542" t="s">
        <v>7429</v>
      </c>
    </row>
    <row r="3543" spans="1:17" x14ac:dyDescent="0.3">
      <c r="A3543" t="s">
        <v>4664</v>
      </c>
      <c r="B3543" t="str">
        <f>"002872"</f>
        <v>002872</v>
      </c>
      <c r="C3543" t="s">
        <v>7430</v>
      </c>
      <c r="D3543" t="s">
        <v>125</v>
      </c>
      <c r="F3543">
        <v>199.3579</v>
      </c>
      <c r="G3543">
        <v>147.785</v>
      </c>
      <c r="H3543">
        <v>163.81989999999999</v>
      </c>
      <c r="I3543">
        <v>143.7945</v>
      </c>
      <c r="J3543">
        <v>148.4143</v>
      </c>
      <c r="P3543">
        <v>69</v>
      </c>
      <c r="Q3543" t="s">
        <v>7431</v>
      </c>
    </row>
    <row r="3544" spans="1:17" x14ac:dyDescent="0.3">
      <c r="A3544" t="s">
        <v>4664</v>
      </c>
      <c r="B3544" t="str">
        <f>"002873"</f>
        <v>002873</v>
      </c>
      <c r="C3544" t="s">
        <v>7432</v>
      </c>
      <c r="D3544" t="s">
        <v>188</v>
      </c>
      <c r="F3544">
        <v>208.92339999999999</v>
      </c>
      <c r="G3544">
        <v>263.81400000000002</v>
      </c>
      <c r="H3544">
        <v>255.0898</v>
      </c>
      <c r="I3544">
        <v>227.8322</v>
      </c>
      <c r="J3544">
        <v>183.477</v>
      </c>
      <c r="K3544">
        <v>92.945099999999996</v>
      </c>
      <c r="P3544">
        <v>166</v>
      </c>
      <c r="Q3544" t="s">
        <v>7433</v>
      </c>
    </row>
    <row r="3545" spans="1:17" x14ac:dyDescent="0.3">
      <c r="A3545" t="s">
        <v>4664</v>
      </c>
      <c r="B3545" t="str">
        <f>"002875"</f>
        <v>002875</v>
      </c>
      <c r="C3545" t="s">
        <v>7434</v>
      </c>
      <c r="D3545" t="s">
        <v>255</v>
      </c>
      <c r="F3545">
        <v>382.33589999999998</v>
      </c>
      <c r="G3545">
        <v>462.74650000000003</v>
      </c>
      <c r="H3545">
        <v>412.2099</v>
      </c>
      <c r="I3545">
        <v>410.851</v>
      </c>
      <c r="J3545">
        <v>366.60149999999999</v>
      </c>
      <c r="P3545">
        <v>92</v>
      </c>
      <c r="Q3545" t="s">
        <v>7435</v>
      </c>
    </row>
    <row r="3546" spans="1:17" x14ac:dyDescent="0.3">
      <c r="A3546" t="s">
        <v>4664</v>
      </c>
      <c r="B3546" t="str">
        <f>"002876"</f>
        <v>002876</v>
      </c>
      <c r="C3546" t="s">
        <v>7436</v>
      </c>
      <c r="D3546" t="s">
        <v>1117</v>
      </c>
      <c r="F3546">
        <v>123.6272</v>
      </c>
      <c r="G3546">
        <v>155.11529999999999</v>
      </c>
      <c r="H3546">
        <v>191.38140000000001</v>
      </c>
      <c r="I3546">
        <v>230.27789999999999</v>
      </c>
      <c r="J3546">
        <v>173.00470000000001</v>
      </c>
      <c r="P3546">
        <v>212</v>
      </c>
      <c r="Q3546" t="s">
        <v>7437</v>
      </c>
    </row>
    <row r="3547" spans="1:17" x14ac:dyDescent="0.3">
      <c r="A3547" t="s">
        <v>4664</v>
      </c>
      <c r="B3547" t="str">
        <f>"002877"</f>
        <v>002877</v>
      </c>
      <c r="C3547" t="s">
        <v>7438</v>
      </c>
      <c r="D3547" t="s">
        <v>274</v>
      </c>
      <c r="F3547">
        <v>322.94260000000003</v>
      </c>
      <c r="G3547">
        <v>318.60430000000002</v>
      </c>
      <c r="H3547">
        <v>335.68599999999998</v>
      </c>
      <c r="I3547">
        <v>316.7799</v>
      </c>
      <c r="J3547">
        <v>229.3338</v>
      </c>
      <c r="P3547">
        <v>100</v>
      </c>
      <c r="Q3547" t="s">
        <v>7439</v>
      </c>
    </row>
    <row r="3548" spans="1:17" x14ac:dyDescent="0.3">
      <c r="A3548" t="s">
        <v>4664</v>
      </c>
      <c r="B3548" t="str">
        <f>"002878"</f>
        <v>002878</v>
      </c>
      <c r="C3548" t="s">
        <v>7440</v>
      </c>
      <c r="D3548" t="s">
        <v>1671</v>
      </c>
      <c r="F3548">
        <v>50.1374</v>
      </c>
      <c r="G3548">
        <v>47.749200000000002</v>
      </c>
      <c r="H3548">
        <v>40.527200000000001</v>
      </c>
      <c r="I3548">
        <v>21.488099999999999</v>
      </c>
      <c r="J3548">
        <v>25.072099999999999</v>
      </c>
      <c r="P3548">
        <v>345</v>
      </c>
      <c r="Q3548" t="s">
        <v>7441</v>
      </c>
    </row>
    <row r="3549" spans="1:17" x14ac:dyDescent="0.3">
      <c r="A3549" t="s">
        <v>4664</v>
      </c>
      <c r="B3549" t="str">
        <f>"002879"</f>
        <v>002879</v>
      </c>
      <c r="C3549" t="s">
        <v>7442</v>
      </c>
      <c r="D3549" t="s">
        <v>1164</v>
      </c>
      <c r="F3549">
        <v>209.37569999999999</v>
      </c>
      <c r="G3549">
        <v>173.02889999999999</v>
      </c>
      <c r="H3549">
        <v>187.3724</v>
      </c>
      <c r="I3549">
        <v>232.5051</v>
      </c>
      <c r="J3549">
        <v>235.3338</v>
      </c>
      <c r="P3549">
        <v>266</v>
      </c>
      <c r="Q3549" t="s">
        <v>7443</v>
      </c>
    </row>
    <row r="3550" spans="1:17" x14ac:dyDescent="0.3">
      <c r="A3550" t="s">
        <v>4664</v>
      </c>
      <c r="B3550" t="str">
        <f>"002880"</f>
        <v>002880</v>
      </c>
      <c r="C3550" t="s">
        <v>7444</v>
      </c>
      <c r="D3550" t="s">
        <v>378</v>
      </c>
      <c r="F3550">
        <v>411.57029999999997</v>
      </c>
      <c r="G3550">
        <v>431.40379999999999</v>
      </c>
      <c r="H3550">
        <v>542.03060000000005</v>
      </c>
      <c r="I3550">
        <v>647.19949999999994</v>
      </c>
      <c r="J3550">
        <v>609.88019999999995</v>
      </c>
      <c r="P3550">
        <v>214</v>
      </c>
      <c r="Q3550" t="s">
        <v>7445</v>
      </c>
    </row>
    <row r="3551" spans="1:17" x14ac:dyDescent="0.3">
      <c r="A3551" t="s">
        <v>4664</v>
      </c>
      <c r="B3551" t="str">
        <f>"002881"</f>
        <v>002881</v>
      </c>
      <c r="C3551" t="s">
        <v>7446</v>
      </c>
      <c r="D3551" t="s">
        <v>313</v>
      </c>
      <c r="F3551">
        <v>106.81950000000001</v>
      </c>
      <c r="G3551">
        <v>127.788</v>
      </c>
      <c r="H3551">
        <v>133.21709999999999</v>
      </c>
      <c r="I3551">
        <v>154.4409</v>
      </c>
      <c r="J3551">
        <v>132.54220000000001</v>
      </c>
      <c r="P3551">
        <v>240</v>
      </c>
      <c r="Q3551" t="s">
        <v>7447</v>
      </c>
    </row>
    <row r="3552" spans="1:17" x14ac:dyDescent="0.3">
      <c r="A3552" t="s">
        <v>4664</v>
      </c>
      <c r="B3552" t="str">
        <f>"002882"</f>
        <v>002882</v>
      </c>
      <c r="C3552" t="s">
        <v>7448</v>
      </c>
      <c r="D3552" t="s">
        <v>1164</v>
      </c>
      <c r="F3552">
        <v>93.925899999999999</v>
      </c>
      <c r="G3552">
        <v>107.616</v>
      </c>
      <c r="H3552">
        <v>100.6786</v>
      </c>
      <c r="I3552">
        <v>90.511899999999997</v>
      </c>
      <c r="J3552">
        <v>87.354100000000003</v>
      </c>
      <c r="P3552">
        <v>118</v>
      </c>
      <c r="Q3552" t="s">
        <v>7449</v>
      </c>
    </row>
    <row r="3553" spans="1:17" x14ac:dyDescent="0.3">
      <c r="A3553" t="s">
        <v>4664</v>
      </c>
      <c r="B3553" t="str">
        <f>"002883"</f>
        <v>002883</v>
      </c>
      <c r="C3553" t="s">
        <v>7450</v>
      </c>
      <c r="D3553" t="s">
        <v>1272</v>
      </c>
      <c r="F3553">
        <v>0</v>
      </c>
      <c r="G3553">
        <v>0.62250000000000005</v>
      </c>
      <c r="H3553">
        <v>0</v>
      </c>
      <c r="I3553">
        <v>0</v>
      </c>
      <c r="J3553">
        <v>0</v>
      </c>
      <c r="P3553">
        <v>102</v>
      </c>
      <c r="Q3553" t="s">
        <v>7451</v>
      </c>
    </row>
    <row r="3554" spans="1:17" x14ac:dyDescent="0.3">
      <c r="A3554" t="s">
        <v>4664</v>
      </c>
      <c r="B3554" t="str">
        <f>"002884"</f>
        <v>002884</v>
      </c>
      <c r="C3554" t="s">
        <v>7452</v>
      </c>
      <c r="D3554" t="s">
        <v>560</v>
      </c>
      <c r="F3554">
        <v>126.77</v>
      </c>
      <c r="G3554">
        <v>144.1087</v>
      </c>
      <c r="H3554">
        <v>157.15549999999999</v>
      </c>
      <c r="I3554">
        <v>155.33430000000001</v>
      </c>
      <c r="J3554">
        <v>152.06909999999999</v>
      </c>
      <c r="P3554">
        <v>995</v>
      </c>
      <c r="Q3554" t="s">
        <v>7453</v>
      </c>
    </row>
    <row r="3555" spans="1:17" x14ac:dyDescent="0.3">
      <c r="A3555" t="s">
        <v>4664</v>
      </c>
      <c r="B3555" t="str">
        <f>"002885"</f>
        <v>002885</v>
      </c>
      <c r="C3555" t="s">
        <v>7454</v>
      </c>
      <c r="D3555" t="s">
        <v>313</v>
      </c>
      <c r="F3555">
        <v>122.40130000000001</v>
      </c>
      <c r="G3555">
        <v>129.75700000000001</v>
      </c>
      <c r="H3555">
        <v>114.62439999999999</v>
      </c>
      <c r="I3555">
        <v>103.7955</v>
      </c>
      <c r="J3555">
        <v>92.1905</v>
      </c>
      <c r="P3555">
        <v>199</v>
      </c>
      <c r="Q3555" t="s">
        <v>7455</v>
      </c>
    </row>
    <row r="3556" spans="1:17" x14ac:dyDescent="0.3">
      <c r="A3556" t="s">
        <v>4664</v>
      </c>
      <c r="B3556" t="str">
        <f>"002886"</f>
        <v>002886</v>
      </c>
      <c r="C3556" t="s">
        <v>7456</v>
      </c>
      <c r="D3556" t="s">
        <v>341</v>
      </c>
      <c r="F3556">
        <v>163.3288</v>
      </c>
      <c r="G3556">
        <v>204.50239999999999</v>
      </c>
      <c r="H3556">
        <v>191.74760000000001</v>
      </c>
      <c r="I3556">
        <v>167.72470000000001</v>
      </c>
      <c r="J3556">
        <v>121.7543</v>
      </c>
      <c r="P3556">
        <v>190</v>
      </c>
      <c r="Q3556" t="s">
        <v>7457</v>
      </c>
    </row>
    <row r="3557" spans="1:17" x14ac:dyDescent="0.3">
      <c r="A3557" t="s">
        <v>4664</v>
      </c>
      <c r="B3557" t="str">
        <f>"002887"</f>
        <v>002887</v>
      </c>
      <c r="C3557" t="s">
        <v>7458</v>
      </c>
      <c r="D3557" t="s">
        <v>3548</v>
      </c>
      <c r="F3557">
        <v>3.7578999999999998</v>
      </c>
      <c r="G3557">
        <v>138.6686</v>
      </c>
      <c r="H3557">
        <v>547.25829999999996</v>
      </c>
      <c r="I3557">
        <v>410.02159999999998</v>
      </c>
      <c r="J3557">
        <v>354.62529999999998</v>
      </c>
      <c r="P3557">
        <v>167</v>
      </c>
      <c r="Q3557" t="s">
        <v>7459</v>
      </c>
    </row>
    <row r="3558" spans="1:17" x14ac:dyDescent="0.3">
      <c r="A3558" t="s">
        <v>4664</v>
      </c>
      <c r="B3558" t="str">
        <f>"002888"</f>
        <v>002888</v>
      </c>
      <c r="C3558" t="s">
        <v>7460</v>
      </c>
      <c r="D3558" t="s">
        <v>3499</v>
      </c>
      <c r="F3558">
        <v>382.35520000000002</v>
      </c>
      <c r="G3558">
        <v>361.5204</v>
      </c>
      <c r="H3558">
        <v>343.1293</v>
      </c>
      <c r="I3558">
        <v>343.27080000000001</v>
      </c>
      <c r="J3558">
        <v>240.18350000000001</v>
      </c>
      <c r="P3558">
        <v>80</v>
      </c>
      <c r="Q3558" t="s">
        <v>7461</v>
      </c>
    </row>
    <row r="3559" spans="1:17" x14ac:dyDescent="0.3">
      <c r="A3559" t="s">
        <v>4664</v>
      </c>
      <c r="B3559" t="str">
        <f>"002889"</f>
        <v>002889</v>
      </c>
      <c r="C3559" t="s">
        <v>7462</v>
      </c>
      <c r="D3559" t="s">
        <v>3098</v>
      </c>
      <c r="F3559">
        <v>1.6577</v>
      </c>
      <c r="G3559">
        <v>7.3730000000000002</v>
      </c>
      <c r="H3559">
        <v>1.4116</v>
      </c>
      <c r="I3559">
        <v>2.254</v>
      </c>
      <c r="J3559">
        <v>4.1757</v>
      </c>
      <c r="P3559">
        <v>123</v>
      </c>
      <c r="Q3559" t="s">
        <v>7463</v>
      </c>
    </row>
    <row r="3560" spans="1:17" x14ac:dyDescent="0.3">
      <c r="A3560" t="s">
        <v>4664</v>
      </c>
      <c r="B3560" t="str">
        <f>"002890"</f>
        <v>002890</v>
      </c>
      <c r="C3560" t="s">
        <v>7464</v>
      </c>
      <c r="D3560" t="s">
        <v>1979</v>
      </c>
      <c r="F3560">
        <v>164.53110000000001</v>
      </c>
      <c r="G3560">
        <v>164.4247</v>
      </c>
      <c r="H3560">
        <v>224.44149999999999</v>
      </c>
      <c r="I3560">
        <v>286.8999</v>
      </c>
      <c r="J3560">
        <v>181.08359999999999</v>
      </c>
      <c r="P3560">
        <v>70</v>
      </c>
      <c r="Q3560" t="s">
        <v>7465</v>
      </c>
    </row>
    <row r="3561" spans="1:17" x14ac:dyDescent="0.3">
      <c r="A3561" t="s">
        <v>4664</v>
      </c>
      <c r="B3561" t="str">
        <f>"002891"</f>
        <v>002891</v>
      </c>
      <c r="C3561" t="s">
        <v>7466</v>
      </c>
      <c r="D3561" t="s">
        <v>7467</v>
      </c>
      <c r="F3561">
        <v>117.8177</v>
      </c>
      <c r="G3561">
        <v>119.7642</v>
      </c>
      <c r="H3561">
        <v>108.46040000000001</v>
      </c>
      <c r="I3561">
        <v>105.9699</v>
      </c>
      <c r="J3561">
        <v>120.1918</v>
      </c>
      <c r="P3561">
        <v>649</v>
      </c>
      <c r="Q3561" t="s">
        <v>7468</v>
      </c>
    </row>
    <row r="3562" spans="1:17" x14ac:dyDescent="0.3">
      <c r="A3562" t="s">
        <v>4664</v>
      </c>
      <c r="B3562" t="str">
        <f>"002892"</f>
        <v>002892</v>
      </c>
      <c r="C3562" t="s">
        <v>7469</v>
      </c>
      <c r="D3562" t="s">
        <v>1171</v>
      </c>
      <c r="F3562">
        <v>100.11669999999999</v>
      </c>
      <c r="G3562">
        <v>104.7002</v>
      </c>
      <c r="H3562">
        <v>88.486099999999993</v>
      </c>
      <c r="I3562">
        <v>96.055599999999998</v>
      </c>
      <c r="J3562">
        <v>100.6917</v>
      </c>
      <c r="P3562">
        <v>145</v>
      </c>
      <c r="Q3562" t="s">
        <v>7470</v>
      </c>
    </row>
    <row r="3563" spans="1:17" x14ac:dyDescent="0.3">
      <c r="A3563" t="s">
        <v>4664</v>
      </c>
      <c r="B3563" t="str">
        <f>"002893"</f>
        <v>002893</v>
      </c>
      <c r="C3563" t="s">
        <v>7471</v>
      </c>
      <c r="D3563" t="s">
        <v>351</v>
      </c>
      <c r="F3563">
        <v>29.474499999999999</v>
      </c>
      <c r="G3563">
        <v>31.679400000000001</v>
      </c>
      <c r="H3563">
        <v>34.455399999999997</v>
      </c>
      <c r="I3563">
        <v>47.8658</v>
      </c>
      <c r="J3563">
        <v>59.541400000000003</v>
      </c>
      <c r="P3563">
        <v>92</v>
      </c>
      <c r="Q3563" t="s">
        <v>7472</v>
      </c>
    </row>
    <row r="3564" spans="1:17" x14ac:dyDescent="0.3">
      <c r="A3564" t="s">
        <v>4664</v>
      </c>
      <c r="B3564" t="str">
        <f>"002895"</f>
        <v>002895</v>
      </c>
      <c r="C3564" t="s">
        <v>7473</v>
      </c>
      <c r="D3564" t="s">
        <v>183</v>
      </c>
      <c r="F3564">
        <v>103.0078</v>
      </c>
      <c r="G3564">
        <v>105.9079</v>
      </c>
      <c r="H3564">
        <v>107.7861</v>
      </c>
      <c r="I3564">
        <v>143.6249</v>
      </c>
      <c r="J3564">
        <v>149.6601</v>
      </c>
      <c r="P3564">
        <v>148</v>
      </c>
      <c r="Q3564" t="s">
        <v>7474</v>
      </c>
    </row>
    <row r="3565" spans="1:17" x14ac:dyDescent="0.3">
      <c r="A3565" t="s">
        <v>4664</v>
      </c>
      <c r="B3565" t="str">
        <f>"002896"</f>
        <v>002896</v>
      </c>
      <c r="C3565" t="s">
        <v>7475</v>
      </c>
      <c r="D3565" t="s">
        <v>274</v>
      </c>
      <c r="F3565">
        <v>157.82499999999999</v>
      </c>
      <c r="G3565">
        <v>192.679</v>
      </c>
      <c r="H3565">
        <v>212.45509999999999</v>
      </c>
      <c r="I3565">
        <v>199.06729999999999</v>
      </c>
      <c r="J3565">
        <v>205.1002</v>
      </c>
      <c r="P3565">
        <v>137</v>
      </c>
      <c r="Q3565" t="s">
        <v>7476</v>
      </c>
    </row>
    <row r="3566" spans="1:17" x14ac:dyDescent="0.3">
      <c r="A3566" t="s">
        <v>4664</v>
      </c>
      <c r="B3566" t="str">
        <f>"002897"</f>
        <v>002897</v>
      </c>
      <c r="C3566" t="s">
        <v>7477</v>
      </c>
      <c r="D3566" t="s">
        <v>1019</v>
      </c>
      <c r="F3566">
        <v>157.12909999999999</v>
      </c>
      <c r="G3566">
        <v>139.6061</v>
      </c>
      <c r="H3566">
        <v>136.1943</v>
      </c>
      <c r="I3566">
        <v>123.18340000000001</v>
      </c>
      <c r="J3566">
        <v>128.90940000000001</v>
      </c>
      <c r="P3566">
        <v>234</v>
      </c>
      <c r="Q3566" t="s">
        <v>7478</v>
      </c>
    </row>
    <row r="3567" spans="1:17" x14ac:dyDescent="0.3">
      <c r="A3567" t="s">
        <v>4664</v>
      </c>
      <c r="B3567" t="str">
        <f>"002898"</f>
        <v>002898</v>
      </c>
      <c r="C3567" t="s">
        <v>7479</v>
      </c>
      <c r="D3567" t="s">
        <v>143</v>
      </c>
      <c r="F3567">
        <v>360.11919999999998</v>
      </c>
      <c r="G3567">
        <v>695.62779999999998</v>
      </c>
      <c r="H3567">
        <v>326.74470000000002</v>
      </c>
      <c r="I3567">
        <v>94.405600000000007</v>
      </c>
      <c r="J3567">
        <v>168.07310000000001</v>
      </c>
      <c r="P3567">
        <v>90</v>
      </c>
      <c r="Q3567" t="s">
        <v>7480</v>
      </c>
    </row>
    <row r="3568" spans="1:17" x14ac:dyDescent="0.3">
      <c r="A3568" t="s">
        <v>4664</v>
      </c>
      <c r="B3568" t="str">
        <f>"002899"</f>
        <v>002899</v>
      </c>
      <c r="C3568" t="s">
        <v>7481</v>
      </c>
      <c r="D3568" t="s">
        <v>2904</v>
      </c>
      <c r="F3568">
        <v>151.52879999999999</v>
      </c>
      <c r="G3568">
        <v>155.2045</v>
      </c>
      <c r="H3568">
        <v>146.3646</v>
      </c>
      <c r="I3568">
        <v>138.1807</v>
      </c>
      <c r="J3568">
        <v>120.7341</v>
      </c>
      <c r="P3568">
        <v>65</v>
      </c>
      <c r="Q3568" t="s">
        <v>7482</v>
      </c>
    </row>
    <row r="3569" spans="1:17" x14ac:dyDescent="0.3">
      <c r="A3569" t="s">
        <v>4664</v>
      </c>
      <c r="B3569" t="str">
        <f>"002900"</f>
        <v>002900</v>
      </c>
      <c r="C3569" t="s">
        <v>7483</v>
      </c>
      <c r="D3569" t="s">
        <v>143</v>
      </c>
      <c r="F3569">
        <v>268.40940000000001</v>
      </c>
      <c r="G3569">
        <v>223.7775</v>
      </c>
      <c r="H3569">
        <v>202.8801</v>
      </c>
      <c r="I3569">
        <v>221.42230000000001</v>
      </c>
      <c r="J3569">
        <v>200.26230000000001</v>
      </c>
      <c r="P3569">
        <v>196</v>
      </c>
      <c r="Q3569" t="s">
        <v>7484</v>
      </c>
    </row>
    <row r="3570" spans="1:17" x14ac:dyDescent="0.3">
      <c r="A3570" t="s">
        <v>4664</v>
      </c>
      <c r="B3570" t="str">
        <f>"002901"</f>
        <v>002901</v>
      </c>
      <c r="C3570" t="s">
        <v>7485</v>
      </c>
      <c r="D3570" t="s">
        <v>1077</v>
      </c>
      <c r="F3570">
        <v>1194.0197000000001</v>
      </c>
      <c r="G3570">
        <v>1136.9957999999999</v>
      </c>
      <c r="H3570">
        <v>980.68240000000003</v>
      </c>
      <c r="I3570">
        <v>844.81330000000003</v>
      </c>
      <c r="J3570">
        <v>780.78769999999997</v>
      </c>
      <c r="P3570">
        <v>1702</v>
      </c>
      <c r="Q3570" t="s">
        <v>7486</v>
      </c>
    </row>
    <row r="3571" spans="1:17" x14ac:dyDescent="0.3">
      <c r="A3571" t="s">
        <v>4664</v>
      </c>
      <c r="B3571" t="str">
        <f>"002902"</f>
        <v>002902</v>
      </c>
      <c r="C3571" t="s">
        <v>7487</v>
      </c>
      <c r="D3571" t="s">
        <v>1019</v>
      </c>
      <c r="F3571">
        <v>134.31559999999999</v>
      </c>
      <c r="G3571">
        <v>148.53700000000001</v>
      </c>
      <c r="H3571">
        <v>137.6961</v>
      </c>
      <c r="I3571">
        <v>123.39660000000001</v>
      </c>
      <c r="J3571">
        <v>123.3248</v>
      </c>
      <c r="P3571">
        <v>216</v>
      </c>
      <c r="Q3571" t="s">
        <v>7488</v>
      </c>
    </row>
    <row r="3572" spans="1:17" x14ac:dyDescent="0.3">
      <c r="A3572" t="s">
        <v>4664</v>
      </c>
      <c r="B3572" t="str">
        <f>"002903"</f>
        <v>002903</v>
      </c>
      <c r="C3572" t="s">
        <v>7489</v>
      </c>
      <c r="D3572" t="s">
        <v>2312</v>
      </c>
      <c r="F3572">
        <v>426.73500000000001</v>
      </c>
      <c r="G3572">
        <v>669.02639999999997</v>
      </c>
      <c r="H3572">
        <v>1523.1267</v>
      </c>
      <c r="I3572">
        <v>322.6447</v>
      </c>
      <c r="J3572">
        <v>255.01419999999999</v>
      </c>
      <c r="P3572">
        <v>143</v>
      </c>
      <c r="Q3572" t="s">
        <v>7490</v>
      </c>
    </row>
    <row r="3573" spans="1:17" x14ac:dyDescent="0.3">
      <c r="A3573" t="s">
        <v>4664</v>
      </c>
      <c r="B3573" t="str">
        <f>"002905"</f>
        <v>002905</v>
      </c>
      <c r="C3573" t="s">
        <v>7491</v>
      </c>
      <c r="D3573" t="s">
        <v>2558</v>
      </c>
      <c r="F3573">
        <v>5.7988</v>
      </c>
      <c r="G3573">
        <v>13.679</v>
      </c>
      <c r="H3573">
        <v>5.2747000000000002</v>
      </c>
      <c r="I3573">
        <v>6.3666</v>
      </c>
      <c r="J3573">
        <v>7.3680000000000003</v>
      </c>
      <c r="P3573">
        <v>133</v>
      </c>
      <c r="Q3573" t="s">
        <v>7492</v>
      </c>
    </row>
    <row r="3574" spans="1:17" x14ac:dyDescent="0.3">
      <c r="A3574" t="s">
        <v>4664</v>
      </c>
      <c r="B3574" t="str">
        <f>"002906"</f>
        <v>002906</v>
      </c>
      <c r="C3574" t="s">
        <v>7493</v>
      </c>
      <c r="D3574" t="s">
        <v>1415</v>
      </c>
      <c r="F3574">
        <v>122.30759999999999</v>
      </c>
      <c r="G3574">
        <v>132.87090000000001</v>
      </c>
      <c r="H3574">
        <v>106.2311</v>
      </c>
      <c r="I3574">
        <v>92.984999999999999</v>
      </c>
      <c r="J3574">
        <v>75.110799999999998</v>
      </c>
      <c r="P3574">
        <v>228</v>
      </c>
      <c r="Q3574" t="s">
        <v>7494</v>
      </c>
    </row>
    <row r="3575" spans="1:17" x14ac:dyDescent="0.3">
      <c r="A3575" t="s">
        <v>4664</v>
      </c>
      <c r="B3575" t="str">
        <f>"002907"</f>
        <v>002907</v>
      </c>
      <c r="C3575" t="s">
        <v>7495</v>
      </c>
      <c r="D3575" t="s">
        <v>188</v>
      </c>
      <c r="F3575">
        <v>147.56100000000001</v>
      </c>
      <c r="G3575">
        <v>109.3522</v>
      </c>
      <c r="H3575">
        <v>107.5243</v>
      </c>
      <c r="I3575">
        <v>101.79340000000001</v>
      </c>
      <c r="J3575">
        <v>107.815</v>
      </c>
      <c r="P3575">
        <v>286</v>
      </c>
      <c r="Q3575" t="s">
        <v>7496</v>
      </c>
    </row>
    <row r="3576" spans="1:17" x14ac:dyDescent="0.3">
      <c r="A3576" t="s">
        <v>4664</v>
      </c>
      <c r="B3576" t="str">
        <f>"002908"</f>
        <v>002908</v>
      </c>
      <c r="C3576" t="s">
        <v>7497</v>
      </c>
      <c r="D3576" t="s">
        <v>786</v>
      </c>
      <c r="F3576">
        <v>162.12100000000001</v>
      </c>
      <c r="G3576">
        <v>176.8125</v>
      </c>
      <c r="H3576">
        <v>195.6525</v>
      </c>
      <c r="I3576">
        <v>216.4051</v>
      </c>
      <c r="J3576">
        <v>251.21680000000001</v>
      </c>
      <c r="P3576">
        <v>126</v>
      </c>
      <c r="Q3576" t="s">
        <v>7498</v>
      </c>
    </row>
    <row r="3577" spans="1:17" x14ac:dyDescent="0.3">
      <c r="A3577" t="s">
        <v>4664</v>
      </c>
      <c r="B3577" t="str">
        <f>"002909"</f>
        <v>002909</v>
      </c>
      <c r="C3577" t="s">
        <v>7499</v>
      </c>
      <c r="D3577" t="s">
        <v>1205</v>
      </c>
      <c r="F3577">
        <v>46.354700000000001</v>
      </c>
      <c r="G3577">
        <v>51.122500000000002</v>
      </c>
      <c r="H3577">
        <v>65.034499999999994</v>
      </c>
      <c r="I3577">
        <v>63.0807</v>
      </c>
      <c r="J3577">
        <v>56.341999999999999</v>
      </c>
      <c r="P3577">
        <v>87</v>
      </c>
      <c r="Q3577" t="s">
        <v>7500</v>
      </c>
    </row>
    <row r="3578" spans="1:17" x14ac:dyDescent="0.3">
      <c r="A3578" t="s">
        <v>4664</v>
      </c>
      <c r="B3578" t="str">
        <f>"002910"</f>
        <v>002910</v>
      </c>
      <c r="C3578" t="s">
        <v>7501</v>
      </c>
      <c r="D3578" t="s">
        <v>900</v>
      </c>
      <c r="F3578">
        <v>93.449799999999996</v>
      </c>
      <c r="G3578">
        <v>86.182000000000002</v>
      </c>
      <c r="H3578">
        <v>75.046800000000005</v>
      </c>
      <c r="I3578">
        <v>75.820400000000006</v>
      </c>
      <c r="J3578">
        <v>87.0398</v>
      </c>
      <c r="P3578">
        <v>147</v>
      </c>
      <c r="Q3578" t="s">
        <v>7502</v>
      </c>
    </row>
    <row r="3579" spans="1:17" x14ac:dyDescent="0.3">
      <c r="A3579" t="s">
        <v>4664</v>
      </c>
      <c r="B3579" t="str">
        <f>"002911"</f>
        <v>002911</v>
      </c>
      <c r="C3579" t="s">
        <v>7503</v>
      </c>
      <c r="D3579" t="s">
        <v>749</v>
      </c>
      <c r="F3579">
        <v>6.1863999999999999</v>
      </c>
      <c r="G3579">
        <v>10.5969</v>
      </c>
      <c r="H3579">
        <v>12.0052</v>
      </c>
      <c r="I3579">
        <v>10.6807</v>
      </c>
      <c r="J3579">
        <v>8.1285000000000007</v>
      </c>
      <c r="P3579">
        <v>183</v>
      </c>
      <c r="Q3579" t="s">
        <v>7504</v>
      </c>
    </row>
    <row r="3580" spans="1:17" x14ac:dyDescent="0.3">
      <c r="A3580" t="s">
        <v>4664</v>
      </c>
      <c r="B3580" t="str">
        <f>"002912"</f>
        <v>002912</v>
      </c>
      <c r="C3580" t="s">
        <v>7505</v>
      </c>
      <c r="D3580" t="s">
        <v>236</v>
      </c>
      <c r="F3580">
        <v>539.93579999999997</v>
      </c>
      <c r="G3580">
        <v>625.02139999999997</v>
      </c>
      <c r="H3580">
        <v>821.62270000000001</v>
      </c>
      <c r="I3580">
        <v>988.37030000000004</v>
      </c>
      <c r="J3580">
        <v>385.91469999999998</v>
      </c>
      <c r="P3580">
        <v>586</v>
      </c>
      <c r="Q3580" t="s">
        <v>7506</v>
      </c>
    </row>
    <row r="3581" spans="1:17" x14ac:dyDescent="0.3">
      <c r="A3581" t="s">
        <v>4664</v>
      </c>
      <c r="B3581" t="str">
        <f>"002913"</f>
        <v>002913</v>
      </c>
      <c r="C3581" t="s">
        <v>7507</v>
      </c>
      <c r="D3581" t="s">
        <v>425</v>
      </c>
      <c r="F3581">
        <v>85.303399999999996</v>
      </c>
      <c r="G3581">
        <v>78.114500000000007</v>
      </c>
      <c r="H3581">
        <v>78.984999999999999</v>
      </c>
      <c r="I3581">
        <v>64.299499999999995</v>
      </c>
      <c r="J3581">
        <v>79.608800000000002</v>
      </c>
      <c r="P3581">
        <v>205</v>
      </c>
      <c r="Q3581" t="s">
        <v>7508</v>
      </c>
    </row>
    <row r="3582" spans="1:17" x14ac:dyDescent="0.3">
      <c r="A3582" t="s">
        <v>4664</v>
      </c>
      <c r="B3582" t="str">
        <f>"002915"</f>
        <v>002915</v>
      </c>
      <c r="C3582" t="s">
        <v>7509</v>
      </c>
      <c r="D3582" t="s">
        <v>375</v>
      </c>
      <c r="F3582">
        <v>68.971999999999994</v>
      </c>
      <c r="G3582">
        <v>84.906099999999995</v>
      </c>
      <c r="H3582">
        <v>125.80070000000001</v>
      </c>
      <c r="I3582">
        <v>100.5132</v>
      </c>
      <c r="J3582">
        <v>108.42659999999999</v>
      </c>
      <c r="P3582">
        <v>90</v>
      </c>
      <c r="Q3582" t="s">
        <v>7510</v>
      </c>
    </row>
    <row r="3583" spans="1:17" x14ac:dyDescent="0.3">
      <c r="A3583" t="s">
        <v>4664</v>
      </c>
      <c r="B3583" t="str">
        <f>"002916"</f>
        <v>002916</v>
      </c>
      <c r="C3583" t="s">
        <v>7511</v>
      </c>
      <c r="D3583" t="s">
        <v>425</v>
      </c>
      <c r="F3583">
        <v>126.12130000000001</v>
      </c>
      <c r="G3583">
        <v>96.179299999999998</v>
      </c>
      <c r="H3583">
        <v>84.058199999999999</v>
      </c>
      <c r="I3583">
        <v>105.2741</v>
      </c>
      <c r="J3583">
        <v>93.0304</v>
      </c>
      <c r="K3583">
        <v>39.911900000000003</v>
      </c>
      <c r="P3583">
        <v>2552</v>
      </c>
      <c r="Q3583" t="s">
        <v>7512</v>
      </c>
    </row>
    <row r="3584" spans="1:17" x14ac:dyDescent="0.3">
      <c r="A3584" t="s">
        <v>4664</v>
      </c>
      <c r="B3584" t="str">
        <f>"002917"</f>
        <v>002917</v>
      </c>
      <c r="C3584" t="s">
        <v>7513</v>
      </c>
      <c r="D3584" t="s">
        <v>2713</v>
      </c>
      <c r="F3584">
        <v>123.6384</v>
      </c>
      <c r="G3584">
        <v>109.88800000000001</v>
      </c>
      <c r="H3584">
        <v>125.973</v>
      </c>
      <c r="I3584">
        <v>139.93620000000001</v>
      </c>
      <c r="J3584">
        <v>154.13419999999999</v>
      </c>
      <c r="P3584">
        <v>67</v>
      </c>
      <c r="Q3584" t="s">
        <v>7514</v>
      </c>
    </row>
    <row r="3585" spans="1:17" x14ac:dyDescent="0.3">
      <c r="A3585" t="s">
        <v>4664</v>
      </c>
      <c r="B3585" t="str">
        <f>"002918"</f>
        <v>002918</v>
      </c>
      <c r="C3585" t="s">
        <v>7515</v>
      </c>
      <c r="D3585" t="s">
        <v>178</v>
      </c>
      <c r="F3585">
        <v>195.4143</v>
      </c>
      <c r="G3585">
        <v>203.95529999999999</v>
      </c>
      <c r="H3585">
        <v>199.3784</v>
      </c>
      <c r="I3585">
        <v>195.15379999999999</v>
      </c>
      <c r="J3585">
        <v>187.24459999999999</v>
      </c>
      <c r="P3585">
        <v>529</v>
      </c>
      <c r="Q3585" t="s">
        <v>7516</v>
      </c>
    </row>
    <row r="3586" spans="1:17" x14ac:dyDescent="0.3">
      <c r="A3586" t="s">
        <v>4664</v>
      </c>
      <c r="B3586" t="str">
        <f>"002919"</f>
        <v>002919</v>
      </c>
      <c r="C3586" t="s">
        <v>7517</v>
      </c>
      <c r="D3586" t="s">
        <v>569</v>
      </c>
      <c r="F3586">
        <v>176.29660000000001</v>
      </c>
      <c r="G3586">
        <v>220.18289999999999</v>
      </c>
      <c r="H3586">
        <v>293.06610000000001</v>
      </c>
      <c r="I3586">
        <v>253.37909999999999</v>
      </c>
      <c r="J3586">
        <v>105.6437</v>
      </c>
      <c r="P3586">
        <v>146</v>
      </c>
      <c r="Q3586" t="s">
        <v>7518</v>
      </c>
    </row>
    <row r="3587" spans="1:17" x14ac:dyDescent="0.3">
      <c r="A3587" t="s">
        <v>4664</v>
      </c>
      <c r="B3587" t="str">
        <f>"002920"</f>
        <v>002920</v>
      </c>
      <c r="C3587" t="s">
        <v>7519</v>
      </c>
      <c r="D3587" t="s">
        <v>945</v>
      </c>
      <c r="F3587">
        <v>111.22329999999999</v>
      </c>
      <c r="G3587">
        <v>110.44499999999999</v>
      </c>
      <c r="H3587">
        <v>100.95310000000001</v>
      </c>
      <c r="I3587">
        <v>102.54510000000001</v>
      </c>
      <c r="J3587">
        <v>122.26690000000001</v>
      </c>
      <c r="P3587">
        <v>688</v>
      </c>
      <c r="Q3587" t="s">
        <v>7520</v>
      </c>
    </row>
    <row r="3588" spans="1:17" x14ac:dyDescent="0.3">
      <c r="A3588" t="s">
        <v>4664</v>
      </c>
      <c r="B3588" t="str">
        <f>"002921"</f>
        <v>002921</v>
      </c>
      <c r="C3588" t="s">
        <v>7521</v>
      </c>
      <c r="D3588" t="s">
        <v>985</v>
      </c>
      <c r="F3588">
        <v>157.73699999999999</v>
      </c>
      <c r="G3588">
        <v>171.1703</v>
      </c>
      <c r="H3588">
        <v>204.99860000000001</v>
      </c>
      <c r="I3588">
        <v>195.81780000000001</v>
      </c>
      <c r="J3588">
        <v>168.6841</v>
      </c>
      <c r="P3588">
        <v>95</v>
      </c>
      <c r="Q3588" t="s">
        <v>7522</v>
      </c>
    </row>
    <row r="3589" spans="1:17" x14ac:dyDescent="0.3">
      <c r="A3589" t="s">
        <v>4664</v>
      </c>
      <c r="B3589" t="str">
        <f>"002922"</f>
        <v>002922</v>
      </c>
      <c r="C3589" t="s">
        <v>7523</v>
      </c>
      <c r="D3589" t="s">
        <v>651</v>
      </c>
      <c r="F3589">
        <v>93.499799999999993</v>
      </c>
      <c r="G3589">
        <v>94.477000000000004</v>
      </c>
      <c r="H3589">
        <v>91.632099999999994</v>
      </c>
      <c r="I3589">
        <v>105.4023</v>
      </c>
      <c r="J3589">
        <v>49.820599999999999</v>
      </c>
      <c r="P3589">
        <v>170</v>
      </c>
      <c r="Q3589" t="s">
        <v>7524</v>
      </c>
    </row>
    <row r="3590" spans="1:17" x14ac:dyDescent="0.3">
      <c r="A3590" t="s">
        <v>4664</v>
      </c>
      <c r="B3590" t="str">
        <f>"002923"</f>
        <v>002923</v>
      </c>
      <c r="C3590" t="s">
        <v>7525</v>
      </c>
      <c r="D3590" t="s">
        <v>143</v>
      </c>
      <c r="F3590">
        <v>323.00299999999999</v>
      </c>
      <c r="G3590">
        <v>268.01949999999999</v>
      </c>
      <c r="H3590">
        <v>255.2878</v>
      </c>
      <c r="I3590">
        <v>263.88830000000002</v>
      </c>
      <c r="J3590">
        <v>69.906999999999996</v>
      </c>
      <c r="P3590">
        <v>165</v>
      </c>
      <c r="Q3590" t="s">
        <v>7526</v>
      </c>
    </row>
    <row r="3591" spans="1:17" x14ac:dyDescent="0.3">
      <c r="A3591" t="s">
        <v>4664</v>
      </c>
      <c r="B3591" t="str">
        <f>"002925"</f>
        <v>002925</v>
      </c>
      <c r="C3591" t="s">
        <v>7527</v>
      </c>
      <c r="D3591" t="s">
        <v>313</v>
      </c>
      <c r="F3591">
        <v>99.275800000000004</v>
      </c>
      <c r="G3591">
        <v>107.5217</v>
      </c>
      <c r="H3591">
        <v>101.26009999999999</v>
      </c>
      <c r="I3591">
        <v>95.197999999999993</v>
      </c>
      <c r="J3591">
        <v>83.635400000000004</v>
      </c>
      <c r="P3591">
        <v>1061</v>
      </c>
      <c r="Q3591" t="s">
        <v>7528</v>
      </c>
    </row>
    <row r="3592" spans="1:17" x14ac:dyDescent="0.3">
      <c r="A3592" t="s">
        <v>4664</v>
      </c>
      <c r="B3592" t="str">
        <f>"002926"</f>
        <v>002926</v>
      </c>
      <c r="C3592" t="s">
        <v>7529</v>
      </c>
      <c r="D3592" t="s">
        <v>80</v>
      </c>
      <c r="P3592">
        <v>921</v>
      </c>
      <c r="Q3592" t="s">
        <v>7530</v>
      </c>
    </row>
    <row r="3593" spans="1:17" x14ac:dyDescent="0.3">
      <c r="A3593" t="s">
        <v>4664</v>
      </c>
      <c r="B3593" t="str">
        <f>"002927"</f>
        <v>002927</v>
      </c>
      <c r="C3593" t="s">
        <v>7531</v>
      </c>
      <c r="D3593" t="s">
        <v>657</v>
      </c>
      <c r="F3593">
        <v>161.1499</v>
      </c>
      <c r="G3593">
        <v>193.94479999999999</v>
      </c>
      <c r="H3593">
        <v>203.87280000000001</v>
      </c>
      <c r="I3593">
        <v>340.36649999999997</v>
      </c>
      <c r="P3593">
        <v>117</v>
      </c>
      <c r="Q3593" t="s">
        <v>7532</v>
      </c>
    </row>
    <row r="3594" spans="1:17" x14ac:dyDescent="0.3">
      <c r="A3594" t="s">
        <v>4664</v>
      </c>
      <c r="B3594" t="str">
        <f>"002928"</f>
        <v>002928</v>
      </c>
      <c r="C3594" t="s">
        <v>7533</v>
      </c>
      <c r="D3594" t="s">
        <v>77</v>
      </c>
      <c r="F3594">
        <v>15.0695</v>
      </c>
      <c r="G3594">
        <v>12.4208</v>
      </c>
      <c r="H3594">
        <v>8.3013999999999992</v>
      </c>
      <c r="I3594">
        <v>9.5198</v>
      </c>
      <c r="P3594">
        <v>333</v>
      </c>
      <c r="Q3594" t="s">
        <v>7534</v>
      </c>
    </row>
    <row r="3595" spans="1:17" x14ac:dyDescent="0.3">
      <c r="A3595" t="s">
        <v>4664</v>
      </c>
      <c r="B3595" t="str">
        <f>"002929"</f>
        <v>002929</v>
      </c>
      <c r="C3595" t="s">
        <v>7535</v>
      </c>
      <c r="D3595" t="s">
        <v>654</v>
      </c>
      <c r="F3595">
        <v>100.1126</v>
      </c>
      <c r="G3595">
        <v>119.1737</v>
      </c>
      <c r="H3595">
        <v>110.0686</v>
      </c>
      <c r="I3595">
        <v>131.8955</v>
      </c>
      <c r="J3595">
        <v>72.154899999999998</v>
      </c>
      <c r="P3595">
        <v>270</v>
      </c>
      <c r="Q3595" t="s">
        <v>7536</v>
      </c>
    </row>
    <row r="3596" spans="1:17" x14ac:dyDescent="0.3">
      <c r="A3596" t="s">
        <v>4664</v>
      </c>
      <c r="B3596" t="str">
        <f>"002930"</f>
        <v>002930</v>
      </c>
      <c r="C3596" t="s">
        <v>7537</v>
      </c>
      <c r="D3596" t="s">
        <v>1592</v>
      </c>
      <c r="F3596">
        <v>4.7455999999999996</v>
      </c>
      <c r="G3596">
        <v>4.8619000000000003</v>
      </c>
      <c r="H3596">
        <v>3.8414999999999999</v>
      </c>
      <c r="I3596">
        <v>8.3116000000000003</v>
      </c>
      <c r="J3596">
        <v>5.2903000000000002</v>
      </c>
      <c r="P3596">
        <v>160</v>
      </c>
      <c r="Q3596" t="s">
        <v>7538</v>
      </c>
    </row>
    <row r="3597" spans="1:17" x14ac:dyDescent="0.3">
      <c r="A3597" t="s">
        <v>4664</v>
      </c>
      <c r="B3597" t="str">
        <f>"002931"</f>
        <v>002931</v>
      </c>
      <c r="C3597" t="s">
        <v>7539</v>
      </c>
      <c r="D3597" t="s">
        <v>274</v>
      </c>
      <c r="F3597">
        <v>166.0701</v>
      </c>
      <c r="G3597">
        <v>173.39250000000001</v>
      </c>
      <c r="H3597">
        <v>162.48769999999999</v>
      </c>
      <c r="I3597">
        <v>144.88550000000001</v>
      </c>
      <c r="P3597">
        <v>107</v>
      </c>
      <c r="Q3597" t="s">
        <v>7540</v>
      </c>
    </row>
    <row r="3598" spans="1:17" x14ac:dyDescent="0.3">
      <c r="A3598" t="s">
        <v>4664</v>
      </c>
      <c r="B3598" t="str">
        <f>"002932"</f>
        <v>002932</v>
      </c>
      <c r="C3598" t="s">
        <v>7541</v>
      </c>
      <c r="D3598" t="s">
        <v>1305</v>
      </c>
      <c r="F3598">
        <v>123.32859999999999</v>
      </c>
      <c r="G3598">
        <v>242.47370000000001</v>
      </c>
      <c r="H3598">
        <v>314.14089999999999</v>
      </c>
      <c r="I3598">
        <v>216.303</v>
      </c>
      <c r="J3598">
        <v>80.024199999999993</v>
      </c>
      <c r="P3598">
        <v>423</v>
      </c>
      <c r="Q3598" t="s">
        <v>7542</v>
      </c>
    </row>
    <row r="3599" spans="1:17" x14ac:dyDescent="0.3">
      <c r="A3599" t="s">
        <v>4664</v>
      </c>
      <c r="B3599" t="str">
        <f>"002933"</f>
        <v>002933</v>
      </c>
      <c r="C3599" t="s">
        <v>7543</v>
      </c>
      <c r="D3599" t="s">
        <v>98</v>
      </c>
      <c r="F3599">
        <v>1257.7170000000001</v>
      </c>
      <c r="G3599">
        <v>1208.7591</v>
      </c>
      <c r="H3599">
        <v>862.43669999999997</v>
      </c>
      <c r="I3599">
        <v>960.48220000000003</v>
      </c>
      <c r="P3599">
        <v>314</v>
      </c>
      <c r="Q3599" t="s">
        <v>7544</v>
      </c>
    </row>
    <row r="3600" spans="1:17" x14ac:dyDescent="0.3">
      <c r="A3600" t="s">
        <v>4664</v>
      </c>
      <c r="B3600" t="str">
        <f>"002935"</f>
        <v>002935</v>
      </c>
      <c r="C3600" t="s">
        <v>7545</v>
      </c>
      <c r="D3600" t="s">
        <v>1136</v>
      </c>
      <c r="F3600">
        <v>557.80730000000005</v>
      </c>
      <c r="G3600">
        <v>605.3836</v>
      </c>
      <c r="H3600">
        <v>468.20589999999999</v>
      </c>
      <c r="I3600">
        <v>493.19549999999998</v>
      </c>
      <c r="P3600">
        <v>203</v>
      </c>
      <c r="Q3600" t="s">
        <v>7546</v>
      </c>
    </row>
    <row r="3601" spans="1:17" x14ac:dyDescent="0.3">
      <c r="A3601" t="s">
        <v>4664</v>
      </c>
      <c r="B3601" t="str">
        <f>"002936"</f>
        <v>002936</v>
      </c>
      <c r="C3601" t="s">
        <v>7547</v>
      </c>
      <c r="D3601" t="s">
        <v>1838</v>
      </c>
      <c r="P3601">
        <v>469</v>
      </c>
      <c r="Q3601" t="s">
        <v>7548</v>
      </c>
    </row>
    <row r="3602" spans="1:17" x14ac:dyDescent="0.3">
      <c r="A3602" t="s">
        <v>4664</v>
      </c>
      <c r="B3602" t="str">
        <f>"002937"</f>
        <v>002937</v>
      </c>
      <c r="C3602" t="s">
        <v>7549</v>
      </c>
      <c r="D3602" t="s">
        <v>313</v>
      </c>
      <c r="F3602">
        <v>59.138399999999997</v>
      </c>
      <c r="G3602">
        <v>50.389699999999998</v>
      </c>
      <c r="H3602">
        <v>42.669400000000003</v>
      </c>
      <c r="I3602">
        <v>45.557600000000001</v>
      </c>
      <c r="P3602">
        <v>209</v>
      </c>
      <c r="Q3602" t="s">
        <v>7550</v>
      </c>
    </row>
    <row r="3603" spans="1:17" x14ac:dyDescent="0.3">
      <c r="A3603" t="s">
        <v>4664</v>
      </c>
      <c r="B3603" t="str">
        <f>"002938"</f>
        <v>002938</v>
      </c>
      <c r="C3603" t="s">
        <v>7551</v>
      </c>
      <c r="D3603" t="s">
        <v>425</v>
      </c>
      <c r="F3603">
        <v>92.5364</v>
      </c>
      <c r="G3603">
        <v>72.588099999999997</v>
      </c>
      <c r="H3603">
        <v>63.499200000000002</v>
      </c>
      <c r="I3603">
        <v>65.516499999999994</v>
      </c>
      <c r="P3603">
        <v>961</v>
      </c>
      <c r="Q3603" t="s">
        <v>7552</v>
      </c>
    </row>
    <row r="3604" spans="1:17" x14ac:dyDescent="0.3">
      <c r="A3604" t="s">
        <v>4664</v>
      </c>
      <c r="B3604" t="str">
        <f>"002939"</f>
        <v>002939</v>
      </c>
      <c r="C3604" t="s">
        <v>7553</v>
      </c>
      <c r="D3604" t="s">
        <v>80</v>
      </c>
      <c r="P3604">
        <v>832</v>
      </c>
      <c r="Q3604" t="s">
        <v>7554</v>
      </c>
    </row>
    <row r="3605" spans="1:17" x14ac:dyDescent="0.3">
      <c r="A3605" t="s">
        <v>4664</v>
      </c>
      <c r="B3605" t="str">
        <f>"002940"</f>
        <v>002940</v>
      </c>
      <c r="C3605" t="s">
        <v>7555</v>
      </c>
      <c r="D3605" t="s">
        <v>143</v>
      </c>
      <c r="F3605">
        <v>261.0086</v>
      </c>
      <c r="G3605">
        <v>341.36599999999999</v>
      </c>
      <c r="H3605">
        <v>192.50219999999999</v>
      </c>
      <c r="I3605">
        <v>223.4092</v>
      </c>
      <c r="J3605">
        <v>71.734300000000005</v>
      </c>
      <c r="P3605">
        <v>148</v>
      </c>
      <c r="Q3605" t="s">
        <v>7556</v>
      </c>
    </row>
    <row r="3606" spans="1:17" x14ac:dyDescent="0.3">
      <c r="A3606" t="s">
        <v>4664</v>
      </c>
      <c r="B3606" t="str">
        <f>"002941"</f>
        <v>002941</v>
      </c>
      <c r="C3606" t="s">
        <v>7557</v>
      </c>
      <c r="D3606" t="s">
        <v>101</v>
      </c>
      <c r="F3606">
        <v>15.0306</v>
      </c>
      <c r="G3606">
        <v>109.2735</v>
      </c>
      <c r="H3606">
        <v>200.36019999999999</v>
      </c>
      <c r="I3606">
        <v>259.5575</v>
      </c>
      <c r="J3606">
        <v>95.228300000000004</v>
      </c>
      <c r="P3606">
        <v>145</v>
      </c>
      <c r="Q3606" t="s">
        <v>7558</v>
      </c>
    </row>
    <row r="3607" spans="1:17" x14ac:dyDescent="0.3">
      <c r="A3607" t="s">
        <v>4664</v>
      </c>
      <c r="B3607" t="str">
        <f>"002942"</f>
        <v>002942</v>
      </c>
      <c r="C3607" t="s">
        <v>7559</v>
      </c>
      <c r="D3607" t="s">
        <v>853</v>
      </c>
      <c r="F3607">
        <v>69.265299999999996</v>
      </c>
      <c r="G3607">
        <v>63.953200000000002</v>
      </c>
      <c r="H3607">
        <v>68.144900000000007</v>
      </c>
      <c r="I3607">
        <v>71.584199999999996</v>
      </c>
      <c r="J3607">
        <v>24.675899999999999</v>
      </c>
      <c r="P3607">
        <v>414</v>
      </c>
      <c r="Q3607" t="s">
        <v>7560</v>
      </c>
    </row>
    <row r="3608" spans="1:17" x14ac:dyDescent="0.3">
      <c r="A3608" t="s">
        <v>4664</v>
      </c>
      <c r="B3608" t="str">
        <f>"002943"</f>
        <v>002943</v>
      </c>
      <c r="C3608" t="s">
        <v>7561</v>
      </c>
      <c r="D3608" t="s">
        <v>2312</v>
      </c>
      <c r="F3608">
        <v>385.3571</v>
      </c>
      <c r="G3608">
        <v>398.7251</v>
      </c>
      <c r="H3608">
        <v>331.79300000000001</v>
      </c>
      <c r="P3608">
        <v>74</v>
      </c>
      <c r="Q3608" t="s">
        <v>7562</v>
      </c>
    </row>
    <row r="3609" spans="1:17" x14ac:dyDescent="0.3">
      <c r="A3609" t="s">
        <v>4664</v>
      </c>
      <c r="B3609" t="str">
        <f>"002945"</f>
        <v>002945</v>
      </c>
      <c r="C3609" t="s">
        <v>7563</v>
      </c>
      <c r="D3609" t="s">
        <v>80</v>
      </c>
      <c r="P3609">
        <v>913</v>
      </c>
      <c r="Q3609" t="s">
        <v>7564</v>
      </c>
    </row>
    <row r="3610" spans="1:17" x14ac:dyDescent="0.3">
      <c r="A3610" t="s">
        <v>4664</v>
      </c>
      <c r="B3610" t="str">
        <f>"002946"</f>
        <v>002946</v>
      </c>
      <c r="C3610" t="s">
        <v>7565</v>
      </c>
      <c r="D3610" t="s">
        <v>900</v>
      </c>
      <c r="F3610">
        <v>36.375599999999999</v>
      </c>
      <c r="G3610">
        <v>44.094900000000003</v>
      </c>
      <c r="H3610">
        <v>37.928699999999999</v>
      </c>
      <c r="I3610">
        <v>40.886800000000001</v>
      </c>
      <c r="P3610">
        <v>342</v>
      </c>
      <c r="Q3610" t="s">
        <v>7566</v>
      </c>
    </row>
    <row r="3611" spans="1:17" x14ac:dyDescent="0.3">
      <c r="A3611" t="s">
        <v>4664</v>
      </c>
      <c r="B3611" t="str">
        <f>"002947"</f>
        <v>002947</v>
      </c>
      <c r="C3611" t="s">
        <v>7567</v>
      </c>
      <c r="D3611" t="s">
        <v>313</v>
      </c>
      <c r="F3611">
        <v>119.8164</v>
      </c>
      <c r="G3611">
        <v>95.370800000000003</v>
      </c>
      <c r="H3611">
        <v>86.497100000000003</v>
      </c>
      <c r="I3611">
        <v>98.426500000000004</v>
      </c>
      <c r="P3611">
        <v>266</v>
      </c>
      <c r="Q3611" t="s">
        <v>7568</v>
      </c>
    </row>
    <row r="3612" spans="1:17" x14ac:dyDescent="0.3">
      <c r="A3612" t="s">
        <v>4664</v>
      </c>
      <c r="B3612" t="str">
        <f>"002948"</f>
        <v>002948</v>
      </c>
      <c r="C3612" t="s">
        <v>7569</v>
      </c>
      <c r="D3612" t="s">
        <v>1838</v>
      </c>
      <c r="P3612">
        <v>458</v>
      </c>
      <c r="Q3612" t="s">
        <v>7570</v>
      </c>
    </row>
    <row r="3613" spans="1:17" x14ac:dyDescent="0.3">
      <c r="A3613" t="s">
        <v>4664</v>
      </c>
      <c r="B3613" t="str">
        <f>"002949"</f>
        <v>002949</v>
      </c>
      <c r="C3613" t="s">
        <v>7571</v>
      </c>
      <c r="D3613" t="s">
        <v>1272</v>
      </c>
      <c r="F3613">
        <v>0.1133</v>
      </c>
      <c r="G3613">
        <v>3.8586999999999998</v>
      </c>
      <c r="H3613">
        <v>18.043299999999999</v>
      </c>
      <c r="I3613">
        <v>9.9201999999999995</v>
      </c>
      <c r="P3613">
        <v>158</v>
      </c>
      <c r="Q3613" t="s">
        <v>7572</v>
      </c>
    </row>
    <row r="3614" spans="1:17" x14ac:dyDescent="0.3">
      <c r="A3614" t="s">
        <v>4664</v>
      </c>
      <c r="B3614" t="str">
        <f>"002950"</f>
        <v>002950</v>
      </c>
      <c r="C3614" t="s">
        <v>7573</v>
      </c>
      <c r="D3614" t="s">
        <v>1077</v>
      </c>
      <c r="F3614">
        <v>161.0804</v>
      </c>
      <c r="G3614">
        <v>138.6292</v>
      </c>
      <c r="H3614">
        <v>206.1164</v>
      </c>
      <c r="I3614">
        <v>143.0643</v>
      </c>
      <c r="P3614">
        <v>1080</v>
      </c>
      <c r="Q3614" t="s">
        <v>7574</v>
      </c>
    </row>
    <row r="3615" spans="1:17" x14ac:dyDescent="0.3">
      <c r="A3615" t="s">
        <v>4664</v>
      </c>
      <c r="B3615" t="str">
        <f>"002951"</f>
        <v>002951</v>
      </c>
      <c r="C3615" t="s">
        <v>7575</v>
      </c>
      <c r="D3615" t="s">
        <v>2156</v>
      </c>
      <c r="F3615">
        <v>145.03190000000001</v>
      </c>
      <c r="G3615">
        <v>127.4636</v>
      </c>
      <c r="H3615">
        <v>146.39779999999999</v>
      </c>
      <c r="P3615">
        <v>93</v>
      </c>
      <c r="Q3615" t="s">
        <v>7576</v>
      </c>
    </row>
    <row r="3616" spans="1:17" x14ac:dyDescent="0.3">
      <c r="A3616" t="s">
        <v>4664</v>
      </c>
      <c r="B3616" t="str">
        <f>"002952"</f>
        <v>002952</v>
      </c>
      <c r="C3616" t="s">
        <v>7577</v>
      </c>
      <c r="D3616" t="s">
        <v>1117</v>
      </c>
      <c r="F3616">
        <v>165.0224</v>
      </c>
      <c r="G3616">
        <v>141.3115</v>
      </c>
      <c r="H3616">
        <v>112.44240000000001</v>
      </c>
      <c r="I3616">
        <v>51.436900000000001</v>
      </c>
      <c r="J3616">
        <v>107.3305</v>
      </c>
      <c r="P3616">
        <v>79</v>
      </c>
      <c r="Q3616" t="s">
        <v>7578</v>
      </c>
    </row>
    <row r="3617" spans="1:17" x14ac:dyDescent="0.3">
      <c r="A3617" t="s">
        <v>4664</v>
      </c>
      <c r="B3617" t="str">
        <f>"002953"</f>
        <v>002953</v>
      </c>
      <c r="C3617" t="s">
        <v>7579</v>
      </c>
      <c r="D3617" t="s">
        <v>1164</v>
      </c>
      <c r="F3617">
        <v>47.907899999999998</v>
      </c>
      <c r="G3617">
        <v>61.898899999999998</v>
      </c>
      <c r="H3617">
        <v>47.948300000000003</v>
      </c>
      <c r="P3617">
        <v>99</v>
      </c>
      <c r="Q3617" t="s">
        <v>7580</v>
      </c>
    </row>
    <row r="3618" spans="1:17" x14ac:dyDescent="0.3">
      <c r="A3618" t="s">
        <v>4664</v>
      </c>
      <c r="B3618" t="str">
        <f>"002955"</f>
        <v>002955</v>
      </c>
      <c r="C3618" t="s">
        <v>7581</v>
      </c>
      <c r="D3618" t="s">
        <v>1117</v>
      </c>
      <c r="F3618">
        <v>94.368799999999993</v>
      </c>
      <c r="G3618">
        <v>116.3831</v>
      </c>
      <c r="H3618">
        <v>91.899699999999996</v>
      </c>
      <c r="P3618">
        <v>167</v>
      </c>
      <c r="Q3618" t="s">
        <v>7582</v>
      </c>
    </row>
    <row r="3619" spans="1:17" x14ac:dyDescent="0.3">
      <c r="A3619" t="s">
        <v>4664</v>
      </c>
      <c r="B3619" t="str">
        <f>"002956"</f>
        <v>002956</v>
      </c>
      <c r="C3619" t="s">
        <v>7583</v>
      </c>
      <c r="D3619" t="s">
        <v>2479</v>
      </c>
      <c r="F3619">
        <v>93.162099999999995</v>
      </c>
      <c r="G3619">
        <v>115.1134</v>
      </c>
      <c r="H3619">
        <v>87.528800000000004</v>
      </c>
      <c r="P3619">
        <v>281</v>
      </c>
      <c r="Q3619" t="s">
        <v>7584</v>
      </c>
    </row>
    <row r="3620" spans="1:17" x14ac:dyDescent="0.3">
      <c r="A3620" t="s">
        <v>4664</v>
      </c>
      <c r="B3620" t="str">
        <f>"002957"</f>
        <v>002957</v>
      </c>
      <c r="C3620" t="s">
        <v>7585</v>
      </c>
      <c r="D3620" t="s">
        <v>2423</v>
      </c>
      <c r="F3620">
        <v>136.12350000000001</v>
      </c>
      <c r="G3620">
        <v>95.136899999999997</v>
      </c>
      <c r="H3620">
        <v>126.999</v>
      </c>
      <c r="P3620">
        <v>182</v>
      </c>
      <c r="Q3620" t="s">
        <v>7586</v>
      </c>
    </row>
    <row r="3621" spans="1:17" x14ac:dyDescent="0.3">
      <c r="A3621" t="s">
        <v>4664</v>
      </c>
      <c r="B3621" t="str">
        <f>"002958"</f>
        <v>002958</v>
      </c>
      <c r="C3621" t="s">
        <v>7587</v>
      </c>
      <c r="D3621" t="s">
        <v>1827</v>
      </c>
      <c r="P3621">
        <v>416</v>
      </c>
      <c r="Q3621" t="s">
        <v>7588</v>
      </c>
    </row>
    <row r="3622" spans="1:17" x14ac:dyDescent="0.3">
      <c r="A3622" t="s">
        <v>4664</v>
      </c>
      <c r="B3622" t="str">
        <f>"002959"</f>
        <v>002959</v>
      </c>
      <c r="C3622" t="s">
        <v>7589</v>
      </c>
      <c r="D3622" t="s">
        <v>5712</v>
      </c>
      <c r="F3622">
        <v>134.7543</v>
      </c>
      <c r="G3622">
        <v>108.91500000000001</v>
      </c>
      <c r="H3622">
        <v>117.2992</v>
      </c>
      <c r="P3622">
        <v>1479</v>
      </c>
      <c r="Q3622" t="s">
        <v>7590</v>
      </c>
    </row>
    <row r="3623" spans="1:17" x14ac:dyDescent="0.3">
      <c r="A3623" t="s">
        <v>4664</v>
      </c>
      <c r="B3623" t="str">
        <f>"002960"</f>
        <v>002960</v>
      </c>
      <c r="C3623" t="s">
        <v>7591</v>
      </c>
      <c r="D3623" t="s">
        <v>1689</v>
      </c>
      <c r="F3623">
        <v>128.57839999999999</v>
      </c>
      <c r="G3623">
        <v>108.3771</v>
      </c>
      <c r="H3623">
        <v>96.695499999999996</v>
      </c>
      <c r="P3623">
        <v>389</v>
      </c>
      <c r="Q3623" t="s">
        <v>7592</v>
      </c>
    </row>
    <row r="3624" spans="1:17" x14ac:dyDescent="0.3">
      <c r="A3624" t="s">
        <v>4664</v>
      </c>
      <c r="B3624" t="str">
        <f>"002961"</f>
        <v>002961</v>
      </c>
      <c r="C3624" t="s">
        <v>7593</v>
      </c>
      <c r="D3624" t="s">
        <v>1843</v>
      </c>
      <c r="P3624">
        <v>121</v>
      </c>
      <c r="Q3624" t="s">
        <v>7594</v>
      </c>
    </row>
    <row r="3625" spans="1:17" x14ac:dyDescent="0.3">
      <c r="A3625" t="s">
        <v>4664</v>
      </c>
      <c r="B3625" t="str">
        <f>"002962"</f>
        <v>002962</v>
      </c>
      <c r="C3625" t="s">
        <v>7595</v>
      </c>
      <c r="D3625" t="s">
        <v>164</v>
      </c>
      <c r="F3625">
        <v>70.937600000000003</v>
      </c>
      <c r="G3625">
        <v>79.891099999999994</v>
      </c>
      <c r="H3625">
        <v>53.564300000000003</v>
      </c>
      <c r="P3625">
        <v>137</v>
      </c>
      <c r="Q3625" t="s">
        <v>7596</v>
      </c>
    </row>
    <row r="3626" spans="1:17" x14ac:dyDescent="0.3">
      <c r="A3626" t="s">
        <v>4664</v>
      </c>
      <c r="B3626" t="str">
        <f>"002963"</f>
        <v>002963</v>
      </c>
      <c r="C3626" t="s">
        <v>7597</v>
      </c>
      <c r="D3626" t="s">
        <v>450</v>
      </c>
      <c r="F3626">
        <v>33.982999999999997</v>
      </c>
      <c r="G3626">
        <v>239.5025</v>
      </c>
      <c r="H3626">
        <v>184.40690000000001</v>
      </c>
      <c r="I3626">
        <v>84.855800000000002</v>
      </c>
      <c r="P3626">
        <v>75</v>
      </c>
      <c r="Q3626" t="s">
        <v>7598</v>
      </c>
    </row>
    <row r="3627" spans="1:17" x14ac:dyDescent="0.3">
      <c r="A3627" t="s">
        <v>4664</v>
      </c>
      <c r="B3627" t="str">
        <f>"002965"</f>
        <v>002965</v>
      </c>
      <c r="C3627" t="s">
        <v>7599</v>
      </c>
      <c r="D3627" t="s">
        <v>274</v>
      </c>
      <c r="F3627">
        <v>167.4537</v>
      </c>
      <c r="G3627">
        <v>144.83009999999999</v>
      </c>
      <c r="H3627">
        <v>115.55889999999999</v>
      </c>
      <c r="I3627">
        <v>42.81</v>
      </c>
      <c r="P3627">
        <v>400</v>
      </c>
      <c r="Q3627" t="s">
        <v>7600</v>
      </c>
    </row>
    <row r="3628" spans="1:17" x14ac:dyDescent="0.3">
      <c r="A3628" t="s">
        <v>4664</v>
      </c>
      <c r="B3628" t="str">
        <f>"002966"</f>
        <v>002966</v>
      </c>
      <c r="C3628" t="s">
        <v>7601</v>
      </c>
      <c r="D3628" t="s">
        <v>1838</v>
      </c>
      <c r="P3628">
        <v>365</v>
      </c>
      <c r="Q3628" t="s">
        <v>7602</v>
      </c>
    </row>
    <row r="3629" spans="1:17" x14ac:dyDescent="0.3">
      <c r="A3629" t="s">
        <v>4664</v>
      </c>
      <c r="B3629" t="str">
        <f>"002967"</f>
        <v>002967</v>
      </c>
      <c r="C3629" t="s">
        <v>7603</v>
      </c>
      <c r="D3629" t="s">
        <v>2499</v>
      </c>
      <c r="F3629">
        <v>3.9238</v>
      </c>
      <c r="G3629">
        <v>3.5817000000000001</v>
      </c>
      <c r="H3629">
        <v>6.4987000000000004</v>
      </c>
      <c r="I3629">
        <v>7.7348999999999997</v>
      </c>
      <c r="P3629">
        <v>236</v>
      </c>
      <c r="Q3629" t="s">
        <v>7604</v>
      </c>
    </row>
    <row r="3630" spans="1:17" x14ac:dyDescent="0.3">
      <c r="A3630" t="s">
        <v>4664</v>
      </c>
      <c r="B3630" t="str">
        <f>"002968"</f>
        <v>002968</v>
      </c>
      <c r="C3630" t="s">
        <v>7605</v>
      </c>
      <c r="D3630" t="s">
        <v>2948</v>
      </c>
      <c r="F3630">
        <v>0.93059999999999998</v>
      </c>
      <c r="G3630">
        <v>0.50639999999999996</v>
      </c>
      <c r="H3630">
        <v>0.28510000000000002</v>
      </c>
      <c r="I3630">
        <v>0.17810000000000001</v>
      </c>
      <c r="P3630">
        <v>234</v>
      </c>
      <c r="Q3630" t="s">
        <v>7606</v>
      </c>
    </row>
    <row r="3631" spans="1:17" x14ac:dyDescent="0.3">
      <c r="A3631" t="s">
        <v>4664</v>
      </c>
      <c r="B3631" t="str">
        <f>"002969"</f>
        <v>002969</v>
      </c>
      <c r="C3631" t="s">
        <v>7607</v>
      </c>
      <c r="D3631" t="s">
        <v>2364</v>
      </c>
      <c r="F3631">
        <v>91.991900000000001</v>
      </c>
      <c r="G3631">
        <v>113.5852</v>
      </c>
      <c r="H3631">
        <v>93.368399999999994</v>
      </c>
      <c r="P3631">
        <v>78</v>
      </c>
      <c r="Q3631" t="s">
        <v>7608</v>
      </c>
    </row>
    <row r="3632" spans="1:17" x14ac:dyDescent="0.3">
      <c r="A3632" t="s">
        <v>4664</v>
      </c>
      <c r="B3632" t="str">
        <f>"002970"</f>
        <v>002970</v>
      </c>
      <c r="C3632" t="s">
        <v>7609</v>
      </c>
      <c r="D3632" t="s">
        <v>236</v>
      </c>
      <c r="F3632">
        <v>180.48859999999999</v>
      </c>
      <c r="G3632">
        <v>133.45500000000001</v>
      </c>
      <c r="H3632">
        <v>126.3985</v>
      </c>
      <c r="P3632">
        <v>563</v>
      </c>
      <c r="Q3632" t="s">
        <v>7610</v>
      </c>
    </row>
    <row r="3633" spans="1:17" x14ac:dyDescent="0.3">
      <c r="A3633" t="s">
        <v>4664</v>
      </c>
      <c r="B3633" t="str">
        <f>"002971"</f>
        <v>002971</v>
      </c>
      <c r="C3633" t="s">
        <v>7611</v>
      </c>
      <c r="D3633" t="s">
        <v>386</v>
      </c>
      <c r="F3633">
        <v>21.85</v>
      </c>
      <c r="G3633">
        <v>20.844999999999999</v>
      </c>
      <c r="H3633">
        <v>27.847300000000001</v>
      </c>
      <c r="P3633">
        <v>70</v>
      </c>
      <c r="Q3633" t="s">
        <v>7612</v>
      </c>
    </row>
    <row r="3634" spans="1:17" x14ac:dyDescent="0.3">
      <c r="A3634" t="s">
        <v>4664</v>
      </c>
      <c r="B3634" t="str">
        <f>"002972"</f>
        <v>002972</v>
      </c>
      <c r="C3634" t="s">
        <v>7613</v>
      </c>
      <c r="D3634" t="s">
        <v>1012</v>
      </c>
      <c r="F3634">
        <v>361.95400000000001</v>
      </c>
      <c r="G3634">
        <v>405.55950000000001</v>
      </c>
      <c r="H3634">
        <v>316.45350000000002</v>
      </c>
      <c r="I3634">
        <v>422.00630000000001</v>
      </c>
      <c r="P3634">
        <v>188</v>
      </c>
      <c r="Q3634" t="s">
        <v>7614</v>
      </c>
    </row>
    <row r="3635" spans="1:17" x14ac:dyDescent="0.3">
      <c r="A3635" t="s">
        <v>4664</v>
      </c>
      <c r="B3635" t="str">
        <f>"002973"</f>
        <v>002973</v>
      </c>
      <c r="C3635" t="s">
        <v>7615</v>
      </c>
      <c r="D3635" t="s">
        <v>499</v>
      </c>
      <c r="F3635">
        <v>1.825</v>
      </c>
      <c r="G3635">
        <v>3.5900000000000001E-2</v>
      </c>
      <c r="H3635">
        <v>0</v>
      </c>
      <c r="P3635">
        <v>212</v>
      </c>
      <c r="Q3635" t="s">
        <v>7616</v>
      </c>
    </row>
    <row r="3636" spans="1:17" x14ac:dyDescent="0.3">
      <c r="A3636" t="s">
        <v>4664</v>
      </c>
      <c r="B3636" t="str">
        <f>"002975"</f>
        <v>002975</v>
      </c>
      <c r="C3636" t="s">
        <v>7617</v>
      </c>
      <c r="D3636" t="s">
        <v>2423</v>
      </c>
      <c r="F3636">
        <v>193.68899999999999</v>
      </c>
      <c r="G3636">
        <v>148.9915</v>
      </c>
      <c r="H3636">
        <v>159.2944</v>
      </c>
      <c r="P3636">
        <v>293</v>
      </c>
      <c r="Q3636" t="s">
        <v>7618</v>
      </c>
    </row>
    <row r="3637" spans="1:17" x14ac:dyDescent="0.3">
      <c r="A3637" t="s">
        <v>4664</v>
      </c>
      <c r="B3637" t="str">
        <f>"002976"</f>
        <v>002976</v>
      </c>
      <c r="C3637" t="s">
        <v>7619</v>
      </c>
      <c r="D3637" t="s">
        <v>313</v>
      </c>
      <c r="F3637">
        <v>125.4378</v>
      </c>
      <c r="G3637">
        <v>118.8571</v>
      </c>
      <c r="H3637">
        <v>113.8775</v>
      </c>
      <c r="P3637">
        <v>104</v>
      </c>
      <c r="Q3637" t="s">
        <v>7620</v>
      </c>
    </row>
    <row r="3638" spans="1:17" x14ac:dyDescent="0.3">
      <c r="A3638" t="s">
        <v>4664</v>
      </c>
      <c r="B3638" t="str">
        <f>"002977"</f>
        <v>002977</v>
      </c>
      <c r="C3638" t="s">
        <v>7621</v>
      </c>
      <c r="D3638" t="s">
        <v>1136</v>
      </c>
      <c r="F3638">
        <v>195.6602</v>
      </c>
      <c r="G3638">
        <v>178.27090000000001</v>
      </c>
      <c r="P3638">
        <v>126</v>
      </c>
      <c r="Q3638" t="s">
        <v>7622</v>
      </c>
    </row>
    <row r="3639" spans="1:17" x14ac:dyDescent="0.3">
      <c r="A3639" t="s">
        <v>4664</v>
      </c>
      <c r="B3639" t="str">
        <f>"002978"</f>
        <v>002978</v>
      </c>
      <c r="C3639" t="s">
        <v>7623</v>
      </c>
      <c r="D3639" t="s">
        <v>636</v>
      </c>
      <c r="F3639">
        <v>83.156000000000006</v>
      </c>
      <c r="G3639">
        <v>63.982999999999997</v>
      </c>
      <c r="P3639">
        <v>229</v>
      </c>
      <c r="Q3639" t="s">
        <v>7624</v>
      </c>
    </row>
    <row r="3640" spans="1:17" x14ac:dyDescent="0.3">
      <c r="A3640" t="s">
        <v>4664</v>
      </c>
      <c r="B3640" t="str">
        <f>"002979"</f>
        <v>002979</v>
      </c>
      <c r="C3640" t="s">
        <v>7625</v>
      </c>
      <c r="D3640" t="s">
        <v>2911</v>
      </c>
      <c r="F3640">
        <v>202.03149999999999</v>
      </c>
      <c r="G3640">
        <v>172.77099999999999</v>
      </c>
      <c r="P3640">
        <v>196</v>
      </c>
      <c r="Q3640" t="s">
        <v>7626</v>
      </c>
    </row>
    <row r="3641" spans="1:17" x14ac:dyDescent="0.3">
      <c r="A3641" t="s">
        <v>4664</v>
      </c>
      <c r="B3641" t="str">
        <f>"002980"</f>
        <v>002980</v>
      </c>
      <c r="C3641" t="s">
        <v>7627</v>
      </c>
      <c r="D3641" t="s">
        <v>2171</v>
      </c>
      <c r="F3641">
        <v>225.82089999999999</v>
      </c>
      <c r="G3641">
        <v>161.79480000000001</v>
      </c>
      <c r="P3641">
        <v>154</v>
      </c>
      <c r="Q3641" t="s">
        <v>7628</v>
      </c>
    </row>
    <row r="3642" spans="1:17" x14ac:dyDescent="0.3">
      <c r="A3642" t="s">
        <v>4664</v>
      </c>
      <c r="B3642" t="str">
        <f>"002981"</f>
        <v>002981</v>
      </c>
      <c r="C3642" t="s">
        <v>7629</v>
      </c>
      <c r="D3642" t="s">
        <v>313</v>
      </c>
      <c r="F3642">
        <v>113.4149</v>
      </c>
      <c r="G3642">
        <v>119.90730000000001</v>
      </c>
      <c r="I3642">
        <v>103.877</v>
      </c>
      <c r="P3642">
        <v>73</v>
      </c>
      <c r="Q3642" t="s">
        <v>7630</v>
      </c>
    </row>
    <row r="3643" spans="1:17" x14ac:dyDescent="0.3">
      <c r="A3643" t="s">
        <v>4664</v>
      </c>
      <c r="B3643" t="str">
        <f>"002982"</f>
        <v>002982</v>
      </c>
      <c r="C3643" t="s">
        <v>7631</v>
      </c>
      <c r="D3643" t="s">
        <v>6173</v>
      </c>
      <c r="F3643">
        <v>67.202299999999994</v>
      </c>
      <c r="G3643">
        <v>86.397800000000004</v>
      </c>
      <c r="H3643">
        <v>34.808799999999998</v>
      </c>
      <c r="P3643">
        <v>131</v>
      </c>
      <c r="Q3643" t="s">
        <v>7632</v>
      </c>
    </row>
    <row r="3644" spans="1:17" x14ac:dyDescent="0.3">
      <c r="A3644" t="s">
        <v>4664</v>
      </c>
      <c r="B3644" t="str">
        <f>"002983"</f>
        <v>002983</v>
      </c>
      <c r="C3644" t="s">
        <v>7633</v>
      </c>
      <c r="D3644" t="s">
        <v>803</v>
      </c>
      <c r="F3644">
        <v>77.394400000000005</v>
      </c>
      <c r="G3644">
        <v>82.233500000000006</v>
      </c>
      <c r="P3644">
        <v>109</v>
      </c>
      <c r="Q3644" t="s">
        <v>7634</v>
      </c>
    </row>
    <row r="3645" spans="1:17" x14ac:dyDescent="0.3">
      <c r="A3645" t="s">
        <v>4664</v>
      </c>
      <c r="B3645" t="str">
        <f>"002984"</f>
        <v>002984</v>
      </c>
      <c r="C3645" t="s">
        <v>7635</v>
      </c>
      <c r="D3645" t="s">
        <v>422</v>
      </c>
      <c r="F3645">
        <v>125.34520000000001</v>
      </c>
      <c r="G3645">
        <v>117.3991</v>
      </c>
      <c r="P3645">
        <v>203</v>
      </c>
      <c r="Q3645" t="s">
        <v>7636</v>
      </c>
    </row>
    <row r="3646" spans="1:17" x14ac:dyDescent="0.3">
      <c r="A3646" t="s">
        <v>4664</v>
      </c>
      <c r="B3646" t="str">
        <f>"002985"</f>
        <v>002985</v>
      </c>
      <c r="C3646" t="s">
        <v>7637</v>
      </c>
      <c r="D3646" t="s">
        <v>98</v>
      </c>
      <c r="F3646">
        <v>570.55460000000005</v>
      </c>
      <c r="G3646">
        <v>735.18010000000004</v>
      </c>
      <c r="P3646">
        <v>548</v>
      </c>
      <c r="Q3646" t="s">
        <v>7638</v>
      </c>
    </row>
    <row r="3647" spans="1:17" x14ac:dyDescent="0.3">
      <c r="A3647" t="s">
        <v>4664</v>
      </c>
      <c r="B3647" t="str">
        <f>"002986"</f>
        <v>002986</v>
      </c>
      <c r="C3647" t="s">
        <v>7639</v>
      </c>
      <c r="D3647" t="s">
        <v>1615</v>
      </c>
      <c r="F3647">
        <v>23.051100000000002</v>
      </c>
      <c r="G3647">
        <v>11.423400000000001</v>
      </c>
      <c r="P3647">
        <v>58</v>
      </c>
      <c r="Q3647" t="s">
        <v>7640</v>
      </c>
    </row>
    <row r="3648" spans="1:17" x14ac:dyDescent="0.3">
      <c r="A3648" t="s">
        <v>4664</v>
      </c>
      <c r="B3648" t="str">
        <f>"002987"</f>
        <v>002987</v>
      </c>
      <c r="C3648" t="s">
        <v>7641</v>
      </c>
      <c r="D3648" t="s">
        <v>945</v>
      </c>
      <c r="F3648">
        <v>4.1173000000000002</v>
      </c>
      <c r="G3648">
        <v>3.4094000000000002</v>
      </c>
      <c r="P3648">
        <v>127</v>
      </c>
      <c r="Q3648" t="s">
        <v>7642</v>
      </c>
    </row>
    <row r="3649" spans="1:17" x14ac:dyDescent="0.3">
      <c r="A3649" t="s">
        <v>4664</v>
      </c>
      <c r="B3649" t="str">
        <f>"002988"</f>
        <v>002988</v>
      </c>
      <c r="C3649" t="s">
        <v>7643</v>
      </c>
      <c r="D3649" t="s">
        <v>504</v>
      </c>
      <c r="F3649">
        <v>54.7819</v>
      </c>
      <c r="G3649">
        <v>81.2196</v>
      </c>
      <c r="P3649">
        <v>61</v>
      </c>
      <c r="Q3649" t="s">
        <v>7644</v>
      </c>
    </row>
    <row r="3650" spans="1:17" x14ac:dyDescent="0.3">
      <c r="A3650" t="s">
        <v>4664</v>
      </c>
      <c r="B3650" t="str">
        <f>"002989"</f>
        <v>002989</v>
      </c>
      <c r="C3650" t="s">
        <v>7645</v>
      </c>
      <c r="D3650" t="s">
        <v>450</v>
      </c>
      <c r="F3650">
        <v>5.8818999999999999</v>
      </c>
      <c r="G3650">
        <v>45.5715</v>
      </c>
      <c r="I3650">
        <v>110.6284</v>
      </c>
      <c r="P3650">
        <v>137</v>
      </c>
      <c r="Q3650" t="s">
        <v>7646</v>
      </c>
    </row>
    <row r="3651" spans="1:17" x14ac:dyDescent="0.3">
      <c r="A3651" t="s">
        <v>4664</v>
      </c>
      <c r="B3651" t="str">
        <f>"002990"</f>
        <v>002990</v>
      </c>
      <c r="C3651" t="s">
        <v>7647</v>
      </c>
      <c r="D3651" t="s">
        <v>236</v>
      </c>
      <c r="F3651">
        <v>204.22630000000001</v>
      </c>
      <c r="G3651">
        <v>279.97390000000001</v>
      </c>
      <c r="P3651">
        <v>109</v>
      </c>
      <c r="Q3651" t="s">
        <v>7648</v>
      </c>
    </row>
    <row r="3652" spans="1:17" x14ac:dyDescent="0.3">
      <c r="A3652" t="s">
        <v>4664</v>
      </c>
      <c r="B3652" t="str">
        <f>"002991"</f>
        <v>002991</v>
      </c>
      <c r="C3652" t="s">
        <v>7649</v>
      </c>
      <c r="D3652" t="s">
        <v>3167</v>
      </c>
      <c r="F3652">
        <v>58.880600000000001</v>
      </c>
      <c r="G3652">
        <v>69.065200000000004</v>
      </c>
      <c r="P3652">
        <v>211</v>
      </c>
      <c r="Q3652" t="s">
        <v>7650</v>
      </c>
    </row>
    <row r="3653" spans="1:17" x14ac:dyDescent="0.3">
      <c r="A3653" t="s">
        <v>4664</v>
      </c>
      <c r="B3653" t="str">
        <f>"002992"</f>
        <v>002992</v>
      </c>
      <c r="C3653" t="s">
        <v>7651</v>
      </c>
      <c r="D3653" t="s">
        <v>1117</v>
      </c>
      <c r="F3653">
        <v>57.9236</v>
      </c>
      <c r="G3653">
        <v>67.716800000000006</v>
      </c>
      <c r="H3653">
        <v>11.603</v>
      </c>
      <c r="P3653">
        <v>51</v>
      </c>
      <c r="Q3653" t="s">
        <v>7652</v>
      </c>
    </row>
    <row r="3654" spans="1:17" x14ac:dyDescent="0.3">
      <c r="A3654" t="s">
        <v>4664</v>
      </c>
      <c r="B3654" t="str">
        <f>"002993"</f>
        <v>002993</v>
      </c>
      <c r="C3654" t="s">
        <v>7653</v>
      </c>
      <c r="D3654" t="s">
        <v>313</v>
      </c>
      <c r="F3654">
        <v>72.297499999999999</v>
      </c>
      <c r="G3654">
        <v>58.697400000000002</v>
      </c>
      <c r="P3654">
        <v>145</v>
      </c>
      <c r="Q3654" t="s">
        <v>7654</v>
      </c>
    </row>
    <row r="3655" spans="1:17" x14ac:dyDescent="0.3">
      <c r="A3655" t="s">
        <v>4664</v>
      </c>
      <c r="B3655" t="str">
        <f>"002995"</f>
        <v>002995</v>
      </c>
      <c r="C3655" t="s">
        <v>7655</v>
      </c>
      <c r="D3655" t="s">
        <v>207</v>
      </c>
      <c r="F3655">
        <v>0</v>
      </c>
      <c r="G3655">
        <v>0</v>
      </c>
      <c r="P3655">
        <v>74</v>
      </c>
      <c r="Q3655" t="s">
        <v>7656</v>
      </c>
    </row>
    <row r="3656" spans="1:17" x14ac:dyDescent="0.3">
      <c r="A3656" t="s">
        <v>4664</v>
      </c>
      <c r="B3656" t="str">
        <f>"002996"</f>
        <v>002996</v>
      </c>
      <c r="C3656" t="s">
        <v>7657</v>
      </c>
      <c r="D3656" t="s">
        <v>504</v>
      </c>
      <c r="F3656">
        <v>42.186799999999998</v>
      </c>
      <c r="G3656">
        <v>54.856400000000001</v>
      </c>
      <c r="H3656">
        <v>18.010000000000002</v>
      </c>
      <c r="P3656">
        <v>73</v>
      </c>
      <c r="Q3656" t="s">
        <v>7658</v>
      </c>
    </row>
    <row r="3657" spans="1:17" x14ac:dyDescent="0.3">
      <c r="A3657" t="s">
        <v>4664</v>
      </c>
      <c r="B3657" t="str">
        <f>"002997"</f>
        <v>002997</v>
      </c>
      <c r="C3657" t="s">
        <v>7659</v>
      </c>
      <c r="D3657" t="s">
        <v>985</v>
      </c>
      <c r="F3657">
        <v>720.04840000000002</v>
      </c>
      <c r="G3657">
        <v>718.6585</v>
      </c>
      <c r="H3657">
        <v>286.6241</v>
      </c>
      <c r="P3657">
        <v>85</v>
      </c>
      <c r="Q3657" t="s">
        <v>7660</v>
      </c>
    </row>
    <row r="3658" spans="1:17" x14ac:dyDescent="0.3">
      <c r="A3658" t="s">
        <v>4664</v>
      </c>
      <c r="B3658" t="str">
        <f>"002998"</f>
        <v>002998</v>
      </c>
      <c r="C3658" t="s">
        <v>7661</v>
      </c>
      <c r="D3658" t="s">
        <v>2708</v>
      </c>
      <c r="F3658">
        <v>69.851500000000001</v>
      </c>
      <c r="G3658">
        <v>67.484800000000007</v>
      </c>
      <c r="H3658">
        <v>24.224399999999999</v>
      </c>
      <c r="P3658">
        <v>36</v>
      </c>
      <c r="Q3658" t="s">
        <v>7662</v>
      </c>
    </row>
    <row r="3659" spans="1:17" x14ac:dyDescent="0.3">
      <c r="A3659" t="s">
        <v>4664</v>
      </c>
      <c r="B3659" t="str">
        <f>"002999"</f>
        <v>002999</v>
      </c>
      <c r="C3659" t="s">
        <v>7663</v>
      </c>
      <c r="D3659" t="s">
        <v>5489</v>
      </c>
      <c r="F3659">
        <v>73.310299999999998</v>
      </c>
      <c r="G3659">
        <v>81.874799999999993</v>
      </c>
      <c r="P3659">
        <v>45</v>
      </c>
      <c r="Q3659" t="s">
        <v>7664</v>
      </c>
    </row>
    <row r="3660" spans="1:17" x14ac:dyDescent="0.3">
      <c r="A3660" t="s">
        <v>4664</v>
      </c>
      <c r="B3660" t="str">
        <f>"003000"</f>
        <v>003000</v>
      </c>
      <c r="C3660" t="s">
        <v>7665</v>
      </c>
      <c r="D3660" t="s">
        <v>3167</v>
      </c>
      <c r="F3660">
        <v>138.3021</v>
      </c>
      <c r="G3660">
        <v>84.484499999999997</v>
      </c>
      <c r="P3660">
        <v>84</v>
      </c>
      <c r="Q3660" t="s">
        <v>7666</v>
      </c>
    </row>
    <row r="3661" spans="1:17" x14ac:dyDescent="0.3">
      <c r="A3661" t="s">
        <v>4664</v>
      </c>
      <c r="B3661" t="str">
        <f>"003001"</f>
        <v>003001</v>
      </c>
      <c r="C3661" t="s">
        <v>7667</v>
      </c>
      <c r="D3661" t="s">
        <v>1986</v>
      </c>
      <c r="F3661">
        <v>14.9755</v>
      </c>
      <c r="G3661">
        <v>78.737700000000004</v>
      </c>
      <c r="H3661">
        <v>55.418100000000003</v>
      </c>
      <c r="P3661">
        <v>95</v>
      </c>
      <c r="Q3661" t="s">
        <v>7668</v>
      </c>
    </row>
    <row r="3662" spans="1:17" x14ac:dyDescent="0.3">
      <c r="A3662" t="s">
        <v>4664</v>
      </c>
      <c r="B3662" t="str">
        <f>"003002"</f>
        <v>003002</v>
      </c>
      <c r="C3662" t="s">
        <v>7669</v>
      </c>
      <c r="D3662" t="s">
        <v>2713</v>
      </c>
      <c r="F3662">
        <v>54.985599999999998</v>
      </c>
      <c r="G3662">
        <v>73.406199999999998</v>
      </c>
      <c r="P3662">
        <v>39</v>
      </c>
      <c r="Q3662" t="s">
        <v>7670</v>
      </c>
    </row>
    <row r="3663" spans="1:17" x14ac:dyDescent="0.3">
      <c r="A3663" t="s">
        <v>4664</v>
      </c>
      <c r="B3663" t="str">
        <f>"003003"</f>
        <v>003003</v>
      </c>
      <c r="C3663" t="s">
        <v>7671</v>
      </c>
      <c r="D3663" t="s">
        <v>2439</v>
      </c>
      <c r="F3663">
        <v>135.3135</v>
      </c>
      <c r="G3663">
        <v>118.0202</v>
      </c>
      <c r="H3663">
        <v>53.746400000000001</v>
      </c>
      <c r="J3663">
        <v>112.6435</v>
      </c>
      <c r="P3663">
        <v>39</v>
      </c>
      <c r="Q3663" t="s">
        <v>7672</v>
      </c>
    </row>
    <row r="3664" spans="1:17" x14ac:dyDescent="0.3">
      <c r="A3664" t="s">
        <v>4664</v>
      </c>
      <c r="B3664" t="str">
        <f>"003004"</f>
        <v>003004</v>
      </c>
      <c r="C3664" t="s">
        <v>7673</v>
      </c>
      <c r="D3664" t="s">
        <v>2953</v>
      </c>
      <c r="F3664">
        <v>206.90430000000001</v>
      </c>
      <c r="G3664">
        <v>253.27500000000001</v>
      </c>
      <c r="P3664">
        <v>37</v>
      </c>
      <c r="Q3664" t="s">
        <v>7674</v>
      </c>
    </row>
    <row r="3665" spans="1:17" x14ac:dyDescent="0.3">
      <c r="A3665" t="s">
        <v>4664</v>
      </c>
      <c r="B3665" t="str">
        <f>"003005"</f>
        <v>003005</v>
      </c>
      <c r="C3665" t="s">
        <v>7675</v>
      </c>
      <c r="D3665" t="s">
        <v>316</v>
      </c>
      <c r="F3665">
        <v>260.07</v>
      </c>
      <c r="G3665">
        <v>218.46700000000001</v>
      </c>
      <c r="P3665">
        <v>68</v>
      </c>
      <c r="Q3665" t="s">
        <v>7676</v>
      </c>
    </row>
    <row r="3666" spans="1:17" x14ac:dyDescent="0.3">
      <c r="A3666" t="s">
        <v>4664</v>
      </c>
      <c r="B3666" t="str">
        <f>"003006"</f>
        <v>003006</v>
      </c>
      <c r="C3666" t="s">
        <v>7677</v>
      </c>
      <c r="D3666" t="s">
        <v>2728</v>
      </c>
      <c r="F3666">
        <v>82.764799999999994</v>
      </c>
      <c r="G3666">
        <v>88.795299999999997</v>
      </c>
      <c r="P3666">
        <v>172</v>
      </c>
      <c r="Q3666" t="s">
        <v>7678</v>
      </c>
    </row>
    <row r="3667" spans="1:17" x14ac:dyDescent="0.3">
      <c r="A3667" t="s">
        <v>4664</v>
      </c>
      <c r="B3667" t="str">
        <f>"003007"</f>
        <v>003007</v>
      </c>
      <c r="C3667" t="s">
        <v>7679</v>
      </c>
      <c r="D3667" t="s">
        <v>945</v>
      </c>
      <c r="F3667">
        <v>207.4179</v>
      </c>
      <c r="G3667">
        <v>89.9161</v>
      </c>
      <c r="P3667">
        <v>38</v>
      </c>
      <c r="Q3667" t="s">
        <v>7680</v>
      </c>
    </row>
    <row r="3668" spans="1:17" x14ac:dyDescent="0.3">
      <c r="A3668" t="s">
        <v>4664</v>
      </c>
      <c r="B3668" t="str">
        <f>"003008"</f>
        <v>003008</v>
      </c>
      <c r="C3668" t="s">
        <v>7681</v>
      </c>
      <c r="D3668" t="s">
        <v>2499</v>
      </c>
      <c r="F3668">
        <v>12.629099999999999</v>
      </c>
      <c r="G3668">
        <v>10.8164</v>
      </c>
      <c r="P3668">
        <v>68</v>
      </c>
      <c r="Q3668" t="s">
        <v>7682</v>
      </c>
    </row>
    <row r="3669" spans="1:17" x14ac:dyDescent="0.3">
      <c r="A3669" t="s">
        <v>4664</v>
      </c>
      <c r="B3669" t="str">
        <f>"003009"</f>
        <v>003009</v>
      </c>
      <c r="C3669" t="s">
        <v>7683</v>
      </c>
      <c r="D3669" t="s">
        <v>284</v>
      </c>
      <c r="F3669">
        <v>167.26589999999999</v>
      </c>
      <c r="G3669">
        <v>191.0626</v>
      </c>
      <c r="P3669">
        <v>105</v>
      </c>
      <c r="Q3669" t="s">
        <v>7684</v>
      </c>
    </row>
    <row r="3670" spans="1:17" x14ac:dyDescent="0.3">
      <c r="A3670" t="s">
        <v>4664</v>
      </c>
      <c r="B3670" t="str">
        <f>"003010"</f>
        <v>003010</v>
      </c>
      <c r="C3670" t="s">
        <v>7685</v>
      </c>
      <c r="D3670" t="s">
        <v>3590</v>
      </c>
      <c r="F3670">
        <v>220.15979999999999</v>
      </c>
      <c r="G3670">
        <v>143.1815</v>
      </c>
      <c r="H3670">
        <v>63.674100000000003</v>
      </c>
      <c r="P3670">
        <v>58</v>
      </c>
      <c r="Q3670" t="s">
        <v>7686</v>
      </c>
    </row>
    <row r="3671" spans="1:17" x14ac:dyDescent="0.3">
      <c r="A3671" t="s">
        <v>4664</v>
      </c>
      <c r="B3671" t="str">
        <f>"003011"</f>
        <v>003011</v>
      </c>
      <c r="C3671" t="s">
        <v>7687</v>
      </c>
      <c r="D3671" t="s">
        <v>178</v>
      </c>
      <c r="F3671">
        <v>116.5416</v>
      </c>
      <c r="G3671">
        <v>91.167199999999994</v>
      </c>
      <c r="P3671">
        <v>89</v>
      </c>
      <c r="Q3671" t="s">
        <v>7688</v>
      </c>
    </row>
    <row r="3672" spans="1:17" x14ac:dyDescent="0.3">
      <c r="A3672" t="s">
        <v>4664</v>
      </c>
      <c r="B3672" t="str">
        <f>"003012"</f>
        <v>003012</v>
      </c>
      <c r="C3672" t="s">
        <v>7689</v>
      </c>
      <c r="D3672" t="s">
        <v>178</v>
      </c>
      <c r="F3672">
        <v>139.1129</v>
      </c>
      <c r="G3672">
        <v>162.7165</v>
      </c>
      <c r="H3672">
        <v>77.598200000000006</v>
      </c>
      <c r="P3672">
        <v>120</v>
      </c>
      <c r="Q3672" t="s">
        <v>7690</v>
      </c>
    </row>
    <row r="3673" spans="1:17" x14ac:dyDescent="0.3">
      <c r="A3673" t="s">
        <v>4664</v>
      </c>
      <c r="B3673" t="str">
        <f>"003013"</f>
        <v>003013</v>
      </c>
      <c r="C3673" t="s">
        <v>7691</v>
      </c>
      <c r="D3673" t="s">
        <v>1272</v>
      </c>
      <c r="F3673">
        <v>145.4675</v>
      </c>
      <c r="G3673">
        <v>135.42400000000001</v>
      </c>
      <c r="P3673">
        <v>101</v>
      </c>
      <c r="Q3673" t="s">
        <v>7692</v>
      </c>
    </row>
    <row r="3674" spans="1:17" x14ac:dyDescent="0.3">
      <c r="A3674" t="s">
        <v>4664</v>
      </c>
      <c r="B3674" t="str">
        <f>"003015"</f>
        <v>003015</v>
      </c>
      <c r="C3674" t="s">
        <v>7693</v>
      </c>
      <c r="D3674" t="s">
        <v>164</v>
      </c>
      <c r="F3674">
        <v>206.88390000000001</v>
      </c>
      <c r="G3674">
        <v>148.1446</v>
      </c>
      <c r="H3674">
        <v>75.174899999999994</v>
      </c>
      <c r="P3674">
        <v>46</v>
      </c>
      <c r="Q3674" t="s">
        <v>7694</v>
      </c>
    </row>
    <row r="3675" spans="1:17" x14ac:dyDescent="0.3">
      <c r="A3675" t="s">
        <v>4664</v>
      </c>
      <c r="B3675" t="str">
        <f>"003016"</f>
        <v>003016</v>
      </c>
      <c r="C3675" t="s">
        <v>7695</v>
      </c>
      <c r="D3675" t="s">
        <v>255</v>
      </c>
      <c r="F3675">
        <v>554.23530000000005</v>
      </c>
      <c r="G3675">
        <v>765.226</v>
      </c>
      <c r="H3675">
        <v>320.43119999999999</v>
      </c>
      <c r="P3675">
        <v>58</v>
      </c>
      <c r="Q3675" t="s">
        <v>7696</v>
      </c>
    </row>
    <row r="3676" spans="1:17" x14ac:dyDescent="0.3">
      <c r="A3676" t="s">
        <v>4664</v>
      </c>
      <c r="B3676" t="str">
        <f>"003017"</f>
        <v>003017</v>
      </c>
      <c r="C3676" t="s">
        <v>7697</v>
      </c>
      <c r="D3676" t="s">
        <v>736</v>
      </c>
      <c r="F3676">
        <v>94.948999999999998</v>
      </c>
      <c r="G3676">
        <v>77.688299999999998</v>
      </c>
      <c r="P3676">
        <v>39</v>
      </c>
      <c r="Q3676" t="s">
        <v>7698</v>
      </c>
    </row>
    <row r="3677" spans="1:17" x14ac:dyDescent="0.3">
      <c r="A3677" t="s">
        <v>4664</v>
      </c>
      <c r="B3677" t="str">
        <f>"003018"</f>
        <v>003018</v>
      </c>
      <c r="C3677" t="s">
        <v>7699</v>
      </c>
      <c r="D3677" t="s">
        <v>485</v>
      </c>
      <c r="F3677">
        <v>120.2135</v>
      </c>
      <c r="G3677">
        <v>170.6327</v>
      </c>
      <c r="P3677">
        <v>38</v>
      </c>
      <c r="Q3677" t="s">
        <v>7700</v>
      </c>
    </row>
    <row r="3678" spans="1:17" x14ac:dyDescent="0.3">
      <c r="A3678" t="s">
        <v>4664</v>
      </c>
      <c r="B3678" t="str">
        <f>"003019"</f>
        <v>003019</v>
      </c>
      <c r="C3678" t="s">
        <v>7701</v>
      </c>
      <c r="D3678" t="s">
        <v>1117</v>
      </c>
      <c r="F3678">
        <v>174.33439999999999</v>
      </c>
      <c r="G3678">
        <v>119.37130000000001</v>
      </c>
      <c r="P3678">
        <v>62</v>
      </c>
      <c r="Q3678" t="s">
        <v>7702</v>
      </c>
    </row>
    <row r="3679" spans="1:17" x14ac:dyDescent="0.3">
      <c r="A3679" t="s">
        <v>4664</v>
      </c>
      <c r="B3679" t="str">
        <f>"003020"</f>
        <v>003020</v>
      </c>
      <c r="C3679" t="s">
        <v>7703</v>
      </c>
      <c r="D3679" t="s">
        <v>143</v>
      </c>
      <c r="F3679">
        <v>74.538499999999999</v>
      </c>
      <c r="G3679">
        <v>73.392499999999998</v>
      </c>
      <c r="P3679">
        <v>78</v>
      </c>
      <c r="Q3679" t="s">
        <v>7704</v>
      </c>
    </row>
    <row r="3680" spans="1:17" x14ac:dyDescent="0.3">
      <c r="A3680" t="s">
        <v>4664</v>
      </c>
      <c r="B3680" t="str">
        <f>"003021"</f>
        <v>003021</v>
      </c>
      <c r="C3680" t="s">
        <v>7705</v>
      </c>
      <c r="D3680" t="s">
        <v>1171</v>
      </c>
      <c r="F3680">
        <v>96.773600000000002</v>
      </c>
      <c r="G3680">
        <v>98.666200000000003</v>
      </c>
      <c r="H3680">
        <v>22.069900000000001</v>
      </c>
      <c r="P3680">
        <v>80</v>
      </c>
      <c r="Q3680" t="s">
        <v>7706</v>
      </c>
    </row>
    <row r="3681" spans="1:17" x14ac:dyDescent="0.3">
      <c r="A3681" t="s">
        <v>4664</v>
      </c>
      <c r="B3681" t="str">
        <f>"003022"</f>
        <v>003022</v>
      </c>
      <c r="C3681" t="s">
        <v>7707</v>
      </c>
      <c r="D3681" t="s">
        <v>478</v>
      </c>
      <c r="F3681">
        <v>43.457999999999998</v>
      </c>
      <c r="G3681">
        <v>44.618600000000001</v>
      </c>
      <c r="P3681">
        <v>205</v>
      </c>
      <c r="Q3681" t="s">
        <v>7708</v>
      </c>
    </row>
    <row r="3682" spans="1:17" x14ac:dyDescent="0.3">
      <c r="A3682" t="s">
        <v>4664</v>
      </c>
      <c r="B3682" t="str">
        <f>"003023"</f>
        <v>003023</v>
      </c>
      <c r="C3682" t="s">
        <v>7709</v>
      </c>
      <c r="D3682" t="s">
        <v>5712</v>
      </c>
      <c r="F3682">
        <v>437.72030000000001</v>
      </c>
      <c r="G3682">
        <v>506.67950000000002</v>
      </c>
      <c r="P3682">
        <v>49</v>
      </c>
      <c r="Q3682" t="s">
        <v>7710</v>
      </c>
    </row>
    <row r="3683" spans="1:17" x14ac:dyDescent="0.3">
      <c r="A3683" t="s">
        <v>4664</v>
      </c>
      <c r="B3683" t="str">
        <f>"003025"</f>
        <v>003025</v>
      </c>
      <c r="C3683" t="s">
        <v>7711</v>
      </c>
      <c r="D3683" t="s">
        <v>2312</v>
      </c>
      <c r="F3683">
        <v>296.54149999999998</v>
      </c>
      <c r="G3683">
        <v>299.83030000000002</v>
      </c>
      <c r="P3683">
        <v>118</v>
      </c>
      <c r="Q3683" t="s">
        <v>7712</v>
      </c>
    </row>
    <row r="3684" spans="1:17" x14ac:dyDescent="0.3">
      <c r="A3684" t="s">
        <v>4664</v>
      </c>
      <c r="B3684" t="str">
        <f>"003026"</f>
        <v>003026</v>
      </c>
      <c r="C3684" t="s">
        <v>7713</v>
      </c>
      <c r="D3684" t="s">
        <v>475</v>
      </c>
      <c r="F3684">
        <v>247.54140000000001</v>
      </c>
      <c r="G3684">
        <v>248.422</v>
      </c>
      <c r="P3684">
        <v>106</v>
      </c>
      <c r="Q3684" t="s">
        <v>7714</v>
      </c>
    </row>
    <row r="3685" spans="1:17" x14ac:dyDescent="0.3">
      <c r="A3685" t="s">
        <v>4664</v>
      </c>
      <c r="B3685" t="str">
        <f>"003027"</f>
        <v>003027</v>
      </c>
      <c r="C3685" t="s">
        <v>7715</v>
      </c>
      <c r="D3685" t="s">
        <v>663</v>
      </c>
      <c r="F3685">
        <v>141.4187</v>
      </c>
      <c r="G3685">
        <v>205.0043</v>
      </c>
      <c r="P3685">
        <v>58</v>
      </c>
      <c r="Q3685" t="s">
        <v>7716</v>
      </c>
    </row>
    <row r="3686" spans="1:17" x14ac:dyDescent="0.3">
      <c r="A3686" t="s">
        <v>4664</v>
      </c>
      <c r="B3686" t="str">
        <f>"003028"</f>
        <v>003028</v>
      </c>
      <c r="C3686" t="s">
        <v>7717</v>
      </c>
      <c r="D3686" t="s">
        <v>313</v>
      </c>
      <c r="F3686">
        <v>166.0693</v>
      </c>
      <c r="G3686">
        <v>112.206</v>
      </c>
      <c r="P3686">
        <v>83</v>
      </c>
      <c r="Q3686" t="s">
        <v>7718</v>
      </c>
    </row>
    <row r="3687" spans="1:17" x14ac:dyDescent="0.3">
      <c r="A3687" t="s">
        <v>4664</v>
      </c>
      <c r="B3687" t="str">
        <f>"003029"</f>
        <v>003029</v>
      </c>
      <c r="C3687" t="s">
        <v>7719</v>
      </c>
      <c r="D3687" t="s">
        <v>945</v>
      </c>
      <c r="F3687">
        <v>326.64890000000003</v>
      </c>
      <c r="G3687">
        <v>427.31209999999999</v>
      </c>
      <c r="P3687">
        <v>75</v>
      </c>
      <c r="Q3687" t="s">
        <v>7720</v>
      </c>
    </row>
    <row r="3688" spans="1:17" x14ac:dyDescent="0.3">
      <c r="A3688" t="s">
        <v>4664</v>
      </c>
      <c r="B3688" t="str">
        <f>"003030"</f>
        <v>003030</v>
      </c>
      <c r="C3688" t="s">
        <v>7721</v>
      </c>
      <c r="D3688" t="s">
        <v>445</v>
      </c>
      <c r="F3688">
        <v>33.032800000000002</v>
      </c>
      <c r="G3688">
        <v>39.332099999999997</v>
      </c>
      <c r="P3688">
        <v>60</v>
      </c>
      <c r="Q3688" t="s">
        <v>7722</v>
      </c>
    </row>
    <row r="3689" spans="1:17" x14ac:dyDescent="0.3">
      <c r="A3689" t="s">
        <v>4664</v>
      </c>
      <c r="B3689" t="str">
        <f>"003031"</f>
        <v>003031</v>
      </c>
      <c r="C3689" t="s">
        <v>7723</v>
      </c>
      <c r="D3689" t="s">
        <v>786</v>
      </c>
      <c r="F3689">
        <v>149.0205</v>
      </c>
      <c r="G3689">
        <v>169.99690000000001</v>
      </c>
      <c r="P3689">
        <v>87</v>
      </c>
      <c r="Q3689" t="s">
        <v>7724</v>
      </c>
    </row>
    <row r="3690" spans="1:17" x14ac:dyDescent="0.3">
      <c r="A3690" t="s">
        <v>4664</v>
      </c>
      <c r="B3690" t="str">
        <f>"003032"</f>
        <v>003032</v>
      </c>
      <c r="C3690" t="s">
        <v>7725</v>
      </c>
      <c r="D3690" t="s">
        <v>1336</v>
      </c>
      <c r="F3690">
        <v>0</v>
      </c>
      <c r="P3690">
        <v>59</v>
      </c>
      <c r="Q3690" t="s">
        <v>7726</v>
      </c>
    </row>
    <row r="3691" spans="1:17" x14ac:dyDescent="0.3">
      <c r="A3691" t="s">
        <v>4664</v>
      </c>
      <c r="B3691" t="str">
        <f>"003033"</f>
        <v>003033</v>
      </c>
      <c r="C3691" t="s">
        <v>7727</v>
      </c>
      <c r="D3691" t="s">
        <v>1654</v>
      </c>
      <c r="F3691">
        <v>88.536500000000004</v>
      </c>
      <c r="G3691">
        <v>93.861800000000002</v>
      </c>
      <c r="P3691">
        <v>67</v>
      </c>
      <c r="Q3691" t="s">
        <v>7728</v>
      </c>
    </row>
    <row r="3692" spans="1:17" x14ac:dyDescent="0.3">
      <c r="A3692" t="s">
        <v>4664</v>
      </c>
      <c r="B3692" t="str">
        <f>"003035"</f>
        <v>003035</v>
      </c>
      <c r="C3692" t="s">
        <v>7729</v>
      </c>
      <c r="D3692" t="s">
        <v>239</v>
      </c>
      <c r="F3692">
        <v>20.7347</v>
      </c>
      <c r="G3692">
        <v>16.5105</v>
      </c>
      <c r="P3692">
        <v>278</v>
      </c>
      <c r="Q3692" t="s">
        <v>7730</v>
      </c>
    </row>
    <row r="3693" spans="1:17" x14ac:dyDescent="0.3">
      <c r="A3693" t="s">
        <v>4664</v>
      </c>
      <c r="B3693" t="str">
        <f>"003036"</f>
        <v>003036</v>
      </c>
      <c r="C3693" t="s">
        <v>7731</v>
      </c>
      <c r="D3693" t="s">
        <v>534</v>
      </c>
      <c r="F3693">
        <v>107.1206</v>
      </c>
      <c r="G3693">
        <v>108.0204</v>
      </c>
      <c r="P3693">
        <v>37</v>
      </c>
      <c r="Q3693" t="s">
        <v>7732</v>
      </c>
    </row>
    <row r="3694" spans="1:17" x14ac:dyDescent="0.3">
      <c r="A3694" t="s">
        <v>4664</v>
      </c>
      <c r="B3694" t="str">
        <f>"003037"</f>
        <v>003037</v>
      </c>
      <c r="C3694" t="s">
        <v>7733</v>
      </c>
      <c r="D3694" t="s">
        <v>3320</v>
      </c>
      <c r="F3694">
        <v>32.450099999999999</v>
      </c>
      <c r="G3694">
        <v>40.735799999999998</v>
      </c>
      <c r="P3694">
        <v>40</v>
      </c>
      <c r="Q3694" t="s">
        <v>7734</v>
      </c>
    </row>
    <row r="3695" spans="1:17" x14ac:dyDescent="0.3">
      <c r="A3695" t="s">
        <v>4664</v>
      </c>
      <c r="B3695" t="str">
        <f>"003038"</f>
        <v>003038</v>
      </c>
      <c r="C3695" t="s">
        <v>7735</v>
      </c>
      <c r="D3695" t="s">
        <v>504</v>
      </c>
      <c r="F3695">
        <v>32.323099999999997</v>
      </c>
      <c r="P3695">
        <v>74</v>
      </c>
      <c r="Q3695" t="s">
        <v>7736</v>
      </c>
    </row>
    <row r="3696" spans="1:17" x14ac:dyDescent="0.3">
      <c r="A3696" t="s">
        <v>4664</v>
      </c>
      <c r="B3696" t="str">
        <f>"003039"</f>
        <v>003039</v>
      </c>
      <c r="C3696" t="s">
        <v>7737</v>
      </c>
      <c r="D3696" t="s">
        <v>33</v>
      </c>
      <c r="F3696">
        <v>31.022500000000001</v>
      </c>
      <c r="P3696">
        <v>64</v>
      </c>
      <c r="Q3696" t="s">
        <v>7738</v>
      </c>
    </row>
    <row r="3697" spans="1:17" x14ac:dyDescent="0.3">
      <c r="A3697" t="s">
        <v>4664</v>
      </c>
      <c r="B3697" t="str">
        <f>"003040"</f>
        <v>003040</v>
      </c>
      <c r="C3697" t="s">
        <v>7739</v>
      </c>
      <c r="D3697" t="s">
        <v>786</v>
      </c>
      <c r="F3697">
        <v>116.6075</v>
      </c>
      <c r="P3697">
        <v>61</v>
      </c>
      <c r="Q3697" t="s">
        <v>7740</v>
      </c>
    </row>
    <row r="3698" spans="1:17" x14ac:dyDescent="0.3">
      <c r="A3698" t="s">
        <v>4664</v>
      </c>
      <c r="B3698" t="str">
        <f>"003041"</f>
        <v>003041</v>
      </c>
      <c r="C3698" t="s">
        <v>7741</v>
      </c>
      <c r="D3698" t="s">
        <v>2862</v>
      </c>
      <c r="F3698">
        <v>110.6247</v>
      </c>
      <c r="P3698">
        <v>30</v>
      </c>
      <c r="Q3698" t="s">
        <v>7742</v>
      </c>
    </row>
    <row r="3699" spans="1:17" x14ac:dyDescent="0.3">
      <c r="A3699" t="s">
        <v>4664</v>
      </c>
      <c r="B3699" t="str">
        <f>"003042"</f>
        <v>003042</v>
      </c>
      <c r="C3699" t="s">
        <v>7743</v>
      </c>
      <c r="D3699" t="s">
        <v>853</v>
      </c>
      <c r="F3699">
        <v>106.8925</v>
      </c>
      <c r="G3699">
        <v>116.0367</v>
      </c>
      <c r="P3699">
        <v>29</v>
      </c>
      <c r="Q3699" t="s">
        <v>7744</v>
      </c>
    </row>
    <row r="3700" spans="1:17" x14ac:dyDescent="0.3">
      <c r="A3700" t="s">
        <v>4664</v>
      </c>
      <c r="B3700" t="str">
        <f>"003043"</f>
        <v>003043</v>
      </c>
      <c r="C3700" t="s">
        <v>7745</v>
      </c>
      <c r="D3700" t="s">
        <v>3160</v>
      </c>
      <c r="F3700">
        <v>111.0835</v>
      </c>
      <c r="P3700">
        <v>46</v>
      </c>
      <c r="Q3700" t="s">
        <v>7746</v>
      </c>
    </row>
    <row r="3701" spans="1:17" x14ac:dyDescent="0.3">
      <c r="A3701" t="s">
        <v>4664</v>
      </c>
      <c r="B3701" t="str">
        <f>"003816"</f>
        <v>003816</v>
      </c>
      <c r="C3701" t="s">
        <v>7747</v>
      </c>
      <c r="D3701" t="s">
        <v>2372</v>
      </c>
      <c r="F3701">
        <v>141.99709999999999</v>
      </c>
      <c r="G3701">
        <v>213.79050000000001</v>
      </c>
      <c r="H3701">
        <v>313.49149999999997</v>
      </c>
      <c r="I3701">
        <v>240.74590000000001</v>
      </c>
      <c r="J3701">
        <v>449.13990000000001</v>
      </c>
      <c r="P3701">
        <v>523</v>
      </c>
      <c r="Q3701" t="s">
        <v>7748</v>
      </c>
    </row>
    <row r="3702" spans="1:17" x14ac:dyDescent="0.3">
      <c r="A3702" t="s">
        <v>4664</v>
      </c>
      <c r="B3702" t="str">
        <f>"200002"</f>
        <v>200002</v>
      </c>
      <c r="C3702" t="s">
        <v>7749</v>
      </c>
      <c r="K3702">
        <v>1705.6849</v>
      </c>
      <c r="L3702">
        <v>2132.9456</v>
      </c>
      <c r="M3702">
        <v>2781.5733</v>
      </c>
      <c r="N3702">
        <v>2484.7248</v>
      </c>
      <c r="O3702">
        <v>2835.6025</v>
      </c>
      <c r="P3702">
        <v>22</v>
      </c>
      <c r="Q3702" t="s">
        <v>7750</v>
      </c>
    </row>
    <row r="3703" spans="1:17" x14ac:dyDescent="0.3">
      <c r="A3703" t="s">
        <v>4664</v>
      </c>
      <c r="B3703" t="str">
        <f>"200011"</f>
        <v>200011</v>
      </c>
      <c r="C3703" t="s">
        <v>7751</v>
      </c>
      <c r="F3703">
        <v>2124.3123999999998</v>
      </c>
      <c r="G3703">
        <v>2136.2514000000001</v>
      </c>
      <c r="H3703">
        <v>1783.5029999999999</v>
      </c>
      <c r="I3703">
        <v>644.16020000000003</v>
      </c>
      <c r="J3703">
        <v>554.87549999999999</v>
      </c>
      <c r="K3703">
        <v>2262.7809000000002</v>
      </c>
      <c r="L3703">
        <v>2150.9591</v>
      </c>
      <c r="M3703">
        <v>2076.2473</v>
      </c>
      <c r="N3703">
        <v>1229.3016</v>
      </c>
      <c r="O3703">
        <v>1138.6123</v>
      </c>
      <c r="P3703">
        <v>176</v>
      </c>
      <c r="Q3703" t="s">
        <v>7752</v>
      </c>
    </row>
    <row r="3704" spans="1:17" x14ac:dyDescent="0.3">
      <c r="A3704" t="s">
        <v>4664</v>
      </c>
      <c r="B3704" t="str">
        <f>"200012"</f>
        <v>200012</v>
      </c>
      <c r="C3704" t="s">
        <v>7753</v>
      </c>
      <c r="F3704">
        <v>55.687600000000003</v>
      </c>
      <c r="G3704">
        <v>59.653799999999997</v>
      </c>
      <c r="H3704">
        <v>44.655999999999999</v>
      </c>
      <c r="I3704">
        <v>37.782899999999998</v>
      </c>
      <c r="J3704">
        <v>36.345399999999998</v>
      </c>
      <c r="K3704">
        <v>32.107599999999998</v>
      </c>
      <c r="L3704">
        <v>32.956600000000002</v>
      </c>
      <c r="M3704">
        <v>37.4039</v>
      </c>
      <c r="N3704">
        <v>37.579900000000002</v>
      </c>
      <c r="O3704">
        <v>43.000500000000002</v>
      </c>
      <c r="P3704">
        <v>85</v>
      </c>
      <c r="Q3704" t="s">
        <v>7754</v>
      </c>
    </row>
    <row r="3705" spans="1:17" x14ac:dyDescent="0.3">
      <c r="A3705" t="s">
        <v>4664</v>
      </c>
      <c r="B3705" t="str">
        <f>"200015"</f>
        <v>200015</v>
      </c>
      <c r="C3705" t="s">
        <v>7755</v>
      </c>
      <c r="K3705">
        <v>454.60270000000003</v>
      </c>
      <c r="P3705">
        <v>0</v>
      </c>
      <c r="Q3705" t="s">
        <v>7756</v>
      </c>
    </row>
    <row r="3706" spans="1:17" x14ac:dyDescent="0.3">
      <c r="A3706" t="s">
        <v>4664</v>
      </c>
      <c r="B3706" t="str">
        <f>"200016"</f>
        <v>200016</v>
      </c>
      <c r="C3706" t="s">
        <v>7757</v>
      </c>
      <c r="F3706">
        <v>56.568800000000003</v>
      </c>
      <c r="G3706">
        <v>66.668499999999995</v>
      </c>
      <c r="H3706">
        <v>54.355499999999999</v>
      </c>
      <c r="I3706">
        <v>67.500500000000002</v>
      </c>
      <c r="J3706">
        <v>117.9217</v>
      </c>
      <c r="K3706">
        <v>80.105099999999993</v>
      </c>
      <c r="L3706">
        <v>104.3802</v>
      </c>
      <c r="M3706">
        <v>112.12569999999999</v>
      </c>
      <c r="N3706">
        <v>114.4175</v>
      </c>
      <c r="O3706">
        <v>109.88549999999999</v>
      </c>
      <c r="P3706">
        <v>36</v>
      </c>
      <c r="Q3706" t="s">
        <v>7758</v>
      </c>
    </row>
    <row r="3707" spans="1:17" x14ac:dyDescent="0.3">
      <c r="A3707" t="s">
        <v>4664</v>
      </c>
      <c r="B3707" t="str">
        <f>"200017"</f>
        <v>200017</v>
      </c>
      <c r="C3707" t="s">
        <v>7759</v>
      </c>
      <c r="F3707">
        <v>36.1419</v>
      </c>
      <c r="G3707">
        <v>25.918600000000001</v>
      </c>
      <c r="H3707">
        <v>18.307300000000001</v>
      </c>
      <c r="I3707">
        <v>17.049499999999998</v>
      </c>
      <c r="J3707">
        <v>23.6889</v>
      </c>
      <c r="K3707">
        <v>14.9518</v>
      </c>
      <c r="L3707">
        <v>31.6389</v>
      </c>
      <c r="M3707">
        <v>34.7806</v>
      </c>
      <c r="N3707">
        <v>63.350299999999997</v>
      </c>
      <c r="O3707">
        <v>72.948599999999999</v>
      </c>
      <c r="P3707">
        <v>3</v>
      </c>
      <c r="Q3707" t="s">
        <v>7760</v>
      </c>
    </row>
    <row r="3708" spans="1:17" x14ac:dyDescent="0.3">
      <c r="A3708" t="s">
        <v>4664</v>
      </c>
      <c r="B3708" t="str">
        <f>"200018"</f>
        <v>200018</v>
      </c>
      <c r="C3708" t="s">
        <v>7761</v>
      </c>
      <c r="H3708">
        <v>1160.1465000000001</v>
      </c>
      <c r="I3708">
        <v>119.23390000000001</v>
      </c>
      <c r="J3708">
        <v>37.387900000000002</v>
      </c>
      <c r="K3708">
        <v>30.707100000000001</v>
      </c>
      <c r="L3708">
        <v>3.1412</v>
      </c>
      <c r="M3708">
        <v>0</v>
      </c>
      <c r="N3708">
        <v>0</v>
      </c>
      <c r="O3708">
        <v>20.3657</v>
      </c>
      <c r="P3708">
        <v>13</v>
      </c>
      <c r="Q3708" t="s">
        <v>7762</v>
      </c>
    </row>
    <row r="3709" spans="1:17" x14ac:dyDescent="0.3">
      <c r="A3709" t="s">
        <v>4664</v>
      </c>
      <c r="B3709" t="str">
        <f>"200019"</f>
        <v>200019</v>
      </c>
      <c r="C3709" t="s">
        <v>7763</v>
      </c>
      <c r="F3709">
        <v>192.24809999999999</v>
      </c>
      <c r="G3709">
        <v>157.22300000000001</v>
      </c>
      <c r="H3709">
        <v>152.04259999999999</v>
      </c>
      <c r="I3709">
        <v>350.2396</v>
      </c>
      <c r="J3709">
        <v>314.69830000000002</v>
      </c>
      <c r="K3709">
        <v>362.20330000000001</v>
      </c>
      <c r="L3709">
        <v>273.89519999999999</v>
      </c>
      <c r="M3709">
        <v>532.47950000000003</v>
      </c>
      <c r="N3709">
        <v>276.18680000000001</v>
      </c>
      <c r="O3709">
        <v>146.40799999999999</v>
      </c>
      <c r="P3709">
        <v>23</v>
      </c>
      <c r="Q3709" t="s">
        <v>7764</v>
      </c>
    </row>
    <row r="3710" spans="1:17" x14ac:dyDescent="0.3">
      <c r="A3710" t="s">
        <v>4664</v>
      </c>
      <c r="B3710" t="str">
        <f>"200020"</f>
        <v>200020</v>
      </c>
      <c r="C3710" t="s">
        <v>7765</v>
      </c>
      <c r="F3710">
        <v>58.260800000000003</v>
      </c>
      <c r="G3710">
        <v>53.136699999999998</v>
      </c>
      <c r="H3710">
        <v>46.8536</v>
      </c>
      <c r="I3710">
        <v>45.231099999999998</v>
      </c>
      <c r="J3710">
        <v>29.744599999999998</v>
      </c>
      <c r="K3710">
        <v>28.770099999999999</v>
      </c>
      <c r="L3710">
        <v>37.042400000000001</v>
      </c>
      <c r="M3710">
        <v>31.661100000000001</v>
      </c>
      <c r="N3710">
        <v>56.381900000000002</v>
      </c>
      <c r="O3710">
        <v>41.801900000000003</v>
      </c>
      <c r="P3710">
        <v>6</v>
      </c>
      <c r="Q3710" t="s">
        <v>7766</v>
      </c>
    </row>
    <row r="3711" spans="1:17" x14ac:dyDescent="0.3">
      <c r="A3711" t="s">
        <v>4664</v>
      </c>
      <c r="B3711" t="str">
        <f>"200022"</f>
        <v>200022</v>
      </c>
      <c r="C3711" t="s">
        <v>7767</v>
      </c>
      <c r="I3711">
        <v>7.1744000000000003</v>
      </c>
      <c r="J3711">
        <v>7.0968999999999998</v>
      </c>
      <c r="K3711">
        <v>8.4315999999999995</v>
      </c>
      <c r="L3711">
        <v>9.4877000000000002</v>
      </c>
      <c r="M3711">
        <v>11.0319</v>
      </c>
      <c r="N3711">
        <v>12.9674</v>
      </c>
      <c r="O3711">
        <v>13.6378</v>
      </c>
      <c r="P3711">
        <v>41</v>
      </c>
      <c r="Q3711" t="s">
        <v>7768</v>
      </c>
    </row>
    <row r="3712" spans="1:17" x14ac:dyDescent="0.3">
      <c r="A3712" t="s">
        <v>4664</v>
      </c>
      <c r="B3712" t="str">
        <f>"200024"</f>
        <v>200024</v>
      </c>
      <c r="C3712" t="s">
        <v>7769</v>
      </c>
      <c r="L3712">
        <v>2492.1482999999998</v>
      </c>
      <c r="M3712">
        <v>1953.8000999999999</v>
      </c>
      <c r="N3712">
        <v>2155.8998999999999</v>
      </c>
      <c r="O3712">
        <v>2588.1091999999999</v>
      </c>
      <c r="P3712">
        <v>0</v>
      </c>
      <c r="Q3712" t="s">
        <v>7770</v>
      </c>
    </row>
    <row r="3713" spans="1:17" x14ac:dyDescent="0.3">
      <c r="A3713" t="s">
        <v>4664</v>
      </c>
      <c r="B3713" t="str">
        <f>"200025"</f>
        <v>200025</v>
      </c>
      <c r="C3713" t="s">
        <v>7771</v>
      </c>
      <c r="F3713">
        <v>22.666699999999999</v>
      </c>
      <c r="G3713">
        <v>28.8733</v>
      </c>
      <c r="H3713">
        <v>10.544700000000001</v>
      </c>
      <c r="I3713">
        <v>15.4475</v>
      </c>
      <c r="J3713">
        <v>26.299399999999999</v>
      </c>
      <c r="K3713">
        <v>25.227</v>
      </c>
      <c r="L3713">
        <v>60.4148</v>
      </c>
      <c r="M3713">
        <v>75.685400000000001</v>
      </c>
      <c r="N3713">
        <v>59.6327</v>
      </c>
      <c r="O3713">
        <v>54.533499999999997</v>
      </c>
      <c r="P3713">
        <v>7</v>
      </c>
      <c r="Q3713" t="s">
        <v>7772</v>
      </c>
    </row>
    <row r="3714" spans="1:17" x14ac:dyDescent="0.3">
      <c r="A3714" t="s">
        <v>4664</v>
      </c>
      <c r="B3714" t="str">
        <f>"200026"</f>
        <v>200026</v>
      </c>
      <c r="C3714" t="s">
        <v>7773</v>
      </c>
      <c r="F3714">
        <v>279.76190000000003</v>
      </c>
      <c r="G3714">
        <v>361.83569999999997</v>
      </c>
      <c r="H3714">
        <v>390.9</v>
      </c>
      <c r="I3714">
        <v>429.89769999999999</v>
      </c>
      <c r="J3714">
        <v>475.56330000000003</v>
      </c>
      <c r="K3714">
        <v>555.52340000000004</v>
      </c>
      <c r="L3714">
        <v>508.37650000000002</v>
      </c>
      <c r="M3714">
        <v>485.92290000000003</v>
      </c>
      <c r="N3714">
        <v>460.2577</v>
      </c>
      <c r="O3714">
        <v>421.03160000000003</v>
      </c>
      <c r="P3714">
        <v>52</v>
      </c>
      <c r="Q3714" t="s">
        <v>7774</v>
      </c>
    </row>
    <row r="3715" spans="1:17" x14ac:dyDescent="0.3">
      <c r="A3715" t="s">
        <v>4664</v>
      </c>
      <c r="B3715" t="str">
        <f>"200028"</f>
        <v>200028</v>
      </c>
      <c r="C3715" t="s">
        <v>7775</v>
      </c>
      <c r="F3715">
        <v>56.880299999999998</v>
      </c>
      <c r="G3715">
        <v>54.171300000000002</v>
      </c>
      <c r="H3715">
        <v>50.176400000000001</v>
      </c>
      <c r="I3715">
        <v>53.912300000000002</v>
      </c>
      <c r="J3715">
        <v>52.5852</v>
      </c>
      <c r="K3715">
        <v>43.057400000000001</v>
      </c>
      <c r="L3715">
        <v>47.690399999999997</v>
      </c>
      <c r="M3715">
        <v>44.7654</v>
      </c>
      <c r="N3715">
        <v>45.251899999999999</v>
      </c>
      <c r="O3715">
        <v>41.932099999999998</v>
      </c>
      <c r="P3715">
        <v>209</v>
      </c>
      <c r="Q3715" t="s">
        <v>7776</v>
      </c>
    </row>
    <row r="3716" spans="1:17" x14ac:dyDescent="0.3">
      <c r="A3716" t="s">
        <v>4664</v>
      </c>
      <c r="B3716" t="str">
        <f>"200029"</f>
        <v>200029</v>
      </c>
      <c r="C3716" t="s">
        <v>7777</v>
      </c>
      <c r="F3716">
        <v>1920.9544000000001</v>
      </c>
      <c r="G3716">
        <v>827.16290000000004</v>
      </c>
      <c r="H3716">
        <v>874.19129999999996</v>
      </c>
      <c r="I3716">
        <v>876.08010000000002</v>
      </c>
      <c r="J3716">
        <v>956.68650000000002</v>
      </c>
      <c r="K3716">
        <v>567.96190000000001</v>
      </c>
      <c r="L3716">
        <v>911.43489999999997</v>
      </c>
      <c r="M3716">
        <v>1690.3905999999999</v>
      </c>
      <c r="N3716">
        <v>2857.9477999999999</v>
      </c>
      <c r="O3716">
        <v>1583.019</v>
      </c>
      <c r="P3716">
        <v>18</v>
      </c>
      <c r="Q3716" t="s">
        <v>7778</v>
      </c>
    </row>
    <row r="3717" spans="1:17" x14ac:dyDescent="0.3">
      <c r="A3717" t="s">
        <v>4664</v>
      </c>
      <c r="B3717" t="str">
        <f>"200030"</f>
        <v>200030</v>
      </c>
      <c r="C3717" t="s">
        <v>7779</v>
      </c>
      <c r="F3717">
        <v>45.117199999999997</v>
      </c>
      <c r="G3717">
        <v>46.186100000000003</v>
      </c>
      <c r="H3717">
        <v>46.328899999999997</v>
      </c>
      <c r="I3717">
        <v>49.255200000000002</v>
      </c>
      <c r="J3717">
        <v>53.961500000000001</v>
      </c>
      <c r="K3717">
        <v>59.442799999999998</v>
      </c>
      <c r="L3717">
        <v>75.972899999999996</v>
      </c>
      <c r="M3717">
        <v>65.852699999999999</v>
      </c>
      <c r="N3717">
        <v>34.561399999999999</v>
      </c>
      <c r="P3717">
        <v>132</v>
      </c>
      <c r="Q3717" t="s">
        <v>7780</v>
      </c>
    </row>
    <row r="3718" spans="1:17" x14ac:dyDescent="0.3">
      <c r="A3718" t="s">
        <v>4664</v>
      </c>
      <c r="B3718" t="str">
        <f>"200037"</f>
        <v>200037</v>
      </c>
      <c r="C3718" t="s">
        <v>7781</v>
      </c>
      <c r="F3718">
        <v>61.441200000000002</v>
      </c>
      <c r="G3718">
        <v>66.357200000000006</v>
      </c>
      <c r="H3718">
        <v>63.114699999999999</v>
      </c>
      <c r="I3718">
        <v>18.104099999999999</v>
      </c>
      <c r="J3718">
        <v>20.640699999999999</v>
      </c>
      <c r="K3718">
        <v>232.20179999999999</v>
      </c>
      <c r="L3718">
        <v>397.91039999999998</v>
      </c>
      <c r="M3718">
        <v>335.947</v>
      </c>
      <c r="N3718">
        <v>301.89069999999998</v>
      </c>
      <c r="O3718">
        <v>263.63240000000002</v>
      </c>
      <c r="P3718">
        <v>9</v>
      </c>
      <c r="Q3718" t="s">
        <v>7782</v>
      </c>
    </row>
    <row r="3719" spans="1:17" x14ac:dyDescent="0.3">
      <c r="A3719" t="s">
        <v>4664</v>
      </c>
      <c r="B3719" t="str">
        <f>"200039"</f>
        <v>200039</v>
      </c>
      <c r="C3719" t="s">
        <v>7783</v>
      </c>
      <c r="K3719">
        <v>214.32069999999999</v>
      </c>
      <c r="L3719">
        <v>166.5204</v>
      </c>
      <c r="M3719">
        <v>141.5137</v>
      </c>
      <c r="N3719">
        <v>183.69139999999999</v>
      </c>
      <c r="O3719">
        <v>168.69210000000001</v>
      </c>
      <c r="P3719">
        <v>0</v>
      </c>
      <c r="Q3719" t="s">
        <v>7784</v>
      </c>
    </row>
    <row r="3720" spans="1:17" x14ac:dyDescent="0.3">
      <c r="A3720" t="s">
        <v>4664</v>
      </c>
      <c r="B3720" t="str">
        <f>"200045"</f>
        <v>200045</v>
      </c>
      <c r="C3720" t="s">
        <v>7785</v>
      </c>
      <c r="F3720">
        <v>152.6318</v>
      </c>
      <c r="G3720">
        <v>116.724</v>
      </c>
      <c r="H3720">
        <v>107.31950000000001</v>
      </c>
      <c r="I3720">
        <v>110.46250000000001</v>
      </c>
      <c r="J3720">
        <v>108.0962</v>
      </c>
      <c r="K3720">
        <v>135.416</v>
      </c>
      <c r="L3720">
        <v>99.110500000000002</v>
      </c>
      <c r="M3720">
        <v>101.8877</v>
      </c>
      <c r="N3720">
        <v>89.1023</v>
      </c>
      <c r="O3720">
        <v>66.596000000000004</v>
      </c>
      <c r="P3720">
        <v>6</v>
      </c>
      <c r="Q3720" t="s">
        <v>7786</v>
      </c>
    </row>
    <row r="3721" spans="1:17" x14ac:dyDescent="0.3">
      <c r="A3721" t="s">
        <v>4664</v>
      </c>
      <c r="B3721" t="str">
        <f>"200053"</f>
        <v>200053</v>
      </c>
      <c r="C3721" t="s">
        <v>7787</v>
      </c>
      <c r="J3721">
        <v>1.6165</v>
      </c>
      <c r="K3721">
        <v>1.4659</v>
      </c>
      <c r="L3721">
        <v>1.7373000000000001</v>
      </c>
      <c r="M3721">
        <v>1.8996999999999999</v>
      </c>
      <c r="N3721">
        <v>1.9954000000000001</v>
      </c>
      <c r="O3721">
        <v>2.4548999999999999</v>
      </c>
      <c r="P3721">
        <v>15</v>
      </c>
      <c r="Q3721" t="s">
        <v>7788</v>
      </c>
    </row>
    <row r="3722" spans="1:17" x14ac:dyDescent="0.3">
      <c r="A3722" t="s">
        <v>4664</v>
      </c>
      <c r="B3722" t="str">
        <f>"200054"</f>
        <v>200054</v>
      </c>
      <c r="C3722" t="s">
        <v>7789</v>
      </c>
      <c r="F3722">
        <v>105.21259999999999</v>
      </c>
      <c r="G3722">
        <v>104.682</v>
      </c>
      <c r="H3722">
        <v>106.5711</v>
      </c>
      <c r="I3722">
        <v>106.3284</v>
      </c>
      <c r="J3722">
        <v>100.3986</v>
      </c>
      <c r="K3722">
        <v>94.852699999999999</v>
      </c>
      <c r="L3722">
        <v>97.440200000000004</v>
      </c>
      <c r="M3722">
        <v>87.091499999999996</v>
      </c>
      <c r="N3722">
        <v>92.260599999999997</v>
      </c>
      <c r="O3722">
        <v>93.944400000000002</v>
      </c>
      <c r="P3722">
        <v>7</v>
      </c>
      <c r="Q3722" t="s">
        <v>7790</v>
      </c>
    </row>
    <row r="3723" spans="1:17" x14ac:dyDescent="0.3">
      <c r="A3723" t="s">
        <v>4664</v>
      </c>
      <c r="B3723" t="str">
        <f>"200055"</f>
        <v>200055</v>
      </c>
      <c r="C3723" t="s">
        <v>7791</v>
      </c>
      <c r="F3723">
        <v>152.16540000000001</v>
      </c>
      <c r="G3723">
        <v>164.6876</v>
      </c>
      <c r="H3723">
        <v>163.31780000000001</v>
      </c>
      <c r="I3723">
        <v>184.5564</v>
      </c>
      <c r="J3723">
        <v>512.36680000000001</v>
      </c>
      <c r="K3723">
        <v>406.92509999999999</v>
      </c>
      <c r="L3723">
        <v>262.80189999999999</v>
      </c>
      <c r="M3723">
        <v>213.79349999999999</v>
      </c>
      <c r="N3723">
        <v>104.17010000000001</v>
      </c>
      <c r="O3723">
        <v>120.8937</v>
      </c>
      <c r="P3723">
        <v>71</v>
      </c>
      <c r="Q3723" t="s">
        <v>7792</v>
      </c>
    </row>
    <row r="3724" spans="1:17" x14ac:dyDescent="0.3">
      <c r="A3724" t="s">
        <v>4664</v>
      </c>
      <c r="B3724" t="str">
        <f>"200056"</f>
        <v>200056</v>
      </c>
      <c r="C3724" t="s">
        <v>7793</v>
      </c>
      <c r="F3724">
        <v>87.791600000000003</v>
      </c>
      <c r="G3724">
        <v>16.361699999999999</v>
      </c>
      <c r="H3724">
        <v>27.965</v>
      </c>
      <c r="I3724">
        <v>34.311100000000003</v>
      </c>
      <c r="J3724">
        <v>74.652100000000004</v>
      </c>
      <c r="K3724">
        <v>4.0319000000000003</v>
      </c>
      <c r="L3724">
        <v>133.4331</v>
      </c>
      <c r="M3724">
        <v>322.01069999999999</v>
      </c>
      <c r="N3724">
        <v>24507.527999999998</v>
      </c>
      <c r="O3724">
        <v>8479.0004000000008</v>
      </c>
      <c r="P3724">
        <v>13</v>
      </c>
      <c r="Q3724" t="s">
        <v>7794</v>
      </c>
    </row>
    <row r="3725" spans="1:17" x14ac:dyDescent="0.3">
      <c r="A3725" t="s">
        <v>4664</v>
      </c>
      <c r="B3725" t="str">
        <f>"200058"</f>
        <v>200058</v>
      </c>
      <c r="C3725" t="s">
        <v>7795</v>
      </c>
      <c r="F3725">
        <v>715.5856</v>
      </c>
      <c r="G3725">
        <v>1198.45</v>
      </c>
      <c r="H3725">
        <v>1268.5488</v>
      </c>
      <c r="I3725">
        <v>1135.9285</v>
      </c>
      <c r="J3725">
        <v>1273.5097000000001</v>
      </c>
      <c r="K3725">
        <v>442.55340000000001</v>
      </c>
      <c r="L3725">
        <v>263.44319999999999</v>
      </c>
      <c r="M3725">
        <v>138.2979</v>
      </c>
      <c r="N3725">
        <v>49.026000000000003</v>
      </c>
      <c r="O3725">
        <v>2.6032000000000002</v>
      </c>
      <c r="P3725">
        <v>7</v>
      </c>
      <c r="Q3725" t="s">
        <v>7796</v>
      </c>
    </row>
    <row r="3726" spans="1:17" x14ac:dyDescent="0.3">
      <c r="A3726" t="s">
        <v>4664</v>
      </c>
      <c r="B3726" t="str">
        <f>"200152"</f>
        <v>200152</v>
      </c>
      <c r="C3726" t="s">
        <v>7797</v>
      </c>
      <c r="F3726">
        <v>3.8069000000000002</v>
      </c>
      <c r="G3726">
        <v>4.8285999999999998</v>
      </c>
      <c r="H3726">
        <v>2.8546999999999998</v>
      </c>
      <c r="I3726">
        <v>2.4521999999999999</v>
      </c>
      <c r="J3726">
        <v>3.2936999999999999</v>
      </c>
      <c r="K3726">
        <v>4.9503000000000004</v>
      </c>
      <c r="L3726">
        <v>5.3620999999999999</v>
      </c>
      <c r="M3726">
        <v>5.5785999999999998</v>
      </c>
      <c r="N3726">
        <v>5.7572999999999999</v>
      </c>
      <c r="O3726">
        <v>6.3209999999999997</v>
      </c>
      <c r="P3726">
        <v>112</v>
      </c>
      <c r="Q3726" t="s">
        <v>7798</v>
      </c>
    </row>
    <row r="3727" spans="1:17" x14ac:dyDescent="0.3">
      <c r="A3727" t="s">
        <v>4664</v>
      </c>
      <c r="B3727" t="str">
        <f>"200160"</f>
        <v>200160</v>
      </c>
      <c r="C3727" t="s">
        <v>7799</v>
      </c>
      <c r="H3727">
        <v>1784.8073999999999</v>
      </c>
      <c r="I3727">
        <v>809.37120000000004</v>
      </c>
      <c r="J3727">
        <v>1485.0262</v>
      </c>
      <c r="K3727">
        <v>725.80600000000004</v>
      </c>
      <c r="L3727">
        <v>422.68189999999998</v>
      </c>
      <c r="M3727">
        <v>279.03640000000001</v>
      </c>
      <c r="N3727">
        <v>193.83760000000001</v>
      </c>
      <c r="P3727">
        <v>3</v>
      </c>
      <c r="Q3727" t="s">
        <v>7800</v>
      </c>
    </row>
    <row r="3728" spans="1:17" x14ac:dyDescent="0.3">
      <c r="A3728" t="s">
        <v>4664</v>
      </c>
      <c r="B3728" t="str">
        <f>"200168"</f>
        <v>200168</v>
      </c>
      <c r="C3728" t="s">
        <v>7801</v>
      </c>
      <c r="G3728">
        <v>21132.9159</v>
      </c>
      <c r="H3728">
        <v>46756.214099999997</v>
      </c>
      <c r="I3728">
        <v>619.61580000000004</v>
      </c>
      <c r="J3728">
        <v>147.8391</v>
      </c>
      <c r="K3728">
        <v>109.7176</v>
      </c>
      <c r="L3728">
        <v>154.60079999999999</v>
      </c>
      <c r="M3728">
        <v>1868.6192000000001</v>
      </c>
      <c r="N3728">
        <v>1227.4042999999999</v>
      </c>
      <c r="O3728">
        <v>22042.271499999999</v>
      </c>
      <c r="P3728">
        <v>3</v>
      </c>
      <c r="Q3728" t="s">
        <v>7802</v>
      </c>
    </row>
    <row r="3729" spans="1:17" x14ac:dyDescent="0.3">
      <c r="A3729" t="s">
        <v>4664</v>
      </c>
      <c r="B3729" t="str">
        <f>"200413"</f>
        <v>200413</v>
      </c>
      <c r="C3729" t="s">
        <v>7803</v>
      </c>
      <c r="F3729">
        <v>216.363</v>
      </c>
      <c r="G3729">
        <v>276.51089999999999</v>
      </c>
      <c r="H3729">
        <v>157.89240000000001</v>
      </c>
      <c r="I3729">
        <v>128.19929999999999</v>
      </c>
      <c r="J3729">
        <v>193.88990000000001</v>
      </c>
      <c r="K3729">
        <v>272.63049999999998</v>
      </c>
      <c r="L3729">
        <v>233.68559999999999</v>
      </c>
      <c r="M3729">
        <v>164.08770000000001</v>
      </c>
      <c r="N3729">
        <v>272.59800000000001</v>
      </c>
      <c r="O3729">
        <v>208.9383</v>
      </c>
      <c r="P3729">
        <v>44</v>
      </c>
      <c r="Q3729" t="s">
        <v>7804</v>
      </c>
    </row>
    <row r="3730" spans="1:17" x14ac:dyDescent="0.3">
      <c r="A3730" t="s">
        <v>4664</v>
      </c>
      <c r="B3730" t="str">
        <f>"200418"</f>
        <v>200418</v>
      </c>
      <c r="C3730" t="s">
        <v>7805</v>
      </c>
      <c r="I3730">
        <v>40.499000000000002</v>
      </c>
      <c r="J3730">
        <v>47.530900000000003</v>
      </c>
      <c r="K3730">
        <v>31.730499999999999</v>
      </c>
      <c r="L3730">
        <v>30.9741</v>
      </c>
      <c r="M3730">
        <v>44.879199999999997</v>
      </c>
      <c r="N3730">
        <v>66.679699999999997</v>
      </c>
      <c r="O3730">
        <v>98.13</v>
      </c>
      <c r="P3730">
        <v>89</v>
      </c>
      <c r="Q3730" t="s">
        <v>7806</v>
      </c>
    </row>
    <row r="3731" spans="1:17" x14ac:dyDescent="0.3">
      <c r="A3731" t="s">
        <v>4664</v>
      </c>
      <c r="B3731" t="str">
        <f>"200429"</f>
        <v>200429</v>
      </c>
      <c r="C3731" t="s">
        <v>7807</v>
      </c>
      <c r="F3731">
        <v>0.1968</v>
      </c>
      <c r="G3731">
        <v>4.19E-2</v>
      </c>
      <c r="H3731">
        <v>0.04</v>
      </c>
      <c r="I3731">
        <v>2.8000000000000001E-2</v>
      </c>
      <c r="J3731">
        <v>0.48409999999999997</v>
      </c>
      <c r="K3731">
        <v>0.41220000000000001</v>
      </c>
      <c r="L3731">
        <v>0</v>
      </c>
      <c r="M3731">
        <v>0</v>
      </c>
      <c r="N3731">
        <v>0</v>
      </c>
      <c r="O3731">
        <v>0</v>
      </c>
      <c r="P3731">
        <v>453</v>
      </c>
      <c r="Q3731" t="s">
        <v>7808</v>
      </c>
    </row>
    <row r="3732" spans="1:17" x14ac:dyDescent="0.3">
      <c r="A3732" t="s">
        <v>4664</v>
      </c>
      <c r="B3732" t="str">
        <f>"200468"</f>
        <v>200468</v>
      </c>
      <c r="C3732" t="s">
        <v>7809</v>
      </c>
      <c r="F3732">
        <v>139.5754</v>
      </c>
      <c r="G3732">
        <v>165.68950000000001</v>
      </c>
      <c r="H3732">
        <v>114.9122</v>
      </c>
      <c r="I3732">
        <v>113.699</v>
      </c>
      <c r="J3732">
        <v>182.51329999999999</v>
      </c>
      <c r="K3732">
        <v>143.1114</v>
      </c>
      <c r="L3732">
        <v>140.6661</v>
      </c>
      <c r="M3732">
        <v>105.4098</v>
      </c>
      <c r="N3732">
        <v>108.6872</v>
      </c>
      <c r="O3732">
        <v>114.4744</v>
      </c>
      <c r="P3732">
        <v>4</v>
      </c>
      <c r="Q3732" t="s">
        <v>7810</v>
      </c>
    </row>
    <row r="3733" spans="1:17" x14ac:dyDescent="0.3">
      <c r="A3733" t="s">
        <v>4664</v>
      </c>
      <c r="B3733" t="str">
        <f>"200488"</f>
        <v>200488</v>
      </c>
      <c r="C3733" t="s">
        <v>7811</v>
      </c>
      <c r="F3733">
        <v>104.32689999999999</v>
      </c>
      <c r="G3733">
        <v>109.58450000000001</v>
      </c>
      <c r="H3733">
        <v>129.91890000000001</v>
      </c>
      <c r="I3733">
        <v>142.94049999999999</v>
      </c>
      <c r="J3733">
        <v>126.3265</v>
      </c>
      <c r="K3733">
        <v>164.2518</v>
      </c>
      <c r="L3733">
        <v>174.43559999999999</v>
      </c>
      <c r="M3733">
        <v>125.3275</v>
      </c>
      <c r="N3733">
        <v>124.1302</v>
      </c>
      <c r="O3733">
        <v>151.1455</v>
      </c>
      <c r="P3733">
        <v>268</v>
      </c>
      <c r="Q3733" t="s">
        <v>7812</v>
      </c>
    </row>
    <row r="3734" spans="1:17" x14ac:dyDescent="0.3">
      <c r="A3734" t="s">
        <v>4664</v>
      </c>
      <c r="B3734" t="str">
        <f>"200505"</f>
        <v>200505</v>
      </c>
      <c r="C3734" t="s">
        <v>7813</v>
      </c>
      <c r="F3734">
        <v>57.624499999999998</v>
      </c>
      <c r="G3734">
        <v>95.020799999999994</v>
      </c>
      <c r="H3734">
        <v>85.023799999999994</v>
      </c>
      <c r="I3734">
        <v>100.2513</v>
      </c>
      <c r="J3734">
        <v>45.126600000000003</v>
      </c>
      <c r="K3734">
        <v>1154.1733999999999</v>
      </c>
      <c r="L3734">
        <v>1051.3728000000001</v>
      </c>
      <c r="M3734">
        <v>556.65660000000003</v>
      </c>
      <c r="N3734">
        <v>339.82319999999999</v>
      </c>
      <c r="O3734">
        <v>375.8999</v>
      </c>
      <c r="P3734">
        <v>16</v>
      </c>
      <c r="Q3734" t="s">
        <v>7814</v>
      </c>
    </row>
    <row r="3735" spans="1:17" x14ac:dyDescent="0.3">
      <c r="A3735" t="s">
        <v>4664</v>
      </c>
      <c r="B3735" t="str">
        <f>"200512"</f>
        <v>200512</v>
      </c>
      <c r="C3735" t="s">
        <v>7815</v>
      </c>
      <c r="F3735">
        <v>65.620099999999994</v>
      </c>
      <c r="G3735">
        <v>63.8352</v>
      </c>
      <c r="H3735">
        <v>65.547700000000006</v>
      </c>
      <c r="I3735">
        <v>62.324399999999997</v>
      </c>
      <c r="J3735">
        <v>56.771000000000001</v>
      </c>
      <c r="K3735">
        <v>75.219300000000004</v>
      </c>
      <c r="L3735">
        <v>55.575099999999999</v>
      </c>
      <c r="M3735">
        <v>61.170499999999997</v>
      </c>
      <c r="N3735">
        <v>64.448800000000006</v>
      </c>
      <c r="O3735">
        <v>67.723100000000002</v>
      </c>
      <c r="P3735">
        <v>34</v>
      </c>
      <c r="Q3735" t="s">
        <v>7816</v>
      </c>
    </row>
    <row r="3736" spans="1:17" x14ac:dyDescent="0.3">
      <c r="A3736" t="s">
        <v>4664</v>
      </c>
      <c r="B3736" t="str">
        <f>"200513"</f>
        <v>200513</v>
      </c>
      <c r="C3736" t="s">
        <v>7817</v>
      </c>
      <c r="K3736">
        <v>184.1174</v>
      </c>
      <c r="L3736">
        <v>172.78110000000001</v>
      </c>
      <c r="M3736">
        <v>172.22919999999999</v>
      </c>
      <c r="N3736">
        <v>183.40899999999999</v>
      </c>
      <c r="O3736">
        <v>148.21510000000001</v>
      </c>
      <c r="P3736">
        <v>1</v>
      </c>
      <c r="Q3736" t="s">
        <v>7818</v>
      </c>
    </row>
    <row r="3737" spans="1:17" x14ac:dyDescent="0.3">
      <c r="A3737" t="s">
        <v>4664</v>
      </c>
      <c r="B3737" t="str">
        <f>"200521"</f>
        <v>200521</v>
      </c>
      <c r="C3737" t="s">
        <v>7819</v>
      </c>
      <c r="F3737">
        <v>48.845799999999997</v>
      </c>
      <c r="G3737">
        <v>61.371099999999998</v>
      </c>
      <c r="H3737">
        <v>66.141599999999997</v>
      </c>
      <c r="I3737">
        <v>94.486800000000002</v>
      </c>
      <c r="J3737">
        <v>70.933700000000002</v>
      </c>
      <c r="K3737">
        <v>66.581599999999995</v>
      </c>
      <c r="L3737">
        <v>87.641599999999997</v>
      </c>
      <c r="M3737">
        <v>81.765199999999993</v>
      </c>
      <c r="N3737">
        <v>76.844800000000006</v>
      </c>
      <c r="O3737">
        <v>103.7766</v>
      </c>
      <c r="P3737">
        <v>23</v>
      </c>
      <c r="Q3737" t="s">
        <v>7820</v>
      </c>
    </row>
    <row r="3738" spans="1:17" x14ac:dyDescent="0.3">
      <c r="A3738" t="s">
        <v>4664</v>
      </c>
      <c r="B3738" t="str">
        <f>"200530"</f>
        <v>200530</v>
      </c>
      <c r="C3738" t="s">
        <v>7821</v>
      </c>
      <c r="F3738">
        <v>189.56229999999999</v>
      </c>
      <c r="G3738">
        <v>191.35489999999999</v>
      </c>
      <c r="H3738">
        <v>141.4528</v>
      </c>
      <c r="I3738">
        <v>113.9572</v>
      </c>
      <c r="J3738">
        <v>110.6148</v>
      </c>
      <c r="K3738">
        <v>103.2042</v>
      </c>
      <c r="L3738">
        <v>114.9999</v>
      </c>
      <c r="M3738">
        <v>117.2732</v>
      </c>
      <c r="N3738">
        <v>141.5821</v>
      </c>
      <c r="O3738">
        <v>138.37989999999999</v>
      </c>
      <c r="P3738">
        <v>25</v>
      </c>
      <c r="Q3738" t="s">
        <v>7822</v>
      </c>
    </row>
    <row r="3739" spans="1:17" x14ac:dyDescent="0.3">
      <c r="A3739" t="s">
        <v>4664</v>
      </c>
      <c r="B3739" t="str">
        <f>"200539"</f>
        <v>200539</v>
      </c>
      <c r="C3739" t="s">
        <v>7823</v>
      </c>
      <c r="F3739">
        <v>23.314</v>
      </c>
      <c r="G3739">
        <v>40.364199999999997</v>
      </c>
      <c r="H3739">
        <v>33.561599999999999</v>
      </c>
      <c r="I3739">
        <v>33.983899999999998</v>
      </c>
      <c r="J3739">
        <v>32.628399999999999</v>
      </c>
      <c r="K3739">
        <v>39.847200000000001</v>
      </c>
      <c r="L3739">
        <v>41.22</v>
      </c>
      <c r="M3739">
        <v>36.327500000000001</v>
      </c>
      <c r="N3739">
        <v>38.205199999999998</v>
      </c>
      <c r="O3739">
        <v>48.150799999999997</v>
      </c>
      <c r="P3739">
        <v>185</v>
      </c>
      <c r="Q3739" t="s">
        <v>7824</v>
      </c>
    </row>
    <row r="3740" spans="1:17" x14ac:dyDescent="0.3">
      <c r="A3740" t="s">
        <v>4664</v>
      </c>
      <c r="B3740" t="str">
        <f>"200541"</f>
        <v>200541</v>
      </c>
      <c r="C3740" t="s">
        <v>7825</v>
      </c>
      <c r="F3740">
        <v>121.7216</v>
      </c>
      <c r="G3740">
        <v>115.1728</v>
      </c>
      <c r="H3740">
        <v>135.964</v>
      </c>
      <c r="I3740">
        <v>132.0658</v>
      </c>
      <c r="J3740">
        <v>113.0813</v>
      </c>
      <c r="K3740">
        <v>96.784400000000005</v>
      </c>
      <c r="L3740">
        <v>122.5656</v>
      </c>
      <c r="M3740">
        <v>106.9864</v>
      </c>
      <c r="N3740">
        <v>125.5744</v>
      </c>
      <c r="O3740">
        <v>155.2936</v>
      </c>
      <c r="P3740">
        <v>119</v>
      </c>
      <c r="Q3740" t="s">
        <v>7826</v>
      </c>
    </row>
    <row r="3741" spans="1:17" x14ac:dyDescent="0.3">
      <c r="A3741" t="s">
        <v>4664</v>
      </c>
      <c r="B3741" t="str">
        <f>"200550"</f>
        <v>200550</v>
      </c>
      <c r="C3741" t="s">
        <v>7827</v>
      </c>
      <c r="F3741">
        <v>36.257599999999996</v>
      </c>
      <c r="G3741">
        <v>40.3673</v>
      </c>
      <c r="H3741">
        <v>48.403500000000001</v>
      </c>
      <c r="I3741">
        <v>52.875399999999999</v>
      </c>
      <c r="J3741">
        <v>42.865200000000002</v>
      </c>
      <c r="K3741">
        <v>51.217799999999997</v>
      </c>
      <c r="L3741">
        <v>48.926299999999998</v>
      </c>
      <c r="M3741">
        <v>42.969299999999997</v>
      </c>
      <c r="N3741">
        <v>44.2179</v>
      </c>
      <c r="O3741">
        <v>44.224200000000003</v>
      </c>
      <c r="P3741">
        <v>154</v>
      </c>
      <c r="Q3741" t="s">
        <v>7828</v>
      </c>
    </row>
    <row r="3742" spans="1:17" x14ac:dyDescent="0.3">
      <c r="A3742" t="s">
        <v>4664</v>
      </c>
      <c r="B3742" t="str">
        <f>"200553"</f>
        <v>200553</v>
      </c>
      <c r="C3742" t="s">
        <v>7829</v>
      </c>
      <c r="F3742">
        <v>241.76400000000001</v>
      </c>
      <c r="G3742">
        <v>256.65809999999999</v>
      </c>
      <c r="H3742">
        <v>261.33339999999998</v>
      </c>
      <c r="I3742">
        <v>234.55459999999999</v>
      </c>
      <c r="J3742">
        <v>115.65349999999999</v>
      </c>
      <c r="K3742">
        <v>70.190799999999996</v>
      </c>
      <c r="L3742">
        <v>80.452600000000004</v>
      </c>
      <c r="M3742">
        <v>49.163600000000002</v>
      </c>
      <c r="N3742">
        <v>68.871200000000002</v>
      </c>
      <c r="O3742">
        <v>68.900899999999993</v>
      </c>
      <c r="P3742">
        <v>58</v>
      </c>
      <c r="Q3742" t="s">
        <v>7830</v>
      </c>
    </row>
    <row r="3743" spans="1:17" x14ac:dyDescent="0.3">
      <c r="A3743" t="s">
        <v>4664</v>
      </c>
      <c r="B3743" t="str">
        <f>"200570"</f>
        <v>200570</v>
      </c>
      <c r="C3743" t="s">
        <v>7831</v>
      </c>
      <c r="F3743">
        <v>125.8886</v>
      </c>
      <c r="G3743">
        <v>117.0137</v>
      </c>
      <c r="H3743">
        <v>135.5025</v>
      </c>
      <c r="I3743">
        <v>119.6602</v>
      </c>
      <c r="J3743">
        <v>98.087699999999998</v>
      </c>
      <c r="K3743">
        <v>82.555700000000002</v>
      </c>
      <c r="L3743">
        <v>72.142399999999995</v>
      </c>
      <c r="M3743">
        <v>91.648799999999994</v>
      </c>
      <c r="N3743">
        <v>69.604600000000005</v>
      </c>
      <c r="O3743">
        <v>68</v>
      </c>
      <c r="P3743">
        <v>10</v>
      </c>
      <c r="Q3743" t="s">
        <v>7832</v>
      </c>
    </row>
    <row r="3744" spans="1:17" x14ac:dyDescent="0.3">
      <c r="A3744" t="s">
        <v>4664</v>
      </c>
      <c r="B3744" t="str">
        <f>"200581"</f>
        <v>200581</v>
      </c>
      <c r="C3744" t="s">
        <v>7833</v>
      </c>
      <c r="F3744">
        <v>90.153099999999995</v>
      </c>
      <c r="G3744">
        <v>91.917699999999996</v>
      </c>
      <c r="H3744">
        <v>114.6332</v>
      </c>
      <c r="I3744">
        <v>92.442400000000006</v>
      </c>
      <c r="J3744">
        <v>93.183800000000005</v>
      </c>
      <c r="K3744">
        <v>86.427700000000002</v>
      </c>
      <c r="L3744">
        <v>103.182</v>
      </c>
      <c r="M3744">
        <v>96.897199999999998</v>
      </c>
      <c r="N3744">
        <v>87.636399999999995</v>
      </c>
      <c r="O3744">
        <v>109.1461</v>
      </c>
      <c r="P3744">
        <v>448</v>
      </c>
      <c r="Q3744" t="s">
        <v>7834</v>
      </c>
    </row>
    <row r="3745" spans="1:17" x14ac:dyDescent="0.3">
      <c r="A3745" t="s">
        <v>4664</v>
      </c>
      <c r="B3745" t="str">
        <f>"200596"</f>
        <v>200596</v>
      </c>
      <c r="C3745" t="s">
        <v>7835</v>
      </c>
      <c r="F3745">
        <v>573.18179999999995</v>
      </c>
      <c r="G3745">
        <v>554.37909999999999</v>
      </c>
      <c r="H3745">
        <v>450.75850000000003</v>
      </c>
      <c r="I3745">
        <v>514.83150000000001</v>
      </c>
      <c r="J3745">
        <v>491.96429999999998</v>
      </c>
      <c r="K3745">
        <v>470.00549999999998</v>
      </c>
      <c r="L3745">
        <v>375.66809999999998</v>
      </c>
      <c r="M3745">
        <v>370.36919999999998</v>
      </c>
      <c r="N3745">
        <v>296.2319</v>
      </c>
      <c r="O3745">
        <v>241.9203</v>
      </c>
      <c r="P3745">
        <v>745</v>
      </c>
      <c r="Q3745" t="s">
        <v>7836</v>
      </c>
    </row>
    <row r="3746" spans="1:17" x14ac:dyDescent="0.3">
      <c r="A3746" t="s">
        <v>4664</v>
      </c>
      <c r="B3746" t="str">
        <f>"200613"</f>
        <v>200613</v>
      </c>
      <c r="C3746" t="s">
        <v>7837</v>
      </c>
      <c r="F3746">
        <v>27.1935</v>
      </c>
      <c r="G3746">
        <v>10.9122</v>
      </c>
      <c r="H3746">
        <v>8.1018000000000008</v>
      </c>
      <c r="I3746">
        <v>9.8966999999999992</v>
      </c>
      <c r="J3746">
        <v>10.8249</v>
      </c>
      <c r="K3746">
        <v>99.201899999999995</v>
      </c>
      <c r="L3746">
        <v>264.80829999999997</v>
      </c>
      <c r="M3746">
        <v>1376.8761</v>
      </c>
      <c r="N3746">
        <v>16818.554400000001</v>
      </c>
      <c r="O3746">
        <v>57.758699999999997</v>
      </c>
      <c r="P3746">
        <v>4</v>
      </c>
      <c r="Q3746" t="s">
        <v>7838</v>
      </c>
    </row>
    <row r="3747" spans="1:17" x14ac:dyDescent="0.3">
      <c r="A3747" t="s">
        <v>4664</v>
      </c>
      <c r="B3747" t="str">
        <f>"200625"</f>
        <v>200625</v>
      </c>
      <c r="C3747" t="s">
        <v>7839</v>
      </c>
      <c r="F3747">
        <v>31.017399999999999</v>
      </c>
      <c r="G3747">
        <v>29.8734</v>
      </c>
      <c r="H3747">
        <v>48.456099999999999</v>
      </c>
      <c r="I3747">
        <v>47.322800000000001</v>
      </c>
      <c r="J3747">
        <v>68.159800000000004</v>
      </c>
      <c r="K3747">
        <v>70.647099999999995</v>
      </c>
      <c r="L3747">
        <v>61.8371</v>
      </c>
      <c r="M3747">
        <v>67.645200000000003</v>
      </c>
      <c r="N3747">
        <v>81.640199999999993</v>
      </c>
      <c r="O3747">
        <v>91.374799999999993</v>
      </c>
      <c r="P3747">
        <v>710</v>
      </c>
      <c r="Q3747" t="s">
        <v>7840</v>
      </c>
    </row>
    <row r="3748" spans="1:17" x14ac:dyDescent="0.3">
      <c r="A3748" t="s">
        <v>4664</v>
      </c>
      <c r="B3748" t="str">
        <f>"200706"</f>
        <v>200706</v>
      </c>
      <c r="C3748" t="s">
        <v>7841</v>
      </c>
      <c r="F3748">
        <v>189.02879999999999</v>
      </c>
      <c r="G3748">
        <v>247.99270000000001</v>
      </c>
      <c r="H3748">
        <v>223.6516</v>
      </c>
      <c r="I3748">
        <v>181.114</v>
      </c>
      <c r="J3748">
        <v>200.70320000000001</v>
      </c>
      <c r="K3748">
        <v>233.82689999999999</v>
      </c>
      <c r="L3748">
        <v>254.51089999999999</v>
      </c>
      <c r="M3748">
        <v>200.9512</v>
      </c>
      <c r="N3748">
        <v>195.63419999999999</v>
      </c>
      <c r="O3748">
        <v>197.64699999999999</v>
      </c>
      <c r="P3748">
        <v>7</v>
      </c>
      <c r="Q3748" t="s">
        <v>7842</v>
      </c>
    </row>
    <row r="3749" spans="1:17" x14ac:dyDescent="0.3">
      <c r="A3749" t="s">
        <v>4664</v>
      </c>
      <c r="B3749" t="str">
        <f>"200725"</f>
        <v>200725</v>
      </c>
      <c r="C3749" t="s">
        <v>7843</v>
      </c>
      <c r="F3749">
        <v>75.291300000000007</v>
      </c>
      <c r="G3749">
        <v>61.058799999999998</v>
      </c>
      <c r="H3749">
        <v>59.93</v>
      </c>
      <c r="I3749">
        <v>67.469499999999996</v>
      </c>
      <c r="J3749">
        <v>60.368699999999997</v>
      </c>
      <c r="K3749">
        <v>65.289599999999993</v>
      </c>
      <c r="L3749">
        <v>64.255499999999998</v>
      </c>
      <c r="M3749">
        <v>64.718000000000004</v>
      </c>
      <c r="N3749">
        <v>52.484200000000001</v>
      </c>
      <c r="O3749">
        <v>54.762700000000002</v>
      </c>
      <c r="P3749">
        <v>85</v>
      </c>
      <c r="Q3749" t="s">
        <v>7844</v>
      </c>
    </row>
    <row r="3750" spans="1:17" x14ac:dyDescent="0.3">
      <c r="A3750" t="s">
        <v>4664</v>
      </c>
      <c r="B3750" t="str">
        <f>"200726"</f>
        <v>200726</v>
      </c>
      <c r="C3750" t="s">
        <v>7845</v>
      </c>
      <c r="F3750">
        <v>258.1191</v>
      </c>
      <c r="G3750">
        <v>329.12259999999998</v>
      </c>
      <c r="H3750">
        <v>244.42590000000001</v>
      </c>
      <c r="I3750">
        <v>207.0752</v>
      </c>
      <c r="J3750">
        <v>207.3509</v>
      </c>
      <c r="K3750">
        <v>209.3433</v>
      </c>
      <c r="L3750">
        <v>184.37440000000001</v>
      </c>
      <c r="M3750">
        <v>187.1361</v>
      </c>
      <c r="N3750">
        <v>187.7852</v>
      </c>
      <c r="O3750">
        <v>198.404</v>
      </c>
      <c r="P3750">
        <v>329</v>
      </c>
      <c r="Q3750" t="s">
        <v>7846</v>
      </c>
    </row>
    <row r="3751" spans="1:17" x14ac:dyDescent="0.3">
      <c r="A3751" t="s">
        <v>4664</v>
      </c>
      <c r="B3751" t="str">
        <f>"200761"</f>
        <v>200761</v>
      </c>
      <c r="C3751" t="s">
        <v>7847</v>
      </c>
      <c r="F3751">
        <v>65.765799999999999</v>
      </c>
      <c r="G3751">
        <v>94.840199999999996</v>
      </c>
      <c r="H3751">
        <v>102.1801</v>
      </c>
      <c r="I3751">
        <v>130.37029999999999</v>
      </c>
      <c r="J3751">
        <v>138.34389999999999</v>
      </c>
      <c r="K3751">
        <v>187.7698</v>
      </c>
      <c r="L3751">
        <v>224.7621</v>
      </c>
      <c r="M3751">
        <v>152.13939999999999</v>
      </c>
      <c r="N3751">
        <v>115.56229999999999</v>
      </c>
      <c r="O3751">
        <v>143.54920000000001</v>
      </c>
      <c r="P3751">
        <v>41</v>
      </c>
      <c r="Q3751" t="s">
        <v>7848</v>
      </c>
    </row>
    <row r="3752" spans="1:17" x14ac:dyDescent="0.3">
      <c r="A3752" t="s">
        <v>4664</v>
      </c>
      <c r="B3752" t="str">
        <f>"200770"</f>
        <v>200770</v>
      </c>
      <c r="C3752" t="s">
        <v>7849</v>
      </c>
      <c r="K3752">
        <v>55.243400000000001</v>
      </c>
      <c r="L3752">
        <v>65.684399999999997</v>
      </c>
      <c r="M3752">
        <v>63.471499999999999</v>
      </c>
      <c r="N3752">
        <v>78.782200000000003</v>
      </c>
      <c r="O3752">
        <v>23.240400000000001</v>
      </c>
      <c r="P3752">
        <v>0</v>
      </c>
      <c r="Q3752" t="s">
        <v>7850</v>
      </c>
    </row>
    <row r="3753" spans="1:17" x14ac:dyDescent="0.3">
      <c r="A3753" t="s">
        <v>4664</v>
      </c>
      <c r="B3753" t="str">
        <f>"200771"</f>
        <v>200771</v>
      </c>
      <c r="C3753" t="s">
        <v>7851</v>
      </c>
      <c r="F3753">
        <v>296.07369999999997</v>
      </c>
      <c r="G3753">
        <v>340.08170000000001</v>
      </c>
      <c r="H3753">
        <v>340.93439999999998</v>
      </c>
      <c r="I3753">
        <v>333.44499999999999</v>
      </c>
      <c r="J3753">
        <v>399.61759999999998</v>
      </c>
      <c r="K3753">
        <v>484.72539999999998</v>
      </c>
      <c r="L3753">
        <v>690.9538</v>
      </c>
      <c r="M3753">
        <v>425.48790000000002</v>
      </c>
      <c r="N3753">
        <v>241.20760000000001</v>
      </c>
      <c r="O3753">
        <v>268.72489999999999</v>
      </c>
      <c r="P3753">
        <v>65</v>
      </c>
      <c r="Q3753" t="s">
        <v>7852</v>
      </c>
    </row>
    <row r="3754" spans="1:17" x14ac:dyDescent="0.3">
      <c r="A3754" t="s">
        <v>4664</v>
      </c>
      <c r="B3754" t="str">
        <f>"200869"</f>
        <v>200869</v>
      </c>
      <c r="C3754" t="s">
        <v>7853</v>
      </c>
      <c r="F3754">
        <v>950.96849999999995</v>
      </c>
      <c r="G3754">
        <v>1100.3968</v>
      </c>
      <c r="H3754">
        <v>789.19929999999999</v>
      </c>
      <c r="I3754">
        <v>661.13149999999996</v>
      </c>
      <c r="J3754">
        <v>627.26729999999998</v>
      </c>
      <c r="K3754">
        <v>607.21839999999997</v>
      </c>
      <c r="L3754">
        <v>563.15440000000001</v>
      </c>
      <c r="M3754">
        <v>685.37649999999996</v>
      </c>
      <c r="N3754">
        <v>756.44479999999999</v>
      </c>
      <c r="O3754">
        <v>646.90239999999994</v>
      </c>
      <c r="P3754">
        <v>348</v>
      </c>
      <c r="Q3754" t="s">
        <v>7854</v>
      </c>
    </row>
    <row r="3755" spans="1:17" x14ac:dyDescent="0.3">
      <c r="A3755" t="s">
        <v>4664</v>
      </c>
      <c r="B3755" t="str">
        <f>"200986"</f>
        <v>200986</v>
      </c>
      <c r="C3755" t="s">
        <v>7855</v>
      </c>
      <c r="G3755">
        <v>98.647400000000005</v>
      </c>
      <c r="H3755">
        <v>130.2372</v>
      </c>
      <c r="I3755">
        <v>99.172700000000006</v>
      </c>
      <c r="J3755">
        <v>89.936000000000007</v>
      </c>
      <c r="K3755">
        <v>118.6938</v>
      </c>
      <c r="L3755">
        <v>155.8468</v>
      </c>
      <c r="M3755">
        <v>140.24340000000001</v>
      </c>
      <c r="N3755">
        <v>131.048</v>
      </c>
      <c r="O3755">
        <v>197.2088</v>
      </c>
      <c r="P3755">
        <v>8</v>
      </c>
      <c r="Q3755" t="s">
        <v>7856</v>
      </c>
    </row>
    <row r="3756" spans="1:17" x14ac:dyDescent="0.3">
      <c r="A3756" t="s">
        <v>4664</v>
      </c>
      <c r="B3756" t="str">
        <f>"200992"</f>
        <v>200992</v>
      </c>
      <c r="C3756" t="s">
        <v>7857</v>
      </c>
      <c r="F3756">
        <v>191.20830000000001</v>
      </c>
      <c r="G3756">
        <v>210.3689</v>
      </c>
      <c r="H3756">
        <v>183.08670000000001</v>
      </c>
      <c r="I3756">
        <v>162.8853</v>
      </c>
      <c r="J3756">
        <v>113.2957</v>
      </c>
      <c r="K3756">
        <v>115.07989999999999</v>
      </c>
      <c r="L3756">
        <v>148.93889999999999</v>
      </c>
      <c r="M3756">
        <v>203.2458</v>
      </c>
      <c r="N3756">
        <v>188.0444</v>
      </c>
      <c r="O3756">
        <v>130.24529999999999</v>
      </c>
      <c r="P3756">
        <v>22</v>
      </c>
      <c r="Q3756" t="s">
        <v>7858</v>
      </c>
    </row>
    <row r="3757" spans="1:17" x14ac:dyDescent="0.3">
      <c r="A3757" t="s">
        <v>4664</v>
      </c>
      <c r="B3757" t="str">
        <f>"201872"</f>
        <v>201872</v>
      </c>
      <c r="C3757" t="s">
        <v>7859</v>
      </c>
      <c r="F3757">
        <v>12.0052</v>
      </c>
      <c r="G3757">
        <v>12.194699999999999</v>
      </c>
      <c r="H3757">
        <v>9.2334999999999994</v>
      </c>
      <c r="I3757">
        <v>7.1744000000000003</v>
      </c>
      <c r="J3757">
        <v>7.0968999999999998</v>
      </c>
      <c r="K3757">
        <v>8.4315999999999995</v>
      </c>
      <c r="L3757">
        <v>9.4877000000000002</v>
      </c>
      <c r="M3757">
        <v>11.0319</v>
      </c>
      <c r="N3757">
        <v>12.9674</v>
      </c>
      <c r="O3757">
        <v>13.6378</v>
      </c>
      <c r="P3757">
        <v>90</v>
      </c>
      <c r="Q3757" t="s">
        <v>7860</v>
      </c>
    </row>
    <row r="3758" spans="1:17" x14ac:dyDescent="0.3">
      <c r="A3758" t="s">
        <v>4664</v>
      </c>
      <c r="B3758" t="str">
        <f>"300001"</f>
        <v>300001</v>
      </c>
      <c r="C3758" t="s">
        <v>7861</v>
      </c>
      <c r="D3758" t="s">
        <v>210</v>
      </c>
      <c r="F3758">
        <v>109.76519999999999</v>
      </c>
      <c r="G3758">
        <v>99.630600000000001</v>
      </c>
      <c r="H3758">
        <v>126.0014</v>
      </c>
      <c r="I3758">
        <v>148.45740000000001</v>
      </c>
      <c r="J3758">
        <v>111.1392</v>
      </c>
      <c r="K3758">
        <v>127.2149</v>
      </c>
      <c r="L3758">
        <v>135.22640000000001</v>
      </c>
      <c r="M3758">
        <v>148.4496</v>
      </c>
      <c r="N3758">
        <v>170.8449</v>
      </c>
      <c r="O3758">
        <v>164.7474</v>
      </c>
      <c r="P3758">
        <v>530</v>
      </c>
      <c r="Q3758" t="s">
        <v>7862</v>
      </c>
    </row>
    <row r="3759" spans="1:17" x14ac:dyDescent="0.3">
      <c r="A3759" t="s">
        <v>4664</v>
      </c>
      <c r="B3759" t="str">
        <f>"300002"</f>
        <v>300002</v>
      </c>
      <c r="C3759" t="s">
        <v>7863</v>
      </c>
      <c r="D3759" t="s">
        <v>517</v>
      </c>
      <c r="F3759">
        <v>82.863200000000006</v>
      </c>
      <c r="G3759">
        <v>126.6467</v>
      </c>
      <c r="H3759">
        <v>203.20429999999999</v>
      </c>
      <c r="I3759">
        <v>325.73090000000002</v>
      </c>
      <c r="J3759">
        <v>169.39179999999999</v>
      </c>
      <c r="K3759">
        <v>89.422399999999996</v>
      </c>
      <c r="L3759">
        <v>66.055199999999999</v>
      </c>
      <c r="M3759">
        <v>64.180499999999995</v>
      </c>
      <c r="N3759">
        <v>66.933499999999995</v>
      </c>
      <c r="O3759">
        <v>133.83199999999999</v>
      </c>
      <c r="P3759">
        <v>282</v>
      </c>
      <c r="Q3759" t="s">
        <v>7864</v>
      </c>
    </row>
    <row r="3760" spans="1:17" x14ac:dyDescent="0.3">
      <c r="A3760" t="s">
        <v>4664</v>
      </c>
      <c r="B3760" t="str">
        <f>"300003"</f>
        <v>300003</v>
      </c>
      <c r="C3760" t="s">
        <v>7865</v>
      </c>
      <c r="D3760" t="s">
        <v>1077</v>
      </c>
      <c r="F3760">
        <v>186.78989999999999</v>
      </c>
      <c r="G3760">
        <v>214.67850000000001</v>
      </c>
      <c r="H3760">
        <v>194.6053</v>
      </c>
      <c r="I3760">
        <v>216.14680000000001</v>
      </c>
      <c r="J3760">
        <v>205.35659999999999</v>
      </c>
      <c r="K3760">
        <v>196.6771</v>
      </c>
      <c r="L3760">
        <v>155.8486</v>
      </c>
      <c r="M3760">
        <v>185.1061</v>
      </c>
      <c r="N3760">
        <v>229.5078</v>
      </c>
      <c r="O3760">
        <v>353.60849999999999</v>
      </c>
      <c r="P3760">
        <v>3268</v>
      </c>
      <c r="Q3760" t="s">
        <v>7866</v>
      </c>
    </row>
    <row r="3761" spans="1:17" x14ac:dyDescent="0.3">
      <c r="A3761" t="s">
        <v>4664</v>
      </c>
      <c r="B3761" t="str">
        <f>"300004"</f>
        <v>300004</v>
      </c>
      <c r="C3761" t="s">
        <v>7867</v>
      </c>
      <c r="D3761" t="s">
        <v>741</v>
      </c>
      <c r="F3761">
        <v>635.93650000000002</v>
      </c>
      <c r="G3761">
        <v>929.96400000000006</v>
      </c>
      <c r="H3761">
        <v>668.90319999999997</v>
      </c>
      <c r="I3761">
        <v>714.75819999999999</v>
      </c>
      <c r="J3761">
        <v>521.17840000000001</v>
      </c>
      <c r="K3761">
        <v>618.77660000000003</v>
      </c>
      <c r="L3761">
        <v>558.8537</v>
      </c>
      <c r="M3761">
        <v>458.49630000000002</v>
      </c>
      <c r="N3761">
        <v>246.13669999999999</v>
      </c>
      <c r="O3761">
        <v>305.98219999999998</v>
      </c>
      <c r="P3761">
        <v>84</v>
      </c>
      <c r="Q3761" t="s">
        <v>7868</v>
      </c>
    </row>
    <row r="3762" spans="1:17" x14ac:dyDescent="0.3">
      <c r="A3762" t="s">
        <v>4664</v>
      </c>
      <c r="B3762" t="str">
        <f>"300005"</f>
        <v>300005</v>
      </c>
      <c r="C3762" t="s">
        <v>7869</v>
      </c>
      <c r="D3762" t="s">
        <v>2990</v>
      </c>
      <c r="F3762">
        <v>386.1687</v>
      </c>
      <c r="G3762">
        <v>466.58159999999998</v>
      </c>
      <c r="H3762">
        <v>256.37560000000002</v>
      </c>
      <c r="I3762">
        <v>187.0224</v>
      </c>
      <c r="J3762">
        <v>94.061700000000002</v>
      </c>
      <c r="K3762">
        <v>178.64949999999999</v>
      </c>
      <c r="L3762">
        <v>104.0943</v>
      </c>
      <c r="M3762">
        <v>299.43729999999999</v>
      </c>
      <c r="N3762">
        <v>247.69540000000001</v>
      </c>
      <c r="O3762">
        <v>295.3091</v>
      </c>
      <c r="P3762">
        <v>181</v>
      </c>
      <c r="Q3762" t="s">
        <v>7870</v>
      </c>
    </row>
    <row r="3763" spans="1:17" x14ac:dyDescent="0.3">
      <c r="A3763" t="s">
        <v>4664</v>
      </c>
      <c r="B3763" t="str">
        <f>"300006"</f>
        <v>300006</v>
      </c>
      <c r="C3763" t="s">
        <v>7871</v>
      </c>
      <c r="D3763" t="s">
        <v>143</v>
      </c>
      <c r="F3763">
        <v>355.13580000000002</v>
      </c>
      <c r="G3763">
        <v>355.76389999999998</v>
      </c>
      <c r="H3763">
        <v>261.20729999999998</v>
      </c>
      <c r="I3763">
        <v>318.4425</v>
      </c>
      <c r="J3763">
        <v>266.05040000000002</v>
      </c>
      <c r="K3763">
        <v>315.46230000000003</v>
      </c>
      <c r="L3763">
        <v>264.98930000000001</v>
      </c>
      <c r="M3763">
        <v>197.07390000000001</v>
      </c>
      <c r="N3763">
        <v>182.3141</v>
      </c>
      <c r="O3763">
        <v>173.3289</v>
      </c>
      <c r="P3763">
        <v>136</v>
      </c>
      <c r="Q3763" t="s">
        <v>7872</v>
      </c>
    </row>
    <row r="3764" spans="1:17" x14ac:dyDescent="0.3">
      <c r="A3764" t="s">
        <v>4664</v>
      </c>
      <c r="B3764" t="str">
        <f>"300007"</f>
        <v>300007</v>
      </c>
      <c r="C3764" t="s">
        <v>7873</v>
      </c>
      <c r="D3764" t="s">
        <v>2551</v>
      </c>
      <c r="F3764">
        <v>102.00369999999999</v>
      </c>
      <c r="G3764">
        <v>143.92859999999999</v>
      </c>
      <c r="H3764">
        <v>194.75960000000001</v>
      </c>
      <c r="I3764">
        <v>219.5847</v>
      </c>
      <c r="J3764">
        <v>182.63380000000001</v>
      </c>
      <c r="K3764">
        <v>156.6388</v>
      </c>
      <c r="L3764">
        <v>228.2972</v>
      </c>
      <c r="M3764">
        <v>265.95159999999998</v>
      </c>
      <c r="N3764">
        <v>249.43809999999999</v>
      </c>
      <c r="O3764">
        <v>252.65799999999999</v>
      </c>
      <c r="P3764">
        <v>314</v>
      </c>
      <c r="Q3764" t="s">
        <v>7874</v>
      </c>
    </row>
    <row r="3765" spans="1:17" x14ac:dyDescent="0.3">
      <c r="A3765" t="s">
        <v>4664</v>
      </c>
      <c r="B3765" t="str">
        <f>"300008"</f>
        <v>300008</v>
      </c>
      <c r="C3765" t="s">
        <v>7875</v>
      </c>
      <c r="D3765" t="s">
        <v>167</v>
      </c>
      <c r="F3765">
        <v>74.152799999999999</v>
      </c>
      <c r="G3765">
        <v>348.85989999999998</v>
      </c>
      <c r="H3765">
        <v>426.12729999999999</v>
      </c>
      <c r="I3765">
        <v>344.08659999999998</v>
      </c>
      <c r="J3765">
        <v>563.54639999999995</v>
      </c>
      <c r="K3765">
        <v>224.6088</v>
      </c>
      <c r="L3765">
        <v>214.9248</v>
      </c>
      <c r="M3765">
        <v>137.48560000000001</v>
      </c>
      <c r="N3765">
        <v>328.57729999999998</v>
      </c>
      <c r="O3765">
        <v>169.43450000000001</v>
      </c>
      <c r="P3765">
        <v>107</v>
      </c>
      <c r="Q3765" t="s">
        <v>7876</v>
      </c>
    </row>
    <row r="3766" spans="1:17" x14ac:dyDescent="0.3">
      <c r="A3766" t="s">
        <v>4664</v>
      </c>
      <c r="B3766" t="str">
        <f>"300009"</f>
        <v>300009</v>
      </c>
      <c r="C3766" t="s">
        <v>7877</v>
      </c>
      <c r="D3766" t="s">
        <v>1379</v>
      </c>
      <c r="F3766">
        <v>207.44990000000001</v>
      </c>
      <c r="G3766">
        <v>236.93879999999999</v>
      </c>
      <c r="H3766">
        <v>176.71789999999999</v>
      </c>
      <c r="I3766">
        <v>161.8117</v>
      </c>
      <c r="J3766">
        <v>155.98580000000001</v>
      </c>
      <c r="K3766">
        <v>130.33920000000001</v>
      </c>
      <c r="L3766">
        <v>105.27679999999999</v>
      </c>
      <c r="M3766">
        <v>104.6399</v>
      </c>
      <c r="N3766">
        <v>133.0454</v>
      </c>
      <c r="O3766">
        <v>115.22369999999999</v>
      </c>
      <c r="P3766">
        <v>840</v>
      </c>
      <c r="Q3766" t="s">
        <v>7878</v>
      </c>
    </row>
    <row r="3767" spans="1:17" x14ac:dyDescent="0.3">
      <c r="A3767" t="s">
        <v>4664</v>
      </c>
      <c r="B3767" t="str">
        <f>"300010"</f>
        <v>300010</v>
      </c>
      <c r="C3767" t="s">
        <v>7879</v>
      </c>
      <c r="D3767" t="s">
        <v>1336</v>
      </c>
      <c r="F3767">
        <v>454.0557</v>
      </c>
      <c r="G3767">
        <v>189.86080000000001</v>
      </c>
      <c r="H3767">
        <v>249.40649999999999</v>
      </c>
      <c r="I3767">
        <v>377.29969999999997</v>
      </c>
      <c r="J3767">
        <v>393.74029999999999</v>
      </c>
      <c r="K3767">
        <v>317.22739999999999</v>
      </c>
      <c r="L3767">
        <v>192.18549999999999</v>
      </c>
      <c r="M3767">
        <v>222.58799999999999</v>
      </c>
      <c r="N3767">
        <v>193.06630000000001</v>
      </c>
      <c r="O3767">
        <v>161.38040000000001</v>
      </c>
      <c r="P3767">
        <v>262</v>
      </c>
      <c r="Q3767" t="s">
        <v>7880</v>
      </c>
    </row>
    <row r="3768" spans="1:17" x14ac:dyDescent="0.3">
      <c r="A3768" t="s">
        <v>4664</v>
      </c>
      <c r="B3768" t="str">
        <f>"300011"</f>
        <v>300011</v>
      </c>
      <c r="C3768" t="s">
        <v>7881</v>
      </c>
      <c r="D3768" t="s">
        <v>1012</v>
      </c>
      <c r="F3768">
        <v>220.90969999999999</v>
      </c>
      <c r="G3768">
        <v>227.0478</v>
      </c>
      <c r="H3768">
        <v>205.02510000000001</v>
      </c>
      <c r="I3768">
        <v>207.4282</v>
      </c>
      <c r="J3768">
        <v>223.24959999999999</v>
      </c>
      <c r="K3768">
        <v>263.25549999999998</v>
      </c>
      <c r="L3768">
        <v>183.0291</v>
      </c>
      <c r="M3768">
        <v>155.30430000000001</v>
      </c>
      <c r="N3768">
        <v>113.1581</v>
      </c>
      <c r="O3768">
        <v>161.9589</v>
      </c>
      <c r="P3768">
        <v>109</v>
      </c>
      <c r="Q3768" t="s">
        <v>7882</v>
      </c>
    </row>
    <row r="3769" spans="1:17" x14ac:dyDescent="0.3">
      <c r="A3769" t="s">
        <v>4664</v>
      </c>
      <c r="B3769" t="str">
        <f>"300012"</f>
        <v>300012</v>
      </c>
      <c r="C3769" t="s">
        <v>7883</v>
      </c>
      <c r="D3769" t="s">
        <v>2499</v>
      </c>
      <c r="F3769">
        <v>11.3482</v>
      </c>
      <c r="G3769">
        <v>8.7028999999999996</v>
      </c>
      <c r="H3769">
        <v>6.3914999999999997</v>
      </c>
      <c r="I3769">
        <v>5.6920000000000002</v>
      </c>
      <c r="J3769">
        <v>1.7762</v>
      </c>
      <c r="K3769">
        <v>2.0423</v>
      </c>
      <c r="L3769">
        <v>1.5876999999999999</v>
      </c>
      <c r="M3769">
        <v>0</v>
      </c>
      <c r="N3769">
        <v>0</v>
      </c>
      <c r="O3769">
        <v>0</v>
      </c>
      <c r="P3769">
        <v>1300</v>
      </c>
      <c r="Q3769" t="s">
        <v>7884</v>
      </c>
    </row>
    <row r="3770" spans="1:17" x14ac:dyDescent="0.3">
      <c r="A3770" t="s">
        <v>4664</v>
      </c>
      <c r="B3770" t="str">
        <f>"300013"</f>
        <v>300013</v>
      </c>
      <c r="C3770" t="s">
        <v>7885</v>
      </c>
      <c r="D3770" t="s">
        <v>3098</v>
      </c>
      <c r="F3770">
        <v>21.785599999999999</v>
      </c>
      <c r="G3770">
        <v>45.783999999999999</v>
      </c>
      <c r="H3770">
        <v>43.51</v>
      </c>
      <c r="I3770">
        <v>41.749200000000002</v>
      </c>
      <c r="J3770">
        <v>34.212299999999999</v>
      </c>
      <c r="K3770">
        <v>97.527100000000004</v>
      </c>
      <c r="L3770">
        <v>39.354199999999999</v>
      </c>
      <c r="M3770">
        <v>2.7808000000000002</v>
      </c>
      <c r="N3770">
        <v>1.323</v>
      </c>
      <c r="O3770">
        <v>1.0899000000000001</v>
      </c>
      <c r="P3770">
        <v>70</v>
      </c>
      <c r="Q3770" t="s">
        <v>7886</v>
      </c>
    </row>
    <row r="3771" spans="1:17" x14ac:dyDescent="0.3">
      <c r="A3771" t="s">
        <v>4664</v>
      </c>
      <c r="B3771" t="str">
        <f>"300014"</f>
        <v>300014</v>
      </c>
      <c r="C3771" t="s">
        <v>7887</v>
      </c>
      <c r="D3771" t="s">
        <v>359</v>
      </c>
      <c r="F3771">
        <v>95.770099999999999</v>
      </c>
      <c r="G3771">
        <v>116.5382</v>
      </c>
      <c r="H3771">
        <v>120.5496</v>
      </c>
      <c r="I3771">
        <v>165.35749999999999</v>
      </c>
      <c r="J3771">
        <v>191.2225</v>
      </c>
      <c r="K3771">
        <v>133.39169999999999</v>
      </c>
      <c r="L3771">
        <v>113.9439</v>
      </c>
      <c r="M3771">
        <v>117.9592</v>
      </c>
      <c r="N3771">
        <v>123.2276</v>
      </c>
      <c r="O3771">
        <v>127.5668</v>
      </c>
      <c r="P3771">
        <v>2493</v>
      </c>
      <c r="Q3771" t="s">
        <v>7888</v>
      </c>
    </row>
    <row r="3772" spans="1:17" x14ac:dyDescent="0.3">
      <c r="A3772" t="s">
        <v>4664</v>
      </c>
      <c r="B3772" t="str">
        <f>"300015"</f>
        <v>300015</v>
      </c>
      <c r="C3772" t="s">
        <v>7889</v>
      </c>
      <c r="D3772" t="s">
        <v>1147</v>
      </c>
      <c r="F3772">
        <v>33.033999999999999</v>
      </c>
      <c r="G3772">
        <v>35.627899999999997</v>
      </c>
      <c r="H3772">
        <v>32.982100000000003</v>
      </c>
      <c r="I3772">
        <v>34.995600000000003</v>
      </c>
      <c r="J3772">
        <v>39.119</v>
      </c>
      <c r="K3772">
        <v>42.7562</v>
      </c>
      <c r="L3772">
        <v>45.004800000000003</v>
      </c>
      <c r="M3772">
        <v>47.353900000000003</v>
      </c>
      <c r="N3772">
        <v>46.047899999999998</v>
      </c>
      <c r="O3772">
        <v>46.726999999999997</v>
      </c>
      <c r="P3772">
        <v>11096</v>
      </c>
      <c r="Q3772" t="s">
        <v>7890</v>
      </c>
    </row>
    <row r="3773" spans="1:17" x14ac:dyDescent="0.3">
      <c r="A3773" t="s">
        <v>4664</v>
      </c>
      <c r="B3773" t="str">
        <f>"300016"</f>
        <v>300016</v>
      </c>
      <c r="C3773" t="s">
        <v>7891</v>
      </c>
      <c r="D3773" t="s">
        <v>143</v>
      </c>
      <c r="F3773">
        <v>240.4203</v>
      </c>
      <c r="G3773">
        <v>215.3244</v>
      </c>
      <c r="H3773">
        <v>207.15819999999999</v>
      </c>
      <c r="I3773">
        <v>233.34110000000001</v>
      </c>
      <c r="J3773">
        <v>262.78930000000003</v>
      </c>
      <c r="K3773">
        <v>204.99469999999999</v>
      </c>
      <c r="L3773">
        <v>236.25880000000001</v>
      </c>
      <c r="M3773">
        <v>218.72810000000001</v>
      </c>
      <c r="N3773">
        <v>302.98140000000001</v>
      </c>
      <c r="O3773">
        <v>203.00659999999999</v>
      </c>
      <c r="P3773">
        <v>305</v>
      </c>
      <c r="Q3773" t="s">
        <v>7892</v>
      </c>
    </row>
    <row r="3774" spans="1:17" x14ac:dyDescent="0.3">
      <c r="A3774" t="s">
        <v>4664</v>
      </c>
      <c r="B3774" t="str">
        <f>"300017"</f>
        <v>300017</v>
      </c>
      <c r="C3774" t="s">
        <v>7893</v>
      </c>
      <c r="D3774" t="s">
        <v>316</v>
      </c>
      <c r="F3774">
        <v>3.0042</v>
      </c>
      <c r="G3774">
        <v>0.89400000000000002</v>
      </c>
      <c r="H3774">
        <v>2.6955</v>
      </c>
      <c r="I3774">
        <v>2.9792000000000001</v>
      </c>
      <c r="J3774">
        <v>36.430199999999999</v>
      </c>
      <c r="K3774">
        <v>27.379300000000001</v>
      </c>
      <c r="L3774">
        <v>10.531000000000001</v>
      </c>
      <c r="M3774">
        <v>12.6578</v>
      </c>
      <c r="N3774">
        <v>11.458500000000001</v>
      </c>
      <c r="O3774">
        <v>9.5122999999999998</v>
      </c>
      <c r="P3774">
        <v>759</v>
      </c>
      <c r="Q3774" t="s">
        <v>7894</v>
      </c>
    </row>
    <row r="3775" spans="1:17" x14ac:dyDescent="0.3">
      <c r="A3775" t="s">
        <v>4664</v>
      </c>
      <c r="B3775" t="str">
        <f>"300018"</f>
        <v>300018</v>
      </c>
      <c r="C3775" t="s">
        <v>7895</v>
      </c>
      <c r="D3775" t="s">
        <v>610</v>
      </c>
      <c r="F3775">
        <v>371.45960000000002</v>
      </c>
      <c r="G3775">
        <v>351.61770000000001</v>
      </c>
      <c r="H3775">
        <v>388.58749999999998</v>
      </c>
      <c r="I3775">
        <v>277.11989999999997</v>
      </c>
      <c r="J3775">
        <v>293.09289999999999</v>
      </c>
      <c r="K3775">
        <v>293.16269999999997</v>
      </c>
      <c r="L3775">
        <v>393.57659999999998</v>
      </c>
      <c r="M3775">
        <v>345.34370000000001</v>
      </c>
      <c r="N3775">
        <v>373.63589999999999</v>
      </c>
      <c r="O3775">
        <v>344.29570000000001</v>
      </c>
      <c r="P3775">
        <v>127</v>
      </c>
      <c r="Q3775" t="s">
        <v>7896</v>
      </c>
    </row>
    <row r="3776" spans="1:17" x14ac:dyDescent="0.3">
      <c r="A3776" t="s">
        <v>4664</v>
      </c>
      <c r="B3776" t="str">
        <f>"300019"</f>
        <v>300019</v>
      </c>
      <c r="C3776" t="s">
        <v>7897</v>
      </c>
      <c r="D3776" t="s">
        <v>1205</v>
      </c>
      <c r="F3776">
        <v>87.411699999999996</v>
      </c>
      <c r="G3776">
        <v>107.7167</v>
      </c>
      <c r="H3776">
        <v>103.5968</v>
      </c>
      <c r="I3776">
        <v>88.506900000000002</v>
      </c>
      <c r="J3776">
        <v>85.807500000000005</v>
      </c>
      <c r="K3776">
        <v>111.5577</v>
      </c>
      <c r="L3776">
        <v>99.5946</v>
      </c>
      <c r="M3776">
        <v>106.4824</v>
      </c>
      <c r="N3776">
        <v>104.9431</v>
      </c>
      <c r="O3776">
        <v>98.870500000000007</v>
      </c>
      <c r="P3776">
        <v>295</v>
      </c>
      <c r="Q3776" t="s">
        <v>7898</v>
      </c>
    </row>
    <row r="3777" spans="1:17" x14ac:dyDescent="0.3">
      <c r="A3777" t="s">
        <v>4664</v>
      </c>
      <c r="B3777" t="str">
        <f>"300020"</f>
        <v>300020</v>
      </c>
      <c r="C3777" t="s">
        <v>7899</v>
      </c>
      <c r="D3777" t="s">
        <v>316</v>
      </c>
      <c r="F3777">
        <v>41.768799999999999</v>
      </c>
      <c r="G3777">
        <v>325.79700000000003</v>
      </c>
      <c r="H3777">
        <v>625.34289999999999</v>
      </c>
      <c r="I3777">
        <v>545.61159999999995</v>
      </c>
      <c r="J3777">
        <v>497.17110000000002</v>
      </c>
      <c r="K3777">
        <v>460.9973</v>
      </c>
      <c r="L3777">
        <v>445.3682</v>
      </c>
      <c r="M3777">
        <v>348.67</v>
      </c>
      <c r="N3777">
        <v>295.21960000000001</v>
      </c>
      <c r="O3777">
        <v>280.25119999999998</v>
      </c>
      <c r="P3777">
        <v>237</v>
      </c>
      <c r="Q3777" t="s">
        <v>7900</v>
      </c>
    </row>
    <row r="3778" spans="1:17" x14ac:dyDescent="0.3">
      <c r="A3778" t="s">
        <v>4664</v>
      </c>
      <c r="B3778" t="str">
        <f>"300021"</f>
        <v>300021</v>
      </c>
      <c r="C3778" t="s">
        <v>7901</v>
      </c>
      <c r="D3778" t="s">
        <v>6816</v>
      </c>
      <c r="F3778">
        <v>146.4443</v>
      </c>
      <c r="G3778">
        <v>174.9425</v>
      </c>
      <c r="H3778">
        <v>209.51599999999999</v>
      </c>
      <c r="I3778">
        <v>359.24889999999999</v>
      </c>
      <c r="J3778">
        <v>386.01179999999999</v>
      </c>
      <c r="K3778">
        <v>272.84269999999998</v>
      </c>
      <c r="L3778">
        <v>338.1576</v>
      </c>
      <c r="M3778">
        <v>428.66829999999999</v>
      </c>
      <c r="N3778">
        <v>512.43730000000005</v>
      </c>
      <c r="O3778">
        <v>438.01060000000001</v>
      </c>
      <c r="P3778">
        <v>174</v>
      </c>
      <c r="Q3778" t="s">
        <v>7902</v>
      </c>
    </row>
    <row r="3779" spans="1:17" x14ac:dyDescent="0.3">
      <c r="A3779" t="s">
        <v>4664</v>
      </c>
      <c r="B3779" t="str">
        <f>"300022"</f>
        <v>300022</v>
      </c>
      <c r="C3779" t="s">
        <v>7903</v>
      </c>
      <c r="D3779" t="s">
        <v>295</v>
      </c>
      <c r="F3779">
        <v>101.55159999999999</v>
      </c>
      <c r="G3779">
        <v>111.6673</v>
      </c>
      <c r="H3779">
        <v>111.1772</v>
      </c>
      <c r="I3779">
        <v>108.75060000000001</v>
      </c>
      <c r="J3779">
        <v>112.7719</v>
      </c>
      <c r="K3779">
        <v>113.961</v>
      </c>
      <c r="L3779">
        <v>131.00659999999999</v>
      </c>
      <c r="M3779">
        <v>170.01920000000001</v>
      </c>
      <c r="N3779">
        <v>128.04159999999999</v>
      </c>
      <c r="O3779">
        <v>142.54580000000001</v>
      </c>
      <c r="P3779">
        <v>63</v>
      </c>
      <c r="Q3779" t="s">
        <v>7904</v>
      </c>
    </row>
    <row r="3780" spans="1:17" x14ac:dyDescent="0.3">
      <c r="A3780" t="s">
        <v>4664</v>
      </c>
      <c r="B3780" t="str">
        <f>"300023"</f>
        <v>300023</v>
      </c>
      <c r="C3780" t="s">
        <v>7905</v>
      </c>
      <c r="D3780" t="s">
        <v>140</v>
      </c>
      <c r="F3780">
        <v>244.83799999999999</v>
      </c>
      <c r="G3780">
        <v>329.83769999999998</v>
      </c>
      <c r="H3780">
        <v>22.051600000000001</v>
      </c>
      <c r="I3780">
        <v>20.334599999999998</v>
      </c>
      <c r="J3780">
        <v>135.67760000000001</v>
      </c>
      <c r="K3780">
        <v>63.224699999999999</v>
      </c>
      <c r="L3780">
        <v>165.39699999999999</v>
      </c>
      <c r="M3780">
        <v>185.7184</v>
      </c>
      <c r="N3780">
        <v>358.63959999999997</v>
      </c>
      <c r="O3780">
        <v>226.17689999999999</v>
      </c>
      <c r="P3780">
        <v>61</v>
      </c>
      <c r="Q3780" t="s">
        <v>7906</v>
      </c>
    </row>
    <row r="3781" spans="1:17" x14ac:dyDescent="0.3">
      <c r="A3781" t="s">
        <v>4664</v>
      </c>
      <c r="B3781" t="str">
        <f>"300024"</f>
        <v>300024</v>
      </c>
      <c r="C3781" t="s">
        <v>2911</v>
      </c>
      <c r="D3781" t="s">
        <v>2911</v>
      </c>
      <c r="F3781">
        <v>849.46230000000003</v>
      </c>
      <c r="G3781">
        <v>699.51030000000003</v>
      </c>
      <c r="H3781">
        <v>857.69079999999997</v>
      </c>
      <c r="I3781">
        <v>639.96979999999996</v>
      </c>
      <c r="J3781">
        <v>635.23490000000004</v>
      </c>
      <c r="K3781">
        <v>635.70749999999998</v>
      </c>
      <c r="L3781">
        <v>565.23760000000004</v>
      </c>
      <c r="M3781">
        <v>452.596</v>
      </c>
      <c r="N3781">
        <v>384.7414</v>
      </c>
      <c r="O3781">
        <v>280.21789999999999</v>
      </c>
      <c r="P3781">
        <v>547</v>
      </c>
      <c r="Q3781" t="s">
        <v>7907</v>
      </c>
    </row>
    <row r="3782" spans="1:17" x14ac:dyDescent="0.3">
      <c r="A3782" t="s">
        <v>4664</v>
      </c>
      <c r="B3782" t="str">
        <f>"300025"</f>
        <v>300025</v>
      </c>
      <c r="C3782" t="s">
        <v>7908</v>
      </c>
      <c r="D3782" t="s">
        <v>654</v>
      </c>
      <c r="F3782">
        <v>50.7211</v>
      </c>
      <c r="G3782">
        <v>132.40199999999999</v>
      </c>
      <c r="H3782">
        <v>129.7526</v>
      </c>
      <c r="I3782">
        <v>103.22</v>
      </c>
      <c r="J3782">
        <v>96.321299999999994</v>
      </c>
      <c r="K3782">
        <v>78.454099999999997</v>
      </c>
      <c r="L3782">
        <v>64.980599999999995</v>
      </c>
      <c r="M3782">
        <v>56.828600000000002</v>
      </c>
      <c r="N3782">
        <v>125.6956</v>
      </c>
      <c r="O3782">
        <v>118.80670000000001</v>
      </c>
      <c r="P3782">
        <v>223</v>
      </c>
      <c r="Q3782" t="s">
        <v>7909</v>
      </c>
    </row>
    <row r="3783" spans="1:17" x14ac:dyDescent="0.3">
      <c r="A3783" t="s">
        <v>4664</v>
      </c>
      <c r="B3783" t="str">
        <f>"300026"</f>
        <v>300026</v>
      </c>
      <c r="C3783" t="s">
        <v>7910</v>
      </c>
      <c r="D3783" t="s">
        <v>188</v>
      </c>
      <c r="F3783">
        <v>198.1464</v>
      </c>
      <c r="G3783">
        <v>204.42699999999999</v>
      </c>
      <c r="H3783">
        <v>253.29570000000001</v>
      </c>
      <c r="I3783">
        <v>243.1146</v>
      </c>
      <c r="J3783">
        <v>246.02809999999999</v>
      </c>
      <c r="K3783">
        <v>224.643</v>
      </c>
      <c r="L3783">
        <v>274.98059999999998</v>
      </c>
      <c r="M3783">
        <v>319.88659999999999</v>
      </c>
      <c r="N3783">
        <v>248.76300000000001</v>
      </c>
      <c r="O3783">
        <v>236.4265</v>
      </c>
      <c r="P3783">
        <v>417</v>
      </c>
      <c r="Q3783" t="s">
        <v>7911</v>
      </c>
    </row>
    <row r="3784" spans="1:17" x14ac:dyDescent="0.3">
      <c r="A3784" t="s">
        <v>4664</v>
      </c>
      <c r="B3784" t="str">
        <f>"300027"</f>
        <v>300027</v>
      </c>
      <c r="C3784" t="s">
        <v>7912</v>
      </c>
      <c r="D3784" t="s">
        <v>113</v>
      </c>
      <c r="F3784">
        <v>309.13670000000002</v>
      </c>
      <c r="G3784">
        <v>355.26089999999999</v>
      </c>
      <c r="H3784">
        <v>355.37619999999998</v>
      </c>
      <c r="I3784">
        <v>230.58439999999999</v>
      </c>
      <c r="J3784">
        <v>244.95570000000001</v>
      </c>
      <c r="K3784">
        <v>312.46980000000002</v>
      </c>
      <c r="L3784">
        <v>361.88209999999998</v>
      </c>
      <c r="M3784">
        <v>660.50630000000001</v>
      </c>
      <c r="N3784">
        <v>645.59370000000001</v>
      </c>
      <c r="O3784">
        <v>843.41449999999998</v>
      </c>
      <c r="P3784">
        <v>475</v>
      </c>
      <c r="Q3784" t="s">
        <v>7913</v>
      </c>
    </row>
    <row r="3785" spans="1:17" x14ac:dyDescent="0.3">
      <c r="A3785" t="s">
        <v>4664</v>
      </c>
      <c r="B3785" t="str">
        <f>"300028"</f>
        <v>300028</v>
      </c>
      <c r="C3785" t="s">
        <v>7914</v>
      </c>
      <c r="H3785">
        <v>76.025899999999993</v>
      </c>
      <c r="I3785">
        <v>47.719499999999996</v>
      </c>
      <c r="J3785">
        <v>121.7282</v>
      </c>
      <c r="K3785">
        <v>178.6284</v>
      </c>
      <c r="L3785">
        <v>157.15389999999999</v>
      </c>
      <c r="M3785">
        <v>126.4419</v>
      </c>
      <c r="N3785">
        <v>124.55119999999999</v>
      </c>
      <c r="O3785">
        <v>106.8882</v>
      </c>
      <c r="P3785">
        <v>31</v>
      </c>
      <c r="Q3785" t="s">
        <v>7915</v>
      </c>
    </row>
    <row r="3786" spans="1:17" x14ac:dyDescent="0.3">
      <c r="A3786" t="s">
        <v>4664</v>
      </c>
      <c r="B3786" t="str">
        <f>"300029"</f>
        <v>300029</v>
      </c>
      <c r="C3786" t="s">
        <v>7916</v>
      </c>
      <c r="D3786" t="s">
        <v>2654</v>
      </c>
      <c r="F3786">
        <v>149.86189999999999</v>
      </c>
      <c r="G3786">
        <v>2786.3782000000001</v>
      </c>
      <c r="H3786">
        <v>761.37670000000003</v>
      </c>
      <c r="I3786">
        <v>5901.0330999999996</v>
      </c>
      <c r="J3786">
        <v>931.11630000000002</v>
      </c>
      <c r="K3786">
        <v>664.5829</v>
      </c>
      <c r="L3786">
        <v>1079.5351000000001</v>
      </c>
      <c r="M3786">
        <v>1447.1856</v>
      </c>
      <c r="N3786">
        <v>705.12149999999997</v>
      </c>
      <c r="O3786">
        <v>787.42089999999996</v>
      </c>
      <c r="P3786">
        <v>66</v>
      </c>
      <c r="Q3786" t="s">
        <v>7917</v>
      </c>
    </row>
    <row r="3787" spans="1:17" x14ac:dyDescent="0.3">
      <c r="A3787" t="s">
        <v>4664</v>
      </c>
      <c r="B3787" t="str">
        <f>"300030"</f>
        <v>300030</v>
      </c>
      <c r="C3787" t="s">
        <v>7918</v>
      </c>
      <c r="D3787" t="s">
        <v>122</v>
      </c>
      <c r="F3787">
        <v>164.95939999999999</v>
      </c>
      <c r="G3787">
        <v>129.4571</v>
      </c>
      <c r="H3787">
        <v>119.1357</v>
      </c>
      <c r="I3787">
        <v>152.5316</v>
      </c>
      <c r="J3787">
        <v>175.15110000000001</v>
      </c>
      <c r="K3787">
        <v>226.44329999999999</v>
      </c>
      <c r="L3787">
        <v>215.19659999999999</v>
      </c>
      <c r="M3787">
        <v>149.28280000000001</v>
      </c>
      <c r="N3787">
        <v>131.7441</v>
      </c>
      <c r="O3787">
        <v>106.5326</v>
      </c>
      <c r="P3787">
        <v>182</v>
      </c>
      <c r="Q3787" t="s">
        <v>7919</v>
      </c>
    </row>
    <row r="3788" spans="1:17" x14ac:dyDescent="0.3">
      <c r="A3788" t="s">
        <v>4664</v>
      </c>
      <c r="B3788" t="str">
        <f>"300031"</f>
        <v>300031</v>
      </c>
      <c r="C3788" t="s">
        <v>7920</v>
      </c>
      <c r="D3788" t="s">
        <v>517</v>
      </c>
      <c r="F3788">
        <v>91.800799999999995</v>
      </c>
      <c r="G3788">
        <v>119.0882</v>
      </c>
      <c r="H3788">
        <v>113.73009999999999</v>
      </c>
      <c r="I3788">
        <v>101.07170000000001</v>
      </c>
      <c r="J3788">
        <v>82.383399999999995</v>
      </c>
      <c r="K3788">
        <v>55.845199999999998</v>
      </c>
      <c r="L3788">
        <v>101.8473</v>
      </c>
      <c r="M3788">
        <v>69.460400000000007</v>
      </c>
      <c r="N3788">
        <v>69.272099999999995</v>
      </c>
      <c r="O3788">
        <v>74.068200000000004</v>
      </c>
      <c r="P3788">
        <v>259</v>
      </c>
      <c r="Q3788" t="s">
        <v>7921</v>
      </c>
    </row>
    <row r="3789" spans="1:17" x14ac:dyDescent="0.3">
      <c r="A3789" t="s">
        <v>4664</v>
      </c>
      <c r="B3789" t="str">
        <f>"300032"</f>
        <v>300032</v>
      </c>
      <c r="C3789" t="s">
        <v>7922</v>
      </c>
      <c r="D3789" t="s">
        <v>313</v>
      </c>
      <c r="F3789">
        <v>59.707099999999997</v>
      </c>
      <c r="G3789">
        <v>74.073099999999997</v>
      </c>
      <c r="H3789">
        <v>77.832599999999999</v>
      </c>
      <c r="I3789">
        <v>115.8327</v>
      </c>
      <c r="J3789">
        <v>131.65809999999999</v>
      </c>
      <c r="K3789">
        <v>125.3541</v>
      </c>
      <c r="L3789">
        <v>115.5421</v>
      </c>
      <c r="M3789">
        <v>164.99809999999999</v>
      </c>
      <c r="N3789">
        <v>201.84610000000001</v>
      </c>
      <c r="O3789">
        <v>182.79679999999999</v>
      </c>
      <c r="P3789">
        <v>152</v>
      </c>
      <c r="Q3789" t="s">
        <v>7923</v>
      </c>
    </row>
    <row r="3790" spans="1:17" x14ac:dyDescent="0.3">
      <c r="A3790" t="s">
        <v>4664</v>
      </c>
      <c r="B3790" t="str">
        <f>"300033"</f>
        <v>300033</v>
      </c>
      <c r="C3790" t="s">
        <v>7924</v>
      </c>
      <c r="D3790" t="s">
        <v>945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0</v>
      </c>
      <c r="N3790">
        <v>0</v>
      </c>
      <c r="O3790">
        <v>0</v>
      </c>
      <c r="P3790">
        <v>2726</v>
      </c>
      <c r="Q3790" t="s">
        <v>7925</v>
      </c>
    </row>
    <row r="3791" spans="1:17" x14ac:dyDescent="0.3">
      <c r="A3791" t="s">
        <v>4664</v>
      </c>
      <c r="B3791" t="str">
        <f>"300034"</f>
        <v>300034</v>
      </c>
      <c r="C3791" t="s">
        <v>7926</v>
      </c>
      <c r="D3791" t="s">
        <v>98</v>
      </c>
      <c r="F3791">
        <v>272.9513</v>
      </c>
      <c r="G3791">
        <v>278.7801</v>
      </c>
      <c r="H3791">
        <v>260.05959999999999</v>
      </c>
      <c r="I3791">
        <v>385.87729999999999</v>
      </c>
      <c r="J3791">
        <v>374.74489999999997</v>
      </c>
      <c r="K3791">
        <v>350.29020000000003</v>
      </c>
      <c r="L3791">
        <v>279.39569999999998</v>
      </c>
      <c r="M3791">
        <v>190.0102</v>
      </c>
      <c r="N3791">
        <v>126.89149999999999</v>
      </c>
      <c r="O3791">
        <v>97.162800000000004</v>
      </c>
      <c r="P3791">
        <v>282</v>
      </c>
      <c r="Q3791" t="s">
        <v>7927</v>
      </c>
    </row>
    <row r="3792" spans="1:17" x14ac:dyDescent="0.3">
      <c r="A3792" t="s">
        <v>4664</v>
      </c>
      <c r="B3792" t="str">
        <f>"300035"</f>
        <v>300035</v>
      </c>
      <c r="C3792" t="s">
        <v>7928</v>
      </c>
      <c r="D3792" t="s">
        <v>1786</v>
      </c>
      <c r="F3792">
        <v>218.142</v>
      </c>
      <c r="G3792">
        <v>331.22210000000001</v>
      </c>
      <c r="H3792">
        <v>335.44580000000002</v>
      </c>
      <c r="I3792">
        <v>264.81950000000001</v>
      </c>
      <c r="J3792">
        <v>225.0189</v>
      </c>
      <c r="K3792">
        <v>522.74670000000003</v>
      </c>
      <c r="L3792">
        <v>542.65949999999998</v>
      </c>
      <c r="M3792">
        <v>945.0154</v>
      </c>
      <c r="N3792">
        <v>374.51609999999999</v>
      </c>
      <c r="O3792">
        <v>358.71570000000003</v>
      </c>
      <c r="P3792">
        <v>272</v>
      </c>
      <c r="Q3792" t="s">
        <v>7929</v>
      </c>
    </row>
    <row r="3793" spans="1:17" x14ac:dyDescent="0.3">
      <c r="A3793" t="s">
        <v>4664</v>
      </c>
      <c r="B3793" t="str">
        <f>"300036"</f>
        <v>300036</v>
      </c>
      <c r="C3793" t="s">
        <v>7930</v>
      </c>
      <c r="D3793" t="s">
        <v>1189</v>
      </c>
      <c r="F3793">
        <v>256.02269999999999</v>
      </c>
      <c r="G3793">
        <v>171.70400000000001</v>
      </c>
      <c r="H3793">
        <v>9.7722999999999995</v>
      </c>
      <c r="I3793">
        <v>13.066800000000001</v>
      </c>
      <c r="J3793">
        <v>8.9555000000000007</v>
      </c>
      <c r="K3793">
        <v>9.6518999999999995</v>
      </c>
      <c r="L3793">
        <v>10.2912</v>
      </c>
      <c r="M3793">
        <v>14.0036</v>
      </c>
      <c r="N3793">
        <v>18.9176</v>
      </c>
      <c r="O3793">
        <v>42.2346</v>
      </c>
      <c r="P3793">
        <v>545</v>
      </c>
      <c r="Q3793" t="s">
        <v>7931</v>
      </c>
    </row>
    <row r="3794" spans="1:17" x14ac:dyDescent="0.3">
      <c r="A3794" t="s">
        <v>4664</v>
      </c>
      <c r="B3794" t="str">
        <f>"300037"</f>
        <v>300037</v>
      </c>
      <c r="C3794" t="s">
        <v>7932</v>
      </c>
      <c r="D3794" t="s">
        <v>1786</v>
      </c>
      <c r="F3794">
        <v>68.355099999999993</v>
      </c>
      <c r="G3794">
        <v>107.8436</v>
      </c>
      <c r="H3794">
        <v>118.67010000000001</v>
      </c>
      <c r="I3794">
        <v>106.6233</v>
      </c>
      <c r="J3794">
        <v>119.322</v>
      </c>
      <c r="K3794">
        <v>103.99469999999999</v>
      </c>
      <c r="L3794">
        <v>131.06290000000001</v>
      </c>
      <c r="M3794">
        <v>114.8006</v>
      </c>
      <c r="N3794">
        <v>105.49460000000001</v>
      </c>
      <c r="O3794">
        <v>96.588700000000003</v>
      </c>
      <c r="P3794">
        <v>830</v>
      </c>
      <c r="Q3794" t="s">
        <v>7933</v>
      </c>
    </row>
    <row r="3795" spans="1:17" x14ac:dyDescent="0.3">
      <c r="A3795" t="s">
        <v>4664</v>
      </c>
      <c r="B3795" t="str">
        <f>"300038"</f>
        <v>300038</v>
      </c>
      <c r="C3795" t="s">
        <v>7934</v>
      </c>
      <c r="D3795" t="s">
        <v>207</v>
      </c>
      <c r="F3795">
        <v>19.314599999999999</v>
      </c>
      <c r="G3795">
        <v>11.7318</v>
      </c>
      <c r="H3795">
        <v>80.845799999999997</v>
      </c>
      <c r="I3795">
        <v>123.8617</v>
      </c>
      <c r="J3795">
        <v>155.8099</v>
      </c>
      <c r="K3795">
        <v>361.54289999999997</v>
      </c>
      <c r="L3795">
        <v>406.87799999999999</v>
      </c>
      <c r="M3795">
        <v>383.49270000000001</v>
      </c>
      <c r="N3795">
        <v>391.0539</v>
      </c>
      <c r="O3795">
        <v>308.08600000000001</v>
      </c>
      <c r="P3795">
        <v>263</v>
      </c>
      <c r="Q3795" t="s">
        <v>7935</v>
      </c>
    </row>
    <row r="3796" spans="1:17" x14ac:dyDescent="0.3">
      <c r="A3796" t="s">
        <v>4664</v>
      </c>
      <c r="B3796" t="str">
        <f>"300039"</f>
        <v>300039</v>
      </c>
      <c r="C3796" t="s">
        <v>7936</v>
      </c>
      <c r="D3796" t="s">
        <v>188</v>
      </c>
      <c r="F3796">
        <v>427.62009999999998</v>
      </c>
      <c r="G3796">
        <v>574.57320000000004</v>
      </c>
      <c r="H3796">
        <v>334.22230000000002</v>
      </c>
      <c r="I3796">
        <v>331.70429999999999</v>
      </c>
      <c r="J3796">
        <v>247.06129999999999</v>
      </c>
      <c r="K3796">
        <v>259.5283</v>
      </c>
      <c r="L3796">
        <v>233.31809999999999</v>
      </c>
      <c r="M3796">
        <v>191.41390000000001</v>
      </c>
      <c r="N3796">
        <v>108.59269999999999</v>
      </c>
      <c r="O3796">
        <v>105.2062</v>
      </c>
      <c r="P3796">
        <v>223</v>
      </c>
      <c r="Q3796" t="s">
        <v>7937</v>
      </c>
    </row>
    <row r="3797" spans="1:17" x14ac:dyDescent="0.3">
      <c r="A3797" t="s">
        <v>4664</v>
      </c>
      <c r="B3797" t="str">
        <f>"300040"</f>
        <v>300040</v>
      </c>
      <c r="C3797" t="s">
        <v>7938</v>
      </c>
      <c r="D3797" t="s">
        <v>610</v>
      </c>
      <c r="F3797">
        <v>204.58500000000001</v>
      </c>
      <c r="G3797">
        <v>354.58300000000003</v>
      </c>
      <c r="H3797">
        <v>515.41409999999996</v>
      </c>
      <c r="I3797">
        <v>224.52799999999999</v>
      </c>
      <c r="J3797">
        <v>160.32560000000001</v>
      </c>
      <c r="K3797">
        <v>263.9323</v>
      </c>
      <c r="L3797">
        <v>587.53800000000001</v>
      </c>
      <c r="M3797">
        <v>746.16340000000002</v>
      </c>
      <c r="N3797">
        <v>550.84019999999998</v>
      </c>
      <c r="O3797">
        <v>327.98079999999999</v>
      </c>
      <c r="P3797">
        <v>214</v>
      </c>
      <c r="Q3797" t="s">
        <v>7939</v>
      </c>
    </row>
    <row r="3798" spans="1:17" x14ac:dyDescent="0.3">
      <c r="A3798" t="s">
        <v>4664</v>
      </c>
      <c r="B3798" t="str">
        <f>"300041"</f>
        <v>300041</v>
      </c>
      <c r="C3798" t="s">
        <v>7940</v>
      </c>
      <c r="D3798" t="s">
        <v>1205</v>
      </c>
      <c r="F3798">
        <v>74.577399999999997</v>
      </c>
      <c r="G3798">
        <v>77.686700000000002</v>
      </c>
      <c r="H3798">
        <v>93.016000000000005</v>
      </c>
      <c r="I3798">
        <v>82.908000000000001</v>
      </c>
      <c r="J3798">
        <v>98.928899999999999</v>
      </c>
      <c r="K3798">
        <v>121.95569999999999</v>
      </c>
      <c r="L3798">
        <v>126.7333</v>
      </c>
      <c r="M3798">
        <v>138.23410000000001</v>
      </c>
      <c r="N3798">
        <v>163.66239999999999</v>
      </c>
      <c r="O3798">
        <v>156.46510000000001</v>
      </c>
      <c r="P3798">
        <v>253</v>
      </c>
      <c r="Q3798" t="s">
        <v>7941</v>
      </c>
    </row>
    <row r="3799" spans="1:17" x14ac:dyDescent="0.3">
      <c r="A3799" t="s">
        <v>4664</v>
      </c>
      <c r="B3799" t="str">
        <f>"300042"</f>
        <v>300042</v>
      </c>
      <c r="C3799" t="s">
        <v>7942</v>
      </c>
      <c r="D3799" t="s">
        <v>236</v>
      </c>
      <c r="F3799">
        <v>64.4589</v>
      </c>
      <c r="G3799">
        <v>79.273200000000003</v>
      </c>
      <c r="H3799">
        <v>38.108800000000002</v>
      </c>
      <c r="I3799">
        <v>27.927499999999998</v>
      </c>
      <c r="J3799">
        <v>19.2151</v>
      </c>
      <c r="K3799">
        <v>38.610900000000001</v>
      </c>
      <c r="L3799">
        <v>39.551299999999998</v>
      </c>
      <c r="M3799">
        <v>112.8249</v>
      </c>
      <c r="N3799">
        <v>103.8933</v>
      </c>
      <c r="O3799">
        <v>110.9618</v>
      </c>
      <c r="P3799">
        <v>116</v>
      </c>
      <c r="Q3799" t="s">
        <v>7943</v>
      </c>
    </row>
    <row r="3800" spans="1:17" x14ac:dyDescent="0.3">
      <c r="A3800" t="s">
        <v>4664</v>
      </c>
      <c r="B3800" t="str">
        <f>"300043"</f>
        <v>300043</v>
      </c>
      <c r="C3800" t="s">
        <v>7944</v>
      </c>
      <c r="D3800" t="s">
        <v>517</v>
      </c>
      <c r="F3800">
        <v>25.3706</v>
      </c>
      <c r="G3800">
        <v>21.522500000000001</v>
      </c>
      <c r="H3800">
        <v>32.627899999999997</v>
      </c>
      <c r="I3800">
        <v>37.750300000000003</v>
      </c>
      <c r="J3800">
        <v>31.2744</v>
      </c>
      <c r="K3800">
        <v>63.207999999999998</v>
      </c>
      <c r="L3800">
        <v>180.91909999999999</v>
      </c>
      <c r="M3800">
        <v>66.006</v>
      </c>
      <c r="N3800">
        <v>41.753500000000003</v>
      </c>
      <c r="O3800">
        <v>69.080600000000004</v>
      </c>
      <c r="P3800">
        <v>183</v>
      </c>
      <c r="Q3800" t="s">
        <v>7945</v>
      </c>
    </row>
    <row r="3801" spans="1:17" x14ac:dyDescent="0.3">
      <c r="A3801" t="s">
        <v>4664</v>
      </c>
      <c r="B3801" t="str">
        <f>"300044"</f>
        <v>300044</v>
      </c>
      <c r="C3801" t="s">
        <v>7946</v>
      </c>
      <c r="D3801" t="s">
        <v>316</v>
      </c>
      <c r="F3801">
        <v>31.017399999999999</v>
      </c>
      <c r="G3801">
        <v>46.573</v>
      </c>
      <c r="H3801">
        <v>120.19580000000001</v>
      </c>
      <c r="I3801">
        <v>662.58749999999998</v>
      </c>
      <c r="J3801">
        <v>340.84269999999998</v>
      </c>
      <c r="K3801">
        <v>424.83640000000003</v>
      </c>
      <c r="L3801">
        <v>467.10050000000001</v>
      </c>
      <c r="M3801">
        <v>371.52519999999998</v>
      </c>
      <c r="N3801">
        <v>356.0181</v>
      </c>
      <c r="O3801">
        <v>354.65879999999999</v>
      </c>
      <c r="P3801">
        <v>289</v>
      </c>
      <c r="Q3801" t="s">
        <v>7947</v>
      </c>
    </row>
    <row r="3802" spans="1:17" x14ac:dyDescent="0.3">
      <c r="A3802" t="s">
        <v>4664</v>
      </c>
      <c r="B3802" t="str">
        <f>"300045"</f>
        <v>300045</v>
      </c>
      <c r="C3802" t="s">
        <v>7948</v>
      </c>
      <c r="D3802" t="s">
        <v>1136</v>
      </c>
      <c r="F3802">
        <v>366.38330000000002</v>
      </c>
      <c r="G3802">
        <v>285.77890000000002</v>
      </c>
      <c r="H3802">
        <v>249.01679999999999</v>
      </c>
      <c r="I3802">
        <v>305.29950000000002</v>
      </c>
      <c r="J3802">
        <v>348.22359999999998</v>
      </c>
      <c r="K3802">
        <v>320.60899999999998</v>
      </c>
      <c r="L3802">
        <v>342.43209999999999</v>
      </c>
      <c r="M3802">
        <v>276.78730000000002</v>
      </c>
      <c r="N3802">
        <v>232.17779999999999</v>
      </c>
      <c r="O3802">
        <v>176.85050000000001</v>
      </c>
      <c r="P3802">
        <v>158</v>
      </c>
      <c r="Q3802" t="s">
        <v>7949</v>
      </c>
    </row>
    <row r="3803" spans="1:17" x14ac:dyDescent="0.3">
      <c r="A3803" t="s">
        <v>4664</v>
      </c>
      <c r="B3803" t="str">
        <f>"300046"</f>
        <v>300046</v>
      </c>
      <c r="C3803" t="s">
        <v>7950</v>
      </c>
      <c r="D3803" t="s">
        <v>795</v>
      </c>
      <c r="F3803">
        <v>243.07669999999999</v>
      </c>
      <c r="G3803">
        <v>547.78949999999998</v>
      </c>
      <c r="H3803">
        <v>222.2587</v>
      </c>
      <c r="I3803">
        <v>197.5762</v>
      </c>
      <c r="J3803">
        <v>165.19579999999999</v>
      </c>
      <c r="K3803">
        <v>200.61580000000001</v>
      </c>
      <c r="L3803">
        <v>285.62459999999999</v>
      </c>
      <c r="M3803">
        <v>252.1129</v>
      </c>
      <c r="N3803">
        <v>297.00240000000002</v>
      </c>
      <c r="O3803">
        <v>264.44839999999999</v>
      </c>
      <c r="P3803">
        <v>225</v>
      </c>
      <c r="Q3803" t="s">
        <v>7951</v>
      </c>
    </row>
    <row r="3804" spans="1:17" x14ac:dyDescent="0.3">
      <c r="A3804" t="s">
        <v>4664</v>
      </c>
      <c r="B3804" t="str">
        <f>"300047"</f>
        <v>300047</v>
      </c>
      <c r="C3804" t="s">
        <v>7952</v>
      </c>
      <c r="D3804" t="s">
        <v>945</v>
      </c>
      <c r="F3804">
        <v>193.95849999999999</v>
      </c>
      <c r="G3804">
        <v>173.97649999999999</v>
      </c>
      <c r="H3804">
        <v>189.45490000000001</v>
      </c>
      <c r="I3804">
        <v>168.16849999999999</v>
      </c>
      <c r="J3804">
        <v>190.63229999999999</v>
      </c>
      <c r="K3804">
        <v>193.42420000000001</v>
      </c>
      <c r="L3804">
        <v>201.69239999999999</v>
      </c>
      <c r="M3804">
        <v>262.1472</v>
      </c>
      <c r="N3804">
        <v>165.19909999999999</v>
      </c>
      <c r="O3804">
        <v>63.595399999999998</v>
      </c>
      <c r="P3804">
        <v>338</v>
      </c>
      <c r="Q3804" t="s">
        <v>7953</v>
      </c>
    </row>
    <row r="3805" spans="1:17" x14ac:dyDescent="0.3">
      <c r="A3805" t="s">
        <v>4664</v>
      </c>
      <c r="B3805" t="str">
        <f>"300048"</f>
        <v>300048</v>
      </c>
      <c r="C3805" t="s">
        <v>7954</v>
      </c>
      <c r="D3805" t="s">
        <v>2423</v>
      </c>
      <c r="F3805">
        <v>193.4222</v>
      </c>
      <c r="G3805">
        <v>283.18099999999998</v>
      </c>
      <c r="H3805">
        <v>471.8168</v>
      </c>
      <c r="I3805">
        <v>340.62209999999999</v>
      </c>
      <c r="J3805">
        <v>347.85829999999999</v>
      </c>
      <c r="K3805">
        <v>320.0401</v>
      </c>
      <c r="L3805">
        <v>517.87559999999996</v>
      </c>
      <c r="M3805">
        <v>470.2627</v>
      </c>
      <c r="N3805">
        <v>373.40629999999999</v>
      </c>
      <c r="O3805">
        <v>453.20580000000001</v>
      </c>
      <c r="P3805">
        <v>119</v>
      </c>
      <c r="Q3805" t="s">
        <v>7955</v>
      </c>
    </row>
    <row r="3806" spans="1:17" x14ac:dyDescent="0.3">
      <c r="A3806" t="s">
        <v>4664</v>
      </c>
      <c r="B3806" t="str">
        <f>"300049"</f>
        <v>300049</v>
      </c>
      <c r="C3806" t="s">
        <v>7956</v>
      </c>
      <c r="D3806" t="s">
        <v>122</v>
      </c>
      <c r="F3806">
        <v>234.99019999999999</v>
      </c>
      <c r="G3806">
        <v>244.0856</v>
      </c>
      <c r="H3806">
        <v>226.09569999999999</v>
      </c>
      <c r="I3806">
        <v>184.786</v>
      </c>
      <c r="J3806">
        <v>148.654</v>
      </c>
      <c r="K3806">
        <v>150.33359999999999</v>
      </c>
      <c r="L3806">
        <v>202.7482</v>
      </c>
      <c r="M3806">
        <v>114.99079999999999</v>
      </c>
      <c r="N3806">
        <v>61.981299999999997</v>
      </c>
      <c r="O3806">
        <v>115.4511</v>
      </c>
      <c r="P3806">
        <v>144</v>
      </c>
      <c r="Q3806" t="s">
        <v>7957</v>
      </c>
    </row>
    <row r="3807" spans="1:17" x14ac:dyDescent="0.3">
      <c r="A3807" t="s">
        <v>4664</v>
      </c>
      <c r="B3807" t="str">
        <f>"300050"</f>
        <v>300050</v>
      </c>
      <c r="C3807" t="s">
        <v>7958</v>
      </c>
      <c r="D3807" t="s">
        <v>654</v>
      </c>
      <c r="F3807">
        <v>147.74080000000001</v>
      </c>
      <c r="G3807">
        <v>91.734099999999998</v>
      </c>
      <c r="H3807">
        <v>53.289200000000001</v>
      </c>
      <c r="I3807">
        <v>54.760100000000001</v>
      </c>
      <c r="J3807">
        <v>91.217100000000002</v>
      </c>
      <c r="K3807">
        <v>127.3963</v>
      </c>
      <c r="L3807">
        <v>118.1379</v>
      </c>
      <c r="M3807">
        <v>119.48520000000001</v>
      </c>
      <c r="N3807">
        <v>162.6405</v>
      </c>
      <c r="O3807">
        <v>183.8578</v>
      </c>
      <c r="P3807">
        <v>164</v>
      </c>
      <c r="Q3807" t="s">
        <v>7959</v>
      </c>
    </row>
    <row r="3808" spans="1:17" x14ac:dyDescent="0.3">
      <c r="A3808" t="s">
        <v>4664</v>
      </c>
      <c r="B3808" t="str">
        <f>"300051"</f>
        <v>300051</v>
      </c>
      <c r="C3808" t="s">
        <v>7960</v>
      </c>
      <c r="D3808" t="s">
        <v>517</v>
      </c>
      <c r="F3808">
        <v>2.1069</v>
      </c>
      <c r="G3808">
        <v>2.3462000000000001</v>
      </c>
      <c r="H3808">
        <v>2.4148000000000001</v>
      </c>
      <c r="I3808">
        <v>0.50229999999999997</v>
      </c>
      <c r="J3808">
        <v>8.9474</v>
      </c>
      <c r="K3808">
        <v>21.942900000000002</v>
      </c>
      <c r="L3808">
        <v>41.507100000000001</v>
      </c>
      <c r="M3808">
        <v>14.4526</v>
      </c>
      <c r="N3808">
        <v>15.786099999999999</v>
      </c>
      <c r="O3808">
        <v>46.011299999999999</v>
      </c>
      <c r="P3808">
        <v>104</v>
      </c>
      <c r="Q3808" t="s">
        <v>7961</v>
      </c>
    </row>
    <row r="3809" spans="1:17" x14ac:dyDescent="0.3">
      <c r="A3809" t="s">
        <v>4664</v>
      </c>
      <c r="B3809" t="str">
        <f>"300052"</f>
        <v>300052</v>
      </c>
      <c r="C3809" t="s">
        <v>7962</v>
      </c>
      <c r="D3809" t="s">
        <v>517</v>
      </c>
      <c r="F3809">
        <v>2.9809000000000001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2.1383000000000001</v>
      </c>
      <c r="N3809">
        <v>2.2416</v>
      </c>
      <c r="O3809">
        <v>4.8277000000000001</v>
      </c>
      <c r="P3809">
        <v>219</v>
      </c>
      <c r="Q3809" t="s">
        <v>7963</v>
      </c>
    </row>
    <row r="3810" spans="1:17" x14ac:dyDescent="0.3">
      <c r="A3810" t="s">
        <v>4664</v>
      </c>
      <c r="B3810" t="str">
        <f>"300053"</f>
        <v>300053</v>
      </c>
      <c r="C3810" t="s">
        <v>7964</v>
      </c>
      <c r="D3810" t="s">
        <v>461</v>
      </c>
      <c r="F3810">
        <v>429.51850000000002</v>
      </c>
      <c r="G3810">
        <v>382.75459999999998</v>
      </c>
      <c r="H3810">
        <v>325.23599999999999</v>
      </c>
      <c r="I3810">
        <v>289.07619999999997</v>
      </c>
      <c r="J3810">
        <v>352.01650000000001</v>
      </c>
      <c r="K3810">
        <v>349.66160000000002</v>
      </c>
      <c r="L3810">
        <v>358.43849999999998</v>
      </c>
      <c r="M3810">
        <v>564.13099999999997</v>
      </c>
      <c r="N3810">
        <v>345.01209999999998</v>
      </c>
      <c r="O3810">
        <v>232.3879</v>
      </c>
      <c r="P3810">
        <v>264</v>
      </c>
      <c r="Q3810" t="s">
        <v>7965</v>
      </c>
    </row>
    <row r="3811" spans="1:17" x14ac:dyDescent="0.3">
      <c r="A3811" t="s">
        <v>4664</v>
      </c>
      <c r="B3811" t="str">
        <f>"300054"</f>
        <v>300054</v>
      </c>
      <c r="C3811" t="s">
        <v>7966</v>
      </c>
      <c r="D3811" t="s">
        <v>2399</v>
      </c>
      <c r="F3811">
        <v>150.69200000000001</v>
      </c>
      <c r="G3811">
        <v>141.4058</v>
      </c>
      <c r="H3811">
        <v>149.71090000000001</v>
      </c>
      <c r="I3811">
        <v>141.13730000000001</v>
      </c>
      <c r="J3811">
        <v>145.08609999999999</v>
      </c>
      <c r="K3811">
        <v>153.30099999999999</v>
      </c>
      <c r="L3811">
        <v>126.1589</v>
      </c>
      <c r="M3811">
        <v>102.6281</v>
      </c>
      <c r="N3811">
        <v>104.4894</v>
      </c>
      <c r="O3811">
        <v>97.352800000000002</v>
      </c>
      <c r="P3811">
        <v>367</v>
      </c>
      <c r="Q3811" t="s">
        <v>7967</v>
      </c>
    </row>
    <row r="3812" spans="1:17" x14ac:dyDescent="0.3">
      <c r="A3812" t="s">
        <v>4664</v>
      </c>
      <c r="B3812" t="str">
        <f>"300055"</f>
        <v>300055</v>
      </c>
      <c r="C3812" t="s">
        <v>7968</v>
      </c>
      <c r="D3812" t="s">
        <v>33</v>
      </c>
      <c r="F3812">
        <v>37.657699999999998</v>
      </c>
      <c r="G3812">
        <v>529.08920000000001</v>
      </c>
      <c r="H3812">
        <v>500.49829999999997</v>
      </c>
      <c r="I3812">
        <v>451.9753</v>
      </c>
      <c r="J3812">
        <v>383.5104</v>
      </c>
      <c r="K3812">
        <v>493.01870000000002</v>
      </c>
      <c r="L3812">
        <v>363.33499999999998</v>
      </c>
      <c r="M3812">
        <v>364.14400000000001</v>
      </c>
      <c r="N3812">
        <v>160.91460000000001</v>
      </c>
      <c r="O3812">
        <v>290.8759</v>
      </c>
      <c r="P3812">
        <v>163</v>
      </c>
      <c r="Q3812" t="s">
        <v>7969</v>
      </c>
    </row>
    <row r="3813" spans="1:17" x14ac:dyDescent="0.3">
      <c r="A3813" t="s">
        <v>4664</v>
      </c>
      <c r="B3813" t="str">
        <f>"300056"</f>
        <v>300056</v>
      </c>
      <c r="C3813" t="s">
        <v>7970</v>
      </c>
      <c r="D3813" t="s">
        <v>663</v>
      </c>
      <c r="F3813">
        <v>203.86879999999999</v>
      </c>
      <c r="G3813">
        <v>73.56</v>
      </c>
      <c r="H3813">
        <v>396.6902</v>
      </c>
      <c r="I3813">
        <v>406.92110000000002</v>
      </c>
      <c r="J3813">
        <v>489.2577</v>
      </c>
      <c r="K3813">
        <v>262.86829999999998</v>
      </c>
      <c r="L3813">
        <v>115.54259999999999</v>
      </c>
      <c r="M3813">
        <v>200.76759999999999</v>
      </c>
      <c r="N3813">
        <v>170.64269999999999</v>
      </c>
      <c r="O3813">
        <v>232.70580000000001</v>
      </c>
      <c r="P3813">
        <v>87</v>
      </c>
      <c r="Q3813" t="s">
        <v>7971</v>
      </c>
    </row>
    <row r="3814" spans="1:17" x14ac:dyDescent="0.3">
      <c r="A3814" t="s">
        <v>4664</v>
      </c>
      <c r="B3814" t="str">
        <f>"300057"</f>
        <v>300057</v>
      </c>
      <c r="C3814" t="s">
        <v>7972</v>
      </c>
      <c r="D3814" t="s">
        <v>504</v>
      </c>
      <c r="F3814">
        <v>71.512600000000006</v>
      </c>
      <c r="G3814">
        <v>68.782700000000006</v>
      </c>
      <c r="H3814">
        <v>88.998699999999999</v>
      </c>
      <c r="I3814">
        <v>92.482299999999995</v>
      </c>
      <c r="J3814">
        <v>123.09220000000001</v>
      </c>
      <c r="K3814">
        <v>157.34389999999999</v>
      </c>
      <c r="L3814">
        <v>162.23310000000001</v>
      </c>
      <c r="M3814">
        <v>174.04140000000001</v>
      </c>
      <c r="N3814">
        <v>148.8177</v>
      </c>
      <c r="O3814">
        <v>118.845</v>
      </c>
      <c r="P3814">
        <v>438</v>
      </c>
      <c r="Q3814" t="s">
        <v>7973</v>
      </c>
    </row>
    <row r="3815" spans="1:17" x14ac:dyDescent="0.3">
      <c r="A3815" t="s">
        <v>4664</v>
      </c>
      <c r="B3815" t="str">
        <f>"300058"</f>
        <v>300058</v>
      </c>
      <c r="C3815" t="s">
        <v>7974</v>
      </c>
      <c r="D3815" t="s">
        <v>207</v>
      </c>
      <c r="F3815">
        <v>4.3E-3</v>
      </c>
      <c r="G3815">
        <v>0</v>
      </c>
      <c r="H3815">
        <v>0</v>
      </c>
      <c r="I3815">
        <v>0</v>
      </c>
      <c r="J3815">
        <v>5.1645000000000003</v>
      </c>
      <c r="K3815">
        <v>2.8649</v>
      </c>
      <c r="L3815">
        <v>1.1093</v>
      </c>
      <c r="M3815">
        <v>0</v>
      </c>
      <c r="N3815">
        <v>0</v>
      </c>
      <c r="O3815">
        <v>0</v>
      </c>
      <c r="P3815">
        <v>457</v>
      </c>
      <c r="Q3815" t="s">
        <v>7975</v>
      </c>
    </row>
    <row r="3816" spans="1:17" x14ac:dyDescent="0.3">
      <c r="A3816" t="s">
        <v>4664</v>
      </c>
      <c r="B3816" t="str">
        <f>"300059"</f>
        <v>300059</v>
      </c>
      <c r="C3816" t="s">
        <v>7976</v>
      </c>
      <c r="D3816" t="s">
        <v>80</v>
      </c>
      <c r="F3816">
        <v>0</v>
      </c>
      <c r="G3816">
        <v>0</v>
      </c>
      <c r="H3816">
        <v>181.96619999999999</v>
      </c>
      <c r="I3816">
        <v>173.9134</v>
      </c>
      <c r="J3816">
        <v>152.25139999999999</v>
      </c>
      <c r="K3816">
        <v>0</v>
      </c>
      <c r="L3816">
        <v>0</v>
      </c>
      <c r="M3816">
        <v>0</v>
      </c>
      <c r="N3816">
        <v>0</v>
      </c>
      <c r="O3816">
        <v>0</v>
      </c>
      <c r="P3816">
        <v>5893</v>
      </c>
      <c r="Q3816" t="s">
        <v>7977</v>
      </c>
    </row>
    <row r="3817" spans="1:17" x14ac:dyDescent="0.3">
      <c r="A3817" t="s">
        <v>4664</v>
      </c>
      <c r="B3817" t="str">
        <f>"300061"</f>
        <v>300061</v>
      </c>
      <c r="C3817" t="s">
        <v>7978</v>
      </c>
      <c r="D3817" t="s">
        <v>207</v>
      </c>
      <c r="F3817">
        <v>28.212800000000001</v>
      </c>
      <c r="G3817">
        <v>27.128599999999999</v>
      </c>
      <c r="H3817">
        <v>28.126899999999999</v>
      </c>
      <c r="I3817">
        <v>140.40700000000001</v>
      </c>
      <c r="J3817">
        <v>163.22139999999999</v>
      </c>
      <c r="K3817">
        <v>237.97290000000001</v>
      </c>
      <c r="L3817">
        <v>258.43220000000002</v>
      </c>
      <c r="M3817">
        <v>224.3998</v>
      </c>
      <c r="N3817">
        <v>279.49889999999999</v>
      </c>
      <c r="O3817">
        <v>292.47500000000002</v>
      </c>
      <c r="P3817">
        <v>120</v>
      </c>
      <c r="Q3817" t="s">
        <v>7979</v>
      </c>
    </row>
    <row r="3818" spans="1:17" x14ac:dyDescent="0.3">
      <c r="A3818" t="s">
        <v>4664</v>
      </c>
      <c r="B3818" t="str">
        <f>"300062"</f>
        <v>300062</v>
      </c>
      <c r="C3818" t="s">
        <v>7980</v>
      </c>
      <c r="D3818" t="s">
        <v>210</v>
      </c>
      <c r="F3818">
        <v>52.188800000000001</v>
      </c>
      <c r="G3818">
        <v>88.935900000000004</v>
      </c>
      <c r="H3818">
        <v>119.4461</v>
      </c>
      <c r="I3818">
        <v>187.49529999999999</v>
      </c>
      <c r="J3818">
        <v>202.61590000000001</v>
      </c>
      <c r="K3818">
        <v>246.5239</v>
      </c>
      <c r="L3818">
        <v>290.69400000000002</v>
      </c>
      <c r="M3818">
        <v>302.15159999999997</v>
      </c>
      <c r="N3818">
        <v>344.28109999999998</v>
      </c>
      <c r="O3818">
        <v>357.80840000000001</v>
      </c>
      <c r="P3818">
        <v>125</v>
      </c>
      <c r="Q3818" t="s">
        <v>7981</v>
      </c>
    </row>
    <row r="3819" spans="1:17" x14ac:dyDescent="0.3">
      <c r="A3819" t="s">
        <v>4664</v>
      </c>
      <c r="B3819" t="str">
        <f>"300063"</f>
        <v>300063</v>
      </c>
      <c r="C3819" t="s">
        <v>7982</v>
      </c>
      <c r="D3819" t="s">
        <v>207</v>
      </c>
      <c r="F3819">
        <v>12.0151</v>
      </c>
      <c r="G3819">
        <v>9.3534000000000006</v>
      </c>
      <c r="H3819">
        <v>13.559699999999999</v>
      </c>
      <c r="I3819">
        <v>14.6333</v>
      </c>
      <c r="J3819">
        <v>19.442699999999999</v>
      </c>
      <c r="K3819">
        <v>21.6065</v>
      </c>
      <c r="L3819">
        <v>114.0119</v>
      </c>
      <c r="M3819">
        <v>113.4811</v>
      </c>
      <c r="N3819">
        <v>140.32339999999999</v>
      </c>
      <c r="O3819">
        <v>166.6294</v>
      </c>
      <c r="P3819">
        <v>109</v>
      </c>
      <c r="Q3819" t="s">
        <v>7983</v>
      </c>
    </row>
    <row r="3820" spans="1:17" x14ac:dyDescent="0.3">
      <c r="A3820" t="s">
        <v>4664</v>
      </c>
      <c r="B3820" t="str">
        <f>"300064"</f>
        <v>300064</v>
      </c>
      <c r="C3820" t="s">
        <v>7984</v>
      </c>
      <c r="D3820" t="s">
        <v>404</v>
      </c>
      <c r="F3820">
        <v>1056.9675</v>
      </c>
      <c r="G3820">
        <v>1426.607</v>
      </c>
      <c r="H3820">
        <v>447.59930000000003</v>
      </c>
      <c r="I3820">
        <v>179.50450000000001</v>
      </c>
      <c r="J3820">
        <v>176.38650000000001</v>
      </c>
      <c r="K3820">
        <v>205.17519999999999</v>
      </c>
      <c r="L3820">
        <v>232.44200000000001</v>
      </c>
      <c r="M3820">
        <v>270.57440000000003</v>
      </c>
      <c r="N3820">
        <v>259.28300000000002</v>
      </c>
      <c r="O3820">
        <v>243.7251</v>
      </c>
      <c r="P3820">
        <v>77</v>
      </c>
      <c r="Q3820" t="s">
        <v>7985</v>
      </c>
    </row>
    <row r="3821" spans="1:17" x14ac:dyDescent="0.3">
      <c r="A3821" t="s">
        <v>4664</v>
      </c>
      <c r="B3821" t="str">
        <f>"300065"</f>
        <v>300065</v>
      </c>
      <c r="C3821" t="s">
        <v>7986</v>
      </c>
      <c r="D3821" t="s">
        <v>167</v>
      </c>
      <c r="F3821">
        <v>199.29130000000001</v>
      </c>
      <c r="G3821">
        <v>209.5667</v>
      </c>
      <c r="H3821">
        <v>198.31970000000001</v>
      </c>
      <c r="I3821">
        <v>191.2236</v>
      </c>
      <c r="J3821">
        <v>249.624</v>
      </c>
      <c r="K3821">
        <v>231.51769999999999</v>
      </c>
      <c r="L3821">
        <v>213.4409</v>
      </c>
      <c r="M3821">
        <v>183.80179999999999</v>
      </c>
      <c r="N3821">
        <v>225.73310000000001</v>
      </c>
      <c r="O3821">
        <v>307.39339999999999</v>
      </c>
      <c r="P3821">
        <v>152</v>
      </c>
      <c r="Q3821" t="s">
        <v>7987</v>
      </c>
    </row>
    <row r="3822" spans="1:17" x14ac:dyDescent="0.3">
      <c r="A3822" t="s">
        <v>4664</v>
      </c>
      <c r="B3822" t="str">
        <f>"300066"</f>
        <v>300066</v>
      </c>
      <c r="C3822" t="s">
        <v>7988</v>
      </c>
      <c r="D3822" t="s">
        <v>2551</v>
      </c>
      <c r="F3822">
        <v>203.27699999999999</v>
      </c>
      <c r="G3822">
        <v>240.08260000000001</v>
      </c>
      <c r="H3822">
        <v>219.29810000000001</v>
      </c>
      <c r="I3822">
        <v>160.59989999999999</v>
      </c>
      <c r="J3822">
        <v>159.995</v>
      </c>
      <c r="K3822">
        <v>139.7038</v>
      </c>
      <c r="L3822">
        <v>138.9836</v>
      </c>
      <c r="M3822">
        <v>135.52809999999999</v>
      </c>
      <c r="N3822">
        <v>132.49510000000001</v>
      </c>
      <c r="O3822">
        <v>133.51689999999999</v>
      </c>
      <c r="P3822">
        <v>190</v>
      </c>
      <c r="Q3822" t="s">
        <v>7989</v>
      </c>
    </row>
    <row r="3823" spans="1:17" x14ac:dyDescent="0.3">
      <c r="A3823" t="s">
        <v>4664</v>
      </c>
      <c r="B3823" t="str">
        <f>"300067"</f>
        <v>300067</v>
      </c>
      <c r="C3823" t="s">
        <v>7990</v>
      </c>
      <c r="D3823" t="s">
        <v>779</v>
      </c>
      <c r="F3823">
        <v>261.06549999999999</v>
      </c>
      <c r="G3823">
        <v>339.38909999999998</v>
      </c>
      <c r="H3823">
        <v>207.50720000000001</v>
      </c>
      <c r="I3823">
        <v>132.60939999999999</v>
      </c>
      <c r="J3823">
        <v>104.9862</v>
      </c>
      <c r="K3823">
        <v>166.20779999999999</v>
      </c>
      <c r="L3823">
        <v>222.6935</v>
      </c>
      <c r="M3823">
        <v>166.02260000000001</v>
      </c>
      <c r="N3823">
        <v>174.59289999999999</v>
      </c>
      <c r="O3823">
        <v>276.1497</v>
      </c>
      <c r="P3823">
        <v>100</v>
      </c>
      <c r="Q3823" t="s">
        <v>7991</v>
      </c>
    </row>
    <row r="3824" spans="1:17" x14ac:dyDescent="0.3">
      <c r="A3824" t="s">
        <v>4664</v>
      </c>
      <c r="B3824" t="str">
        <f>"300068"</f>
        <v>300068</v>
      </c>
      <c r="C3824" t="s">
        <v>7992</v>
      </c>
      <c r="D3824" t="s">
        <v>555</v>
      </c>
      <c r="F3824">
        <v>138.08279999999999</v>
      </c>
      <c r="G3824">
        <v>174.74019999999999</v>
      </c>
      <c r="H3824">
        <v>202.76</v>
      </c>
      <c r="I3824">
        <v>177.24379999999999</v>
      </c>
      <c r="J3824">
        <v>156.72409999999999</v>
      </c>
      <c r="K3824">
        <v>140.54669999999999</v>
      </c>
      <c r="L3824">
        <v>123.6131</v>
      </c>
      <c r="M3824">
        <v>108.3361</v>
      </c>
      <c r="N3824">
        <v>94.248900000000006</v>
      </c>
      <c r="O3824">
        <v>82.306799999999996</v>
      </c>
      <c r="P3824">
        <v>305</v>
      </c>
      <c r="Q3824" t="s">
        <v>7993</v>
      </c>
    </row>
    <row r="3825" spans="1:17" x14ac:dyDescent="0.3">
      <c r="A3825" t="s">
        <v>4664</v>
      </c>
      <c r="B3825" t="str">
        <f>"300069"</f>
        <v>300069</v>
      </c>
      <c r="C3825" t="s">
        <v>7994</v>
      </c>
      <c r="D3825" t="s">
        <v>1164</v>
      </c>
      <c r="F3825">
        <v>413.09629999999999</v>
      </c>
      <c r="G3825">
        <v>390.8381</v>
      </c>
      <c r="H3825">
        <v>349.29149999999998</v>
      </c>
      <c r="I3825">
        <v>767.4742</v>
      </c>
      <c r="J3825">
        <v>497.38010000000003</v>
      </c>
      <c r="K3825">
        <v>382.35610000000003</v>
      </c>
      <c r="L3825">
        <v>552.3922</v>
      </c>
      <c r="M3825">
        <v>593.3279</v>
      </c>
      <c r="N3825">
        <v>565.76260000000002</v>
      </c>
      <c r="O3825">
        <v>487.74610000000001</v>
      </c>
      <c r="P3825">
        <v>57</v>
      </c>
      <c r="Q3825" t="s">
        <v>7995</v>
      </c>
    </row>
    <row r="3826" spans="1:17" x14ac:dyDescent="0.3">
      <c r="A3826" t="s">
        <v>4664</v>
      </c>
      <c r="B3826" t="str">
        <f>"300070"</f>
        <v>300070</v>
      </c>
      <c r="C3826" t="s">
        <v>7996</v>
      </c>
      <c r="D3826" t="s">
        <v>33</v>
      </c>
      <c r="F3826">
        <v>29.291</v>
      </c>
      <c r="G3826">
        <v>184.16139999999999</v>
      </c>
      <c r="H3826">
        <v>162.10820000000001</v>
      </c>
      <c r="I3826">
        <v>186.11949999999999</v>
      </c>
      <c r="J3826">
        <v>87.272599999999997</v>
      </c>
      <c r="K3826">
        <v>94.988299999999995</v>
      </c>
      <c r="L3826">
        <v>135.7165</v>
      </c>
      <c r="M3826">
        <v>115.24979999999999</v>
      </c>
      <c r="N3826">
        <v>64.542199999999994</v>
      </c>
      <c r="O3826">
        <v>129.44540000000001</v>
      </c>
      <c r="P3826">
        <v>1163</v>
      </c>
      <c r="Q3826" t="s">
        <v>7997</v>
      </c>
    </row>
    <row r="3827" spans="1:17" x14ac:dyDescent="0.3">
      <c r="A3827" t="s">
        <v>4664</v>
      </c>
      <c r="B3827" t="str">
        <f>"300071"</f>
        <v>300071</v>
      </c>
      <c r="C3827" t="s">
        <v>7998</v>
      </c>
      <c r="D3827" t="s">
        <v>207</v>
      </c>
      <c r="F3827">
        <v>0.2596</v>
      </c>
      <c r="G3827">
        <v>0.3574</v>
      </c>
      <c r="H3827">
        <v>0</v>
      </c>
      <c r="I3827">
        <v>0</v>
      </c>
      <c r="J3827">
        <v>0</v>
      </c>
      <c r="K3827">
        <v>0</v>
      </c>
      <c r="L3827">
        <v>0.1022</v>
      </c>
      <c r="M3827">
        <v>0.11990000000000001</v>
      </c>
      <c r="N3827">
        <v>9.1800000000000007E-2</v>
      </c>
      <c r="O3827">
        <v>6.9900000000000004E-2</v>
      </c>
      <c r="P3827">
        <v>84</v>
      </c>
      <c r="Q3827" t="s">
        <v>7999</v>
      </c>
    </row>
    <row r="3828" spans="1:17" x14ac:dyDescent="0.3">
      <c r="A3828" t="s">
        <v>4664</v>
      </c>
      <c r="B3828" t="str">
        <f>"300072"</f>
        <v>300072</v>
      </c>
      <c r="C3828" t="s">
        <v>8000</v>
      </c>
      <c r="D3828" t="s">
        <v>663</v>
      </c>
      <c r="F3828">
        <v>145.7115</v>
      </c>
      <c r="G3828">
        <v>212.91659999999999</v>
      </c>
      <c r="H3828">
        <v>131.14670000000001</v>
      </c>
      <c r="I3828">
        <v>67.339799999999997</v>
      </c>
      <c r="J3828">
        <v>27.766400000000001</v>
      </c>
      <c r="K3828">
        <v>29.9849</v>
      </c>
      <c r="L3828">
        <v>79.483999999999995</v>
      </c>
      <c r="M3828">
        <v>125.2308</v>
      </c>
      <c r="N3828">
        <v>310.44099999999997</v>
      </c>
      <c r="O3828">
        <v>177.64840000000001</v>
      </c>
      <c r="P3828">
        <v>1138</v>
      </c>
      <c r="Q3828" t="s">
        <v>8001</v>
      </c>
    </row>
    <row r="3829" spans="1:17" x14ac:dyDescent="0.3">
      <c r="A3829" t="s">
        <v>4664</v>
      </c>
      <c r="B3829" t="str">
        <f>"300073"</f>
        <v>300073</v>
      </c>
      <c r="C3829" t="s">
        <v>8002</v>
      </c>
      <c r="D3829" t="s">
        <v>1786</v>
      </c>
      <c r="F3829">
        <v>74.788700000000006</v>
      </c>
      <c r="G3829">
        <v>83.4529</v>
      </c>
      <c r="H3829">
        <v>58.1355</v>
      </c>
      <c r="I3829">
        <v>55.998600000000003</v>
      </c>
      <c r="J3829">
        <v>93.058800000000005</v>
      </c>
      <c r="K3829">
        <v>124.3711</v>
      </c>
      <c r="L3829">
        <v>144.5505</v>
      </c>
      <c r="M3829">
        <v>134.2628</v>
      </c>
      <c r="N3829">
        <v>138.68209999999999</v>
      </c>
      <c r="O3829">
        <v>118.1195</v>
      </c>
      <c r="P3829">
        <v>826</v>
      </c>
      <c r="Q3829" t="s">
        <v>8003</v>
      </c>
    </row>
    <row r="3830" spans="1:17" x14ac:dyDescent="0.3">
      <c r="A3830" t="s">
        <v>4664</v>
      </c>
      <c r="B3830" t="str">
        <f>"300074"</f>
        <v>300074</v>
      </c>
      <c r="C3830" t="s">
        <v>8004</v>
      </c>
      <c r="D3830" t="s">
        <v>945</v>
      </c>
      <c r="F3830">
        <v>274.93110000000001</v>
      </c>
      <c r="G3830">
        <v>345.98070000000001</v>
      </c>
      <c r="H3830">
        <v>377.64359999999999</v>
      </c>
      <c r="I3830">
        <v>432.97109999999998</v>
      </c>
      <c r="J3830">
        <v>342.2885</v>
      </c>
      <c r="K3830">
        <v>418.1198</v>
      </c>
      <c r="L3830">
        <v>370.98329999999999</v>
      </c>
      <c r="M3830">
        <v>563.24890000000005</v>
      </c>
      <c r="N3830">
        <v>577.31020000000001</v>
      </c>
      <c r="O3830">
        <v>619.45489999999995</v>
      </c>
      <c r="P3830">
        <v>162</v>
      </c>
      <c r="Q3830" t="s">
        <v>8005</v>
      </c>
    </row>
    <row r="3831" spans="1:17" x14ac:dyDescent="0.3">
      <c r="A3831" t="s">
        <v>4664</v>
      </c>
      <c r="B3831" t="str">
        <f>"300075"</f>
        <v>300075</v>
      </c>
      <c r="C3831" t="s">
        <v>8006</v>
      </c>
      <c r="D3831" t="s">
        <v>945</v>
      </c>
      <c r="F3831">
        <v>135.60830000000001</v>
      </c>
      <c r="G3831">
        <v>165.33430000000001</v>
      </c>
      <c r="H3831">
        <v>139.33529999999999</v>
      </c>
      <c r="I3831">
        <v>254.10310000000001</v>
      </c>
      <c r="J3831">
        <v>238.37389999999999</v>
      </c>
      <c r="K3831">
        <v>188.05240000000001</v>
      </c>
      <c r="L3831">
        <v>122.9145</v>
      </c>
      <c r="M3831">
        <v>108.01600000000001</v>
      </c>
      <c r="N3831">
        <v>242.49889999999999</v>
      </c>
      <c r="O3831">
        <v>168.7414</v>
      </c>
      <c r="P3831">
        <v>258</v>
      </c>
      <c r="Q3831" t="s">
        <v>8007</v>
      </c>
    </row>
    <row r="3832" spans="1:17" x14ac:dyDescent="0.3">
      <c r="A3832" t="s">
        <v>4664</v>
      </c>
      <c r="B3832" t="str">
        <f>"300076"</f>
        <v>300076</v>
      </c>
      <c r="C3832" t="s">
        <v>8008</v>
      </c>
      <c r="D3832" t="s">
        <v>1117</v>
      </c>
      <c r="F3832">
        <v>182.9683</v>
      </c>
      <c r="G3832">
        <v>226.9136</v>
      </c>
      <c r="H3832">
        <v>314.22300000000001</v>
      </c>
      <c r="I3832">
        <v>191.8399</v>
      </c>
      <c r="J3832">
        <v>360.75529999999998</v>
      </c>
      <c r="K3832">
        <v>190.07419999999999</v>
      </c>
      <c r="L3832">
        <v>228.70349999999999</v>
      </c>
      <c r="M3832">
        <v>262.20080000000002</v>
      </c>
      <c r="N3832">
        <v>240.46559999999999</v>
      </c>
      <c r="O3832">
        <v>186.37190000000001</v>
      </c>
      <c r="P3832">
        <v>93</v>
      </c>
      <c r="Q3832" t="s">
        <v>8009</v>
      </c>
    </row>
    <row r="3833" spans="1:17" x14ac:dyDescent="0.3">
      <c r="A3833" t="s">
        <v>4664</v>
      </c>
      <c r="B3833" t="str">
        <f>"300077"</f>
        <v>300077</v>
      </c>
      <c r="C3833" t="s">
        <v>8010</v>
      </c>
      <c r="D3833" t="s">
        <v>461</v>
      </c>
      <c r="F3833">
        <v>261.56310000000002</v>
      </c>
      <c r="G3833">
        <v>465.58670000000001</v>
      </c>
      <c r="H3833">
        <v>361.45600000000002</v>
      </c>
      <c r="I3833">
        <v>208.13659999999999</v>
      </c>
      <c r="J3833">
        <v>176.8895</v>
      </c>
      <c r="K3833">
        <v>261.82499999999999</v>
      </c>
      <c r="L3833">
        <v>285.00319999999999</v>
      </c>
      <c r="M3833">
        <v>322.71559999999999</v>
      </c>
      <c r="N3833">
        <v>269.3014</v>
      </c>
      <c r="O3833">
        <v>269.83949999999999</v>
      </c>
      <c r="P3833">
        <v>3150</v>
      </c>
      <c r="Q3833" t="s">
        <v>8011</v>
      </c>
    </row>
    <row r="3834" spans="1:17" x14ac:dyDescent="0.3">
      <c r="A3834" t="s">
        <v>4664</v>
      </c>
      <c r="B3834" t="str">
        <f>"300078"</f>
        <v>300078</v>
      </c>
      <c r="C3834" t="s">
        <v>8012</v>
      </c>
      <c r="D3834" t="s">
        <v>316</v>
      </c>
      <c r="F3834">
        <v>131.40710000000001</v>
      </c>
      <c r="G3834">
        <v>146.29839999999999</v>
      </c>
      <c r="H3834">
        <v>143.8947</v>
      </c>
      <c r="I3834">
        <v>195.38159999999999</v>
      </c>
      <c r="J3834">
        <v>242.9727</v>
      </c>
      <c r="K3834">
        <v>198.52379999999999</v>
      </c>
      <c r="L3834">
        <v>181.82919999999999</v>
      </c>
      <c r="M3834">
        <v>166.66990000000001</v>
      </c>
      <c r="N3834">
        <v>107.73439999999999</v>
      </c>
      <c r="O3834">
        <v>100.8843</v>
      </c>
      <c r="P3834">
        <v>296</v>
      </c>
      <c r="Q3834" t="s">
        <v>8013</v>
      </c>
    </row>
    <row r="3835" spans="1:17" x14ac:dyDescent="0.3">
      <c r="A3835" t="s">
        <v>4664</v>
      </c>
      <c r="B3835" t="str">
        <f>"300079"</f>
        <v>300079</v>
      </c>
      <c r="C3835" t="s">
        <v>8014</v>
      </c>
      <c r="D3835" t="s">
        <v>316</v>
      </c>
      <c r="F3835">
        <v>317.23020000000002</v>
      </c>
      <c r="G3835">
        <v>158.22919999999999</v>
      </c>
      <c r="H3835">
        <v>262.53289999999998</v>
      </c>
      <c r="I3835">
        <v>283.45429999999999</v>
      </c>
      <c r="J3835">
        <v>269.82060000000001</v>
      </c>
      <c r="K3835">
        <v>322.87180000000001</v>
      </c>
      <c r="L3835">
        <v>514.52120000000002</v>
      </c>
      <c r="M3835">
        <v>622.94740000000002</v>
      </c>
      <c r="N3835">
        <v>514.13739999999996</v>
      </c>
      <c r="O3835">
        <v>297.81920000000002</v>
      </c>
      <c r="P3835">
        <v>261</v>
      </c>
      <c r="Q3835" t="s">
        <v>8015</v>
      </c>
    </row>
    <row r="3836" spans="1:17" x14ac:dyDescent="0.3">
      <c r="A3836" t="s">
        <v>4664</v>
      </c>
      <c r="B3836" t="str">
        <f>"300080"</f>
        <v>300080</v>
      </c>
      <c r="C3836" t="s">
        <v>8016</v>
      </c>
      <c r="D3836" t="s">
        <v>404</v>
      </c>
      <c r="F3836">
        <v>112.6765</v>
      </c>
      <c r="G3836">
        <v>185.60509999999999</v>
      </c>
      <c r="H3836">
        <v>68.802499999999995</v>
      </c>
      <c r="I3836">
        <v>144.37960000000001</v>
      </c>
      <c r="J3836">
        <v>542.37599999999998</v>
      </c>
      <c r="K3836">
        <v>383.65969999999999</v>
      </c>
      <c r="L3836">
        <v>496.00659999999999</v>
      </c>
      <c r="M3836">
        <v>469.60169999999999</v>
      </c>
      <c r="N3836">
        <v>410.42410000000001</v>
      </c>
      <c r="O3836">
        <v>432.77890000000002</v>
      </c>
      <c r="P3836">
        <v>111</v>
      </c>
      <c r="Q3836" t="s">
        <v>8017</v>
      </c>
    </row>
    <row r="3837" spans="1:17" x14ac:dyDescent="0.3">
      <c r="A3837" t="s">
        <v>4664</v>
      </c>
      <c r="B3837" t="str">
        <f>"300081"</f>
        <v>300081</v>
      </c>
      <c r="C3837" t="s">
        <v>8018</v>
      </c>
      <c r="D3837" t="s">
        <v>5597</v>
      </c>
      <c r="F3837">
        <v>681.11199999999997</v>
      </c>
      <c r="G3837">
        <v>848.12310000000002</v>
      </c>
      <c r="H3837">
        <v>570.61289999999997</v>
      </c>
      <c r="I3837">
        <v>228.82579999999999</v>
      </c>
      <c r="J3837">
        <v>192.9829</v>
      </c>
      <c r="K3837">
        <v>91.112899999999996</v>
      </c>
      <c r="L3837">
        <v>69.312299999999993</v>
      </c>
      <c r="M3837">
        <v>75.665999999999997</v>
      </c>
      <c r="N3837">
        <v>120.7414</v>
      </c>
      <c r="O3837">
        <v>106.00320000000001</v>
      </c>
      <c r="P3837">
        <v>160</v>
      </c>
      <c r="Q3837" t="s">
        <v>8019</v>
      </c>
    </row>
    <row r="3838" spans="1:17" x14ac:dyDescent="0.3">
      <c r="A3838" t="s">
        <v>4664</v>
      </c>
      <c r="B3838" t="str">
        <f>"300082"</f>
        <v>300082</v>
      </c>
      <c r="C3838" t="s">
        <v>8020</v>
      </c>
      <c r="D3838" t="s">
        <v>1233</v>
      </c>
      <c r="F3838">
        <v>22.4496</v>
      </c>
      <c r="G3838">
        <v>37.661099999999998</v>
      </c>
      <c r="H3838">
        <v>25.479900000000001</v>
      </c>
      <c r="I3838">
        <v>25.231100000000001</v>
      </c>
      <c r="J3838">
        <v>28.849900000000002</v>
      </c>
      <c r="K3838">
        <v>37.552599999999998</v>
      </c>
      <c r="L3838">
        <v>48.985799999999998</v>
      </c>
      <c r="M3838">
        <v>52.043500000000002</v>
      </c>
      <c r="N3838">
        <v>48.647799999999997</v>
      </c>
      <c r="O3838">
        <v>68.801100000000005</v>
      </c>
      <c r="P3838">
        <v>176</v>
      </c>
      <c r="Q3838" t="s">
        <v>8021</v>
      </c>
    </row>
    <row r="3839" spans="1:17" x14ac:dyDescent="0.3">
      <c r="A3839" t="s">
        <v>4664</v>
      </c>
      <c r="B3839" t="str">
        <f>"300083"</f>
        <v>300083</v>
      </c>
      <c r="C3839" t="s">
        <v>8022</v>
      </c>
      <c r="D3839" t="s">
        <v>2423</v>
      </c>
      <c r="F3839">
        <v>220.7706</v>
      </c>
      <c r="G3839">
        <v>270.88940000000002</v>
      </c>
      <c r="H3839">
        <v>179.9059</v>
      </c>
      <c r="I3839">
        <v>406.786</v>
      </c>
      <c r="J3839">
        <v>362.89170000000001</v>
      </c>
      <c r="K3839">
        <v>284.34249999999997</v>
      </c>
      <c r="L3839">
        <v>145.74930000000001</v>
      </c>
      <c r="M3839">
        <v>74.197999999999993</v>
      </c>
      <c r="N3839">
        <v>81.079899999999995</v>
      </c>
      <c r="O3839">
        <v>89.177700000000002</v>
      </c>
      <c r="P3839">
        <v>487</v>
      </c>
      <c r="Q3839" t="s">
        <v>8023</v>
      </c>
    </row>
    <row r="3840" spans="1:17" x14ac:dyDescent="0.3">
      <c r="A3840" t="s">
        <v>4664</v>
      </c>
      <c r="B3840" t="str">
        <f>"300084"</f>
        <v>300084</v>
      </c>
      <c r="C3840" t="s">
        <v>8024</v>
      </c>
      <c r="D3840" t="s">
        <v>395</v>
      </c>
      <c r="F3840">
        <v>891.65359999999998</v>
      </c>
      <c r="G3840">
        <v>1129.9641999999999</v>
      </c>
      <c r="H3840">
        <v>767.15520000000004</v>
      </c>
      <c r="I3840">
        <v>661.56380000000001</v>
      </c>
      <c r="J3840">
        <v>353.1968</v>
      </c>
      <c r="K3840">
        <v>386.25119999999998</v>
      </c>
      <c r="L3840">
        <v>282.65350000000001</v>
      </c>
      <c r="M3840">
        <v>321.20960000000002</v>
      </c>
      <c r="N3840">
        <v>340.19720000000001</v>
      </c>
      <c r="O3840">
        <v>389.16399999999999</v>
      </c>
      <c r="P3840">
        <v>69</v>
      </c>
      <c r="Q3840" t="s">
        <v>8025</v>
      </c>
    </row>
    <row r="3841" spans="1:17" x14ac:dyDescent="0.3">
      <c r="A3841" t="s">
        <v>4664</v>
      </c>
      <c r="B3841" t="str">
        <f>"300085"</f>
        <v>300085</v>
      </c>
      <c r="C3841" t="s">
        <v>8026</v>
      </c>
      <c r="D3841" t="s">
        <v>945</v>
      </c>
      <c r="F3841">
        <v>72.336799999999997</v>
      </c>
      <c r="G3841">
        <v>52.222200000000001</v>
      </c>
      <c r="H3841">
        <v>74.480800000000002</v>
      </c>
      <c r="I3841">
        <v>82.777000000000001</v>
      </c>
      <c r="J3841">
        <v>92.244900000000001</v>
      </c>
      <c r="K3841">
        <v>59.534500000000001</v>
      </c>
      <c r="L3841">
        <v>74.080699999999993</v>
      </c>
      <c r="M3841">
        <v>127.79940000000001</v>
      </c>
      <c r="N3841">
        <v>117.7381</v>
      </c>
      <c r="O3841">
        <v>72.513999999999996</v>
      </c>
      <c r="P3841">
        <v>255</v>
      </c>
      <c r="Q3841" t="s">
        <v>8027</v>
      </c>
    </row>
    <row r="3842" spans="1:17" x14ac:dyDescent="0.3">
      <c r="A3842" t="s">
        <v>4664</v>
      </c>
      <c r="B3842" t="str">
        <f>"300086"</f>
        <v>300086</v>
      </c>
      <c r="C3842" t="s">
        <v>8028</v>
      </c>
      <c r="D3842" t="s">
        <v>143</v>
      </c>
      <c r="F3842">
        <v>242.32919999999999</v>
      </c>
      <c r="G3842">
        <v>237.52099999999999</v>
      </c>
      <c r="H3842">
        <v>119.1677</v>
      </c>
      <c r="I3842">
        <v>146.1386</v>
      </c>
      <c r="J3842">
        <v>206.81319999999999</v>
      </c>
      <c r="K3842">
        <v>192.702</v>
      </c>
      <c r="L3842">
        <v>228.99369999999999</v>
      </c>
      <c r="M3842">
        <v>163.4563</v>
      </c>
      <c r="N3842">
        <v>176.1</v>
      </c>
      <c r="O3842">
        <v>124.5042</v>
      </c>
      <c r="P3842">
        <v>106</v>
      </c>
      <c r="Q3842" t="s">
        <v>8029</v>
      </c>
    </row>
    <row r="3843" spans="1:17" x14ac:dyDescent="0.3">
      <c r="A3843" t="s">
        <v>4664</v>
      </c>
      <c r="B3843" t="str">
        <f>"300087"</f>
        <v>300087</v>
      </c>
      <c r="C3843" t="s">
        <v>8030</v>
      </c>
      <c r="D3843" t="s">
        <v>706</v>
      </c>
      <c r="F3843">
        <v>342.76310000000001</v>
      </c>
      <c r="G3843">
        <v>402.541</v>
      </c>
      <c r="H3843">
        <v>1074.8087</v>
      </c>
      <c r="I3843">
        <v>967.83680000000004</v>
      </c>
      <c r="J3843">
        <v>925.55629999999996</v>
      </c>
      <c r="K3843">
        <v>764.47760000000005</v>
      </c>
      <c r="L3843">
        <v>681.64380000000006</v>
      </c>
      <c r="M3843">
        <v>824.96159999999998</v>
      </c>
      <c r="N3843">
        <v>952.93269999999995</v>
      </c>
      <c r="O3843">
        <v>705.63480000000004</v>
      </c>
      <c r="P3843">
        <v>231</v>
      </c>
      <c r="Q3843" t="s">
        <v>8031</v>
      </c>
    </row>
    <row r="3844" spans="1:17" x14ac:dyDescent="0.3">
      <c r="A3844" t="s">
        <v>4664</v>
      </c>
      <c r="B3844" t="str">
        <f>"300088"</f>
        <v>300088</v>
      </c>
      <c r="C3844" t="s">
        <v>8032</v>
      </c>
      <c r="D3844" t="s">
        <v>1117</v>
      </c>
      <c r="F3844">
        <v>49.6631</v>
      </c>
      <c r="G3844">
        <v>40.775500000000001</v>
      </c>
      <c r="H3844">
        <v>47.777999999999999</v>
      </c>
      <c r="I3844">
        <v>39.9345</v>
      </c>
      <c r="J3844">
        <v>35.722700000000003</v>
      </c>
      <c r="K3844">
        <v>31.4222</v>
      </c>
      <c r="L3844">
        <v>46.018599999999999</v>
      </c>
      <c r="M3844">
        <v>99.572999999999993</v>
      </c>
      <c r="N3844">
        <v>65.275300000000001</v>
      </c>
      <c r="O3844">
        <v>81.791899999999998</v>
      </c>
      <c r="P3844">
        <v>950</v>
      </c>
      <c r="Q3844" t="s">
        <v>8033</v>
      </c>
    </row>
    <row r="3845" spans="1:17" x14ac:dyDescent="0.3">
      <c r="A3845" t="s">
        <v>4664</v>
      </c>
      <c r="B3845" t="str">
        <f>"300089"</f>
        <v>300089</v>
      </c>
      <c r="C3845" t="s">
        <v>8034</v>
      </c>
      <c r="D3845" t="s">
        <v>1336</v>
      </c>
      <c r="F3845">
        <v>235.1567</v>
      </c>
      <c r="G3845">
        <v>279.00209999999998</v>
      </c>
      <c r="H3845">
        <v>310.31110000000001</v>
      </c>
      <c r="I3845">
        <v>74.292599999999993</v>
      </c>
      <c r="J3845">
        <v>194.3348</v>
      </c>
      <c r="K3845">
        <v>174.23400000000001</v>
      </c>
      <c r="L3845">
        <v>138.99250000000001</v>
      </c>
      <c r="M3845">
        <v>146.03919999999999</v>
      </c>
      <c r="N3845">
        <v>151.11689999999999</v>
      </c>
      <c r="O3845">
        <v>134.86420000000001</v>
      </c>
      <c r="P3845">
        <v>101</v>
      </c>
      <c r="Q3845" t="s">
        <v>8035</v>
      </c>
    </row>
    <row r="3846" spans="1:17" x14ac:dyDescent="0.3">
      <c r="A3846" t="s">
        <v>4664</v>
      </c>
      <c r="B3846" t="str">
        <f>"300090"</f>
        <v>300090</v>
      </c>
      <c r="C3846" t="s">
        <v>8036</v>
      </c>
      <c r="H3846">
        <v>980.52210000000002</v>
      </c>
      <c r="I3846">
        <v>778.24530000000004</v>
      </c>
      <c r="J3846">
        <v>376.27659999999997</v>
      </c>
      <c r="K3846">
        <v>387.43169999999998</v>
      </c>
      <c r="L3846">
        <v>196.37569999999999</v>
      </c>
      <c r="M3846">
        <v>318.78840000000002</v>
      </c>
      <c r="N3846">
        <v>228.00839999999999</v>
      </c>
      <c r="O3846">
        <v>232.61330000000001</v>
      </c>
      <c r="P3846">
        <v>72</v>
      </c>
      <c r="Q3846" t="s">
        <v>8037</v>
      </c>
    </row>
    <row r="3847" spans="1:17" x14ac:dyDescent="0.3">
      <c r="A3847" t="s">
        <v>4664</v>
      </c>
      <c r="B3847" t="str">
        <f>"300091"</f>
        <v>300091</v>
      </c>
      <c r="C3847" t="s">
        <v>8038</v>
      </c>
      <c r="D3847" t="s">
        <v>560</v>
      </c>
      <c r="F3847">
        <v>176.0436</v>
      </c>
      <c r="G3847">
        <v>457.93889999999999</v>
      </c>
      <c r="H3847">
        <v>677.13739999999996</v>
      </c>
      <c r="I3847">
        <v>415.16109999999998</v>
      </c>
      <c r="J3847">
        <v>318.96600000000001</v>
      </c>
      <c r="K3847">
        <v>160.98089999999999</v>
      </c>
      <c r="L3847">
        <v>166.55420000000001</v>
      </c>
      <c r="M3847">
        <v>200.63300000000001</v>
      </c>
      <c r="N3847">
        <v>207.78559999999999</v>
      </c>
      <c r="O3847">
        <v>179.642</v>
      </c>
      <c r="P3847">
        <v>101</v>
      </c>
      <c r="Q3847" t="s">
        <v>8039</v>
      </c>
    </row>
    <row r="3848" spans="1:17" x14ac:dyDescent="0.3">
      <c r="A3848" t="s">
        <v>4664</v>
      </c>
      <c r="B3848" t="str">
        <f>"300092"</f>
        <v>300092</v>
      </c>
      <c r="C3848" t="s">
        <v>8040</v>
      </c>
      <c r="D3848" t="s">
        <v>274</v>
      </c>
      <c r="F3848">
        <v>253.4221</v>
      </c>
      <c r="G3848">
        <v>263.71899999999999</v>
      </c>
      <c r="H3848">
        <v>258.0641</v>
      </c>
      <c r="I3848">
        <v>183.7731</v>
      </c>
      <c r="J3848">
        <v>252.54949999999999</v>
      </c>
      <c r="K3848">
        <v>198.48439999999999</v>
      </c>
      <c r="L3848">
        <v>343.6891</v>
      </c>
      <c r="M3848">
        <v>230.399</v>
      </c>
      <c r="N3848">
        <v>328.61239999999998</v>
      </c>
      <c r="O3848">
        <v>312.1182</v>
      </c>
      <c r="P3848">
        <v>81</v>
      </c>
      <c r="Q3848" t="s">
        <v>8041</v>
      </c>
    </row>
    <row r="3849" spans="1:17" x14ac:dyDescent="0.3">
      <c r="A3849" t="s">
        <v>4664</v>
      </c>
      <c r="B3849" t="str">
        <f>"300093"</f>
        <v>300093</v>
      </c>
      <c r="C3849" t="s">
        <v>8042</v>
      </c>
      <c r="D3849" t="s">
        <v>666</v>
      </c>
      <c r="F3849">
        <v>241.4829</v>
      </c>
      <c r="G3849">
        <v>352.51679999999999</v>
      </c>
      <c r="H3849">
        <v>317.83980000000003</v>
      </c>
      <c r="I3849">
        <v>363.90660000000003</v>
      </c>
      <c r="J3849">
        <v>305.05529999999999</v>
      </c>
      <c r="K3849">
        <v>284.7491</v>
      </c>
      <c r="L3849">
        <v>268.30829999999997</v>
      </c>
      <c r="M3849">
        <v>166.60890000000001</v>
      </c>
      <c r="N3849">
        <v>150.13679999999999</v>
      </c>
      <c r="O3849">
        <v>118.44289999999999</v>
      </c>
      <c r="P3849">
        <v>80</v>
      </c>
      <c r="Q3849" t="s">
        <v>8043</v>
      </c>
    </row>
    <row r="3850" spans="1:17" x14ac:dyDescent="0.3">
      <c r="A3850" t="s">
        <v>4664</v>
      </c>
      <c r="B3850" t="str">
        <f>"300094"</f>
        <v>300094</v>
      </c>
      <c r="C3850" t="s">
        <v>8044</v>
      </c>
      <c r="D3850" t="s">
        <v>587</v>
      </c>
      <c r="F3850">
        <v>342.67520000000002</v>
      </c>
      <c r="G3850">
        <v>297.86110000000002</v>
      </c>
      <c r="H3850">
        <v>337.31889999999999</v>
      </c>
      <c r="I3850">
        <v>261.59039999999999</v>
      </c>
      <c r="J3850">
        <v>217.2029</v>
      </c>
      <c r="K3850">
        <v>245.0564</v>
      </c>
      <c r="L3850">
        <v>313.9973</v>
      </c>
      <c r="M3850">
        <v>253.5189</v>
      </c>
      <c r="N3850">
        <v>185.04490000000001</v>
      </c>
      <c r="O3850">
        <v>259.6866</v>
      </c>
      <c r="P3850">
        <v>123</v>
      </c>
      <c r="Q3850" t="s">
        <v>8045</v>
      </c>
    </row>
    <row r="3851" spans="1:17" x14ac:dyDescent="0.3">
      <c r="A3851" t="s">
        <v>4664</v>
      </c>
      <c r="B3851" t="str">
        <f>"300095"</f>
        <v>300095</v>
      </c>
      <c r="C3851" t="s">
        <v>8046</v>
      </c>
      <c r="D3851" t="s">
        <v>274</v>
      </c>
      <c r="F3851">
        <v>317.95229999999998</v>
      </c>
      <c r="G3851">
        <v>325.98809999999997</v>
      </c>
      <c r="H3851">
        <v>341.46559999999999</v>
      </c>
      <c r="I3851">
        <v>285.31279999999998</v>
      </c>
      <c r="J3851">
        <v>345.37049999999999</v>
      </c>
      <c r="K3851">
        <v>313.52940000000001</v>
      </c>
      <c r="L3851">
        <v>305.77390000000003</v>
      </c>
      <c r="M3851">
        <v>189.11500000000001</v>
      </c>
      <c r="N3851">
        <v>312.31799999999998</v>
      </c>
      <c r="O3851">
        <v>321.7296</v>
      </c>
      <c r="P3851">
        <v>128</v>
      </c>
      <c r="Q3851" t="s">
        <v>8047</v>
      </c>
    </row>
    <row r="3852" spans="1:17" x14ac:dyDescent="0.3">
      <c r="A3852" t="s">
        <v>4664</v>
      </c>
      <c r="B3852" t="str">
        <f>"300096"</f>
        <v>300096</v>
      </c>
      <c r="C3852" t="s">
        <v>8048</v>
      </c>
      <c r="D3852" t="s">
        <v>316</v>
      </c>
      <c r="F3852">
        <v>289.9314</v>
      </c>
      <c r="G3852">
        <v>141.77369999999999</v>
      </c>
      <c r="H3852">
        <v>198.99529999999999</v>
      </c>
      <c r="I3852">
        <v>170.1397</v>
      </c>
      <c r="J3852">
        <v>246.30699999999999</v>
      </c>
      <c r="K3852">
        <v>269.6216</v>
      </c>
      <c r="L3852">
        <v>291.84219999999999</v>
      </c>
      <c r="M3852">
        <v>231.1173</v>
      </c>
      <c r="N3852">
        <v>232.7604</v>
      </c>
      <c r="O3852">
        <v>188.26509999999999</v>
      </c>
      <c r="P3852">
        <v>169</v>
      </c>
      <c r="Q3852" t="s">
        <v>8049</v>
      </c>
    </row>
    <row r="3853" spans="1:17" x14ac:dyDescent="0.3">
      <c r="A3853" t="s">
        <v>4664</v>
      </c>
      <c r="B3853" t="str">
        <f>"300097"</f>
        <v>300097</v>
      </c>
      <c r="C3853" t="s">
        <v>8050</v>
      </c>
      <c r="D3853" t="s">
        <v>3450</v>
      </c>
      <c r="F3853">
        <v>551.08500000000004</v>
      </c>
      <c r="G3853">
        <v>343.9479</v>
      </c>
      <c r="H3853">
        <v>1006.8255</v>
      </c>
      <c r="I3853">
        <v>324.43720000000002</v>
      </c>
      <c r="J3853">
        <v>397.23360000000002</v>
      </c>
      <c r="K3853">
        <v>510.18470000000002</v>
      </c>
      <c r="L3853">
        <v>442.14</v>
      </c>
      <c r="M3853">
        <v>538.77139999999997</v>
      </c>
      <c r="N3853">
        <v>503.93599999999998</v>
      </c>
      <c r="O3853">
        <v>544.47839999999997</v>
      </c>
      <c r="P3853">
        <v>203</v>
      </c>
      <c r="Q3853" t="s">
        <v>8051</v>
      </c>
    </row>
    <row r="3854" spans="1:17" x14ac:dyDescent="0.3">
      <c r="A3854" t="s">
        <v>4664</v>
      </c>
      <c r="B3854" t="str">
        <f>"300098"</f>
        <v>300098</v>
      </c>
      <c r="C3854" t="s">
        <v>8052</v>
      </c>
      <c r="D3854" t="s">
        <v>945</v>
      </c>
      <c r="F3854">
        <v>224.79560000000001</v>
      </c>
      <c r="G3854">
        <v>250.0958</v>
      </c>
      <c r="H3854">
        <v>144.53899999999999</v>
      </c>
      <c r="I3854">
        <v>167.1557</v>
      </c>
      <c r="J3854">
        <v>153.07990000000001</v>
      </c>
      <c r="K3854">
        <v>147.41579999999999</v>
      </c>
      <c r="L3854">
        <v>109.8647</v>
      </c>
      <c r="M3854">
        <v>119.627</v>
      </c>
      <c r="N3854">
        <v>195.0934</v>
      </c>
      <c r="O3854">
        <v>278.70650000000001</v>
      </c>
      <c r="P3854">
        <v>368</v>
      </c>
      <c r="Q3854" t="s">
        <v>8053</v>
      </c>
    </row>
    <row r="3855" spans="1:17" x14ac:dyDescent="0.3">
      <c r="A3855" t="s">
        <v>4664</v>
      </c>
      <c r="B3855" t="str">
        <f>"300099"</f>
        <v>300099</v>
      </c>
      <c r="C3855" t="s">
        <v>8054</v>
      </c>
      <c r="D3855" t="s">
        <v>395</v>
      </c>
      <c r="F3855">
        <v>423.82960000000003</v>
      </c>
      <c r="G3855">
        <v>439.31209999999999</v>
      </c>
      <c r="H3855">
        <v>650.74779999999998</v>
      </c>
      <c r="I3855">
        <v>555.54079999999999</v>
      </c>
      <c r="J3855">
        <v>483.35890000000001</v>
      </c>
      <c r="K3855">
        <v>809.66269999999997</v>
      </c>
      <c r="L3855">
        <v>917.35919999999999</v>
      </c>
      <c r="M3855">
        <v>491.52730000000003</v>
      </c>
      <c r="N3855">
        <v>334.57549999999998</v>
      </c>
      <c r="O3855">
        <v>363.69470000000001</v>
      </c>
      <c r="P3855">
        <v>134</v>
      </c>
      <c r="Q3855" t="s">
        <v>8055</v>
      </c>
    </row>
    <row r="3856" spans="1:17" x14ac:dyDescent="0.3">
      <c r="A3856" t="s">
        <v>4664</v>
      </c>
      <c r="B3856" t="str">
        <f>"300100"</f>
        <v>300100</v>
      </c>
      <c r="C3856" t="s">
        <v>8056</v>
      </c>
      <c r="D3856" t="s">
        <v>191</v>
      </c>
      <c r="F3856">
        <v>130.59450000000001</v>
      </c>
      <c r="G3856">
        <v>155.41550000000001</v>
      </c>
      <c r="H3856">
        <v>126.3734</v>
      </c>
      <c r="I3856">
        <v>100.8172</v>
      </c>
      <c r="J3856">
        <v>122.58540000000001</v>
      </c>
      <c r="K3856">
        <v>130.78749999999999</v>
      </c>
      <c r="L3856">
        <v>134.804</v>
      </c>
      <c r="M3856">
        <v>137.00370000000001</v>
      </c>
      <c r="N3856">
        <v>132.22239999999999</v>
      </c>
      <c r="O3856">
        <v>133.827</v>
      </c>
      <c r="P3856">
        <v>129</v>
      </c>
      <c r="Q3856" t="s">
        <v>8057</v>
      </c>
    </row>
    <row r="3857" spans="1:17" x14ac:dyDescent="0.3">
      <c r="A3857" t="s">
        <v>4664</v>
      </c>
      <c r="B3857" t="str">
        <f>"300101"</f>
        <v>300101</v>
      </c>
      <c r="C3857" t="s">
        <v>8058</v>
      </c>
      <c r="D3857" t="s">
        <v>1136</v>
      </c>
      <c r="F3857">
        <v>894.26340000000005</v>
      </c>
      <c r="G3857">
        <v>969.14599999999996</v>
      </c>
      <c r="H3857">
        <v>518.00549999999998</v>
      </c>
      <c r="I3857">
        <v>506.91160000000002</v>
      </c>
      <c r="J3857">
        <v>782.11360000000002</v>
      </c>
      <c r="K3857">
        <v>556.79049999999995</v>
      </c>
      <c r="L3857">
        <v>500.4359</v>
      </c>
      <c r="M3857">
        <v>643.30799999999999</v>
      </c>
      <c r="N3857">
        <v>650.03470000000004</v>
      </c>
      <c r="O3857">
        <v>335.26429999999999</v>
      </c>
      <c r="P3857">
        <v>3120</v>
      </c>
      <c r="Q3857" t="s">
        <v>8059</v>
      </c>
    </row>
    <row r="3858" spans="1:17" x14ac:dyDescent="0.3">
      <c r="A3858" t="s">
        <v>4664</v>
      </c>
      <c r="B3858" t="str">
        <f>"300102"</f>
        <v>300102</v>
      </c>
      <c r="C3858" t="s">
        <v>8060</v>
      </c>
      <c r="D3858" t="s">
        <v>803</v>
      </c>
      <c r="F3858">
        <v>128.35659999999999</v>
      </c>
      <c r="G3858">
        <v>193.6782</v>
      </c>
      <c r="H3858">
        <v>326.32400000000001</v>
      </c>
      <c r="I3858">
        <v>224.6823</v>
      </c>
      <c r="J3858">
        <v>157.64269999999999</v>
      </c>
      <c r="K3858">
        <v>131.1652</v>
      </c>
      <c r="L3858">
        <v>211.82169999999999</v>
      </c>
      <c r="M3858">
        <v>190.9555</v>
      </c>
      <c r="N3858">
        <v>196.85339999999999</v>
      </c>
      <c r="O3858">
        <v>296.46019999999999</v>
      </c>
      <c r="P3858">
        <v>158</v>
      </c>
      <c r="Q3858" t="s">
        <v>8061</v>
      </c>
    </row>
    <row r="3859" spans="1:17" x14ac:dyDescent="0.3">
      <c r="A3859" t="s">
        <v>4664</v>
      </c>
      <c r="B3859" t="str">
        <f>"300103"</f>
        <v>300103</v>
      </c>
      <c r="C3859" t="s">
        <v>8062</v>
      </c>
      <c r="D3859" t="s">
        <v>741</v>
      </c>
      <c r="F3859">
        <v>543.23590000000002</v>
      </c>
      <c r="G3859">
        <v>338.08569999999997</v>
      </c>
      <c r="H3859">
        <v>205.59899999999999</v>
      </c>
      <c r="I3859">
        <v>214.4915</v>
      </c>
      <c r="J3859">
        <v>193.6952</v>
      </c>
      <c r="K3859">
        <v>342.35509999999999</v>
      </c>
      <c r="L3859">
        <v>330.53910000000002</v>
      </c>
      <c r="M3859">
        <v>118.6553</v>
      </c>
      <c r="N3859">
        <v>71.026899999999998</v>
      </c>
      <c r="O3859">
        <v>253.8631</v>
      </c>
      <c r="P3859">
        <v>53</v>
      </c>
      <c r="Q3859" t="s">
        <v>8063</v>
      </c>
    </row>
    <row r="3860" spans="1:17" x14ac:dyDescent="0.3">
      <c r="A3860" t="s">
        <v>4664</v>
      </c>
      <c r="B3860" t="str">
        <f>"300104"</f>
        <v>300104</v>
      </c>
      <c r="C3860" t="s">
        <v>8064</v>
      </c>
      <c r="H3860">
        <v>709.19659999999999</v>
      </c>
      <c r="I3860">
        <v>143.1225</v>
      </c>
      <c r="J3860">
        <v>55.309600000000003</v>
      </c>
      <c r="K3860">
        <v>37.738799999999998</v>
      </c>
      <c r="L3860">
        <v>31.0977</v>
      </c>
      <c r="M3860">
        <v>36.830300000000001</v>
      </c>
      <c r="N3860">
        <v>34.259399999999999</v>
      </c>
      <c r="O3860">
        <v>6.2545999999999999</v>
      </c>
      <c r="P3860">
        <v>205</v>
      </c>
      <c r="Q3860" t="s">
        <v>8065</v>
      </c>
    </row>
    <row r="3861" spans="1:17" x14ac:dyDescent="0.3">
      <c r="A3861" t="s">
        <v>4664</v>
      </c>
      <c r="B3861" t="str">
        <f>"300105"</f>
        <v>300105</v>
      </c>
      <c r="C3861" t="s">
        <v>8066</v>
      </c>
      <c r="D3861" t="s">
        <v>470</v>
      </c>
      <c r="F3861">
        <v>435.62759999999997</v>
      </c>
      <c r="G3861">
        <v>237.203</v>
      </c>
      <c r="H3861">
        <v>325.49779999999998</v>
      </c>
      <c r="I3861">
        <v>361.19310000000002</v>
      </c>
      <c r="J3861">
        <v>328.20240000000001</v>
      </c>
      <c r="K3861">
        <v>434.27659999999997</v>
      </c>
      <c r="L3861">
        <v>248.4178</v>
      </c>
      <c r="M3861">
        <v>211.89279999999999</v>
      </c>
      <c r="N3861">
        <v>261.03590000000003</v>
      </c>
      <c r="O3861">
        <v>233.06450000000001</v>
      </c>
      <c r="P3861">
        <v>56</v>
      </c>
      <c r="Q3861" t="s">
        <v>8067</v>
      </c>
    </row>
    <row r="3862" spans="1:17" x14ac:dyDescent="0.3">
      <c r="A3862" t="s">
        <v>4664</v>
      </c>
      <c r="B3862" t="str">
        <f>"300106"</f>
        <v>300106</v>
      </c>
      <c r="C3862" t="s">
        <v>8068</v>
      </c>
      <c r="D3862" t="s">
        <v>900</v>
      </c>
      <c r="F3862">
        <v>55.177900000000001</v>
      </c>
      <c r="G3862">
        <v>93.928600000000003</v>
      </c>
      <c r="H3862">
        <v>117.8507</v>
      </c>
      <c r="I3862">
        <v>244.71860000000001</v>
      </c>
      <c r="J3862">
        <v>467.90289999999999</v>
      </c>
      <c r="K3862">
        <v>475.48489999999998</v>
      </c>
      <c r="L3862">
        <v>519.51610000000005</v>
      </c>
      <c r="M3862">
        <v>368.21940000000001</v>
      </c>
      <c r="N3862">
        <v>327.88639999999998</v>
      </c>
      <c r="O3862">
        <v>281.6345</v>
      </c>
      <c r="P3862">
        <v>124</v>
      </c>
      <c r="Q3862" t="s">
        <v>8069</v>
      </c>
    </row>
    <row r="3863" spans="1:17" x14ac:dyDescent="0.3">
      <c r="A3863" t="s">
        <v>4664</v>
      </c>
      <c r="B3863" t="str">
        <f>"300107"</f>
        <v>300107</v>
      </c>
      <c r="C3863" t="s">
        <v>8070</v>
      </c>
      <c r="D3863" t="s">
        <v>779</v>
      </c>
      <c r="F3863">
        <v>94.465900000000005</v>
      </c>
      <c r="G3863">
        <v>98.972300000000004</v>
      </c>
      <c r="H3863">
        <v>101.2603</v>
      </c>
      <c r="I3863">
        <v>82.106099999999998</v>
      </c>
      <c r="J3863">
        <v>78.065100000000001</v>
      </c>
      <c r="K3863">
        <v>112.89579999999999</v>
      </c>
      <c r="L3863">
        <v>85.059100000000001</v>
      </c>
      <c r="M3863">
        <v>82.151899999999998</v>
      </c>
      <c r="N3863">
        <v>88.249700000000004</v>
      </c>
      <c r="O3863">
        <v>62.051000000000002</v>
      </c>
      <c r="P3863">
        <v>239</v>
      </c>
      <c r="Q3863" t="s">
        <v>8071</v>
      </c>
    </row>
    <row r="3864" spans="1:17" x14ac:dyDescent="0.3">
      <c r="A3864" t="s">
        <v>4664</v>
      </c>
      <c r="B3864" t="str">
        <f>"300108"</f>
        <v>300108</v>
      </c>
      <c r="C3864" t="s">
        <v>8072</v>
      </c>
      <c r="D3864" t="s">
        <v>188</v>
      </c>
      <c r="F3864">
        <v>303.5301</v>
      </c>
      <c r="G3864">
        <v>271.56619999999998</v>
      </c>
      <c r="H3864">
        <v>299.13799999999998</v>
      </c>
      <c r="I3864">
        <v>410.12619999999998</v>
      </c>
      <c r="J3864">
        <v>369.16539999999998</v>
      </c>
      <c r="K3864">
        <v>338.0643</v>
      </c>
      <c r="L3864">
        <v>324.77010000000001</v>
      </c>
      <c r="M3864">
        <v>519.51959999999997</v>
      </c>
      <c r="N3864">
        <v>134.50810000000001</v>
      </c>
      <c r="O3864">
        <v>121.6126</v>
      </c>
      <c r="P3864">
        <v>121</v>
      </c>
      <c r="Q3864" t="s">
        <v>8073</v>
      </c>
    </row>
    <row r="3865" spans="1:17" x14ac:dyDescent="0.3">
      <c r="A3865" t="s">
        <v>4664</v>
      </c>
      <c r="B3865" t="str">
        <f>"300109"</f>
        <v>300109</v>
      </c>
      <c r="C3865" t="s">
        <v>8074</v>
      </c>
      <c r="D3865" t="s">
        <v>386</v>
      </c>
      <c r="F3865">
        <v>176.82259999999999</v>
      </c>
      <c r="G3865">
        <v>186.56559999999999</v>
      </c>
      <c r="H3865">
        <v>168.78530000000001</v>
      </c>
      <c r="I3865">
        <v>175.2664</v>
      </c>
      <c r="J3865">
        <v>175.58240000000001</v>
      </c>
      <c r="K3865">
        <v>184.96979999999999</v>
      </c>
      <c r="L3865">
        <v>238.6541</v>
      </c>
      <c r="M3865">
        <v>161.58619999999999</v>
      </c>
      <c r="N3865">
        <v>180.9239</v>
      </c>
      <c r="O3865">
        <v>163.95349999999999</v>
      </c>
      <c r="P3865">
        <v>122</v>
      </c>
      <c r="Q3865" t="s">
        <v>8075</v>
      </c>
    </row>
    <row r="3866" spans="1:17" x14ac:dyDescent="0.3">
      <c r="A3866" t="s">
        <v>4664</v>
      </c>
      <c r="B3866" t="str">
        <f>"300110"</f>
        <v>300110</v>
      </c>
      <c r="C3866" t="s">
        <v>8076</v>
      </c>
      <c r="D3866" t="s">
        <v>143</v>
      </c>
      <c r="F3866">
        <v>177.7157</v>
      </c>
      <c r="G3866">
        <v>124.4688</v>
      </c>
      <c r="H3866">
        <v>144.38749999999999</v>
      </c>
      <c r="I3866">
        <v>168.97049999999999</v>
      </c>
      <c r="J3866">
        <v>157.26509999999999</v>
      </c>
      <c r="K3866">
        <v>136.95830000000001</v>
      </c>
      <c r="L3866">
        <v>163.50389999999999</v>
      </c>
      <c r="M3866">
        <v>129.57769999999999</v>
      </c>
      <c r="N3866">
        <v>155.19630000000001</v>
      </c>
      <c r="O3866">
        <v>168.8381</v>
      </c>
      <c r="P3866">
        <v>126</v>
      </c>
      <c r="Q3866" t="s">
        <v>8077</v>
      </c>
    </row>
    <row r="3867" spans="1:17" x14ac:dyDescent="0.3">
      <c r="A3867" t="s">
        <v>4664</v>
      </c>
      <c r="B3867" t="str">
        <f>"300111"</f>
        <v>300111</v>
      </c>
      <c r="C3867" t="s">
        <v>8078</v>
      </c>
      <c r="D3867" t="s">
        <v>356</v>
      </c>
      <c r="F3867">
        <v>217.36799999999999</v>
      </c>
      <c r="G3867">
        <v>210.25899999999999</v>
      </c>
      <c r="H3867">
        <v>59.624099999999999</v>
      </c>
      <c r="I3867">
        <v>107.7062</v>
      </c>
      <c r="J3867">
        <v>162.12710000000001</v>
      </c>
      <c r="K3867">
        <v>184.1876</v>
      </c>
      <c r="L3867">
        <v>196.66810000000001</v>
      </c>
      <c r="M3867">
        <v>228.62909999999999</v>
      </c>
      <c r="N3867">
        <v>122.26690000000001</v>
      </c>
      <c r="O3867">
        <v>141.2826</v>
      </c>
      <c r="P3867">
        <v>124</v>
      </c>
      <c r="Q3867" t="s">
        <v>8079</v>
      </c>
    </row>
    <row r="3868" spans="1:17" x14ac:dyDescent="0.3">
      <c r="A3868" t="s">
        <v>4664</v>
      </c>
      <c r="B3868" t="str">
        <f>"300112"</f>
        <v>300112</v>
      </c>
      <c r="C3868" t="s">
        <v>8080</v>
      </c>
      <c r="D3868" t="s">
        <v>2551</v>
      </c>
      <c r="F3868">
        <v>213.36490000000001</v>
      </c>
      <c r="G3868">
        <v>223.1728</v>
      </c>
      <c r="H3868">
        <v>228.28039999999999</v>
      </c>
      <c r="I3868">
        <v>229.8759</v>
      </c>
      <c r="J3868">
        <v>185.56319999999999</v>
      </c>
      <c r="K3868">
        <v>231.40010000000001</v>
      </c>
      <c r="L3868">
        <v>190.72720000000001</v>
      </c>
      <c r="M3868">
        <v>166.17429999999999</v>
      </c>
      <c r="N3868">
        <v>173.5393</v>
      </c>
      <c r="O3868">
        <v>177.85839999999999</v>
      </c>
      <c r="P3868">
        <v>123</v>
      </c>
      <c r="Q3868" t="s">
        <v>8081</v>
      </c>
    </row>
    <row r="3869" spans="1:17" x14ac:dyDescent="0.3">
      <c r="A3869" t="s">
        <v>4664</v>
      </c>
      <c r="B3869" t="str">
        <f>"300113"</f>
        <v>300113</v>
      </c>
      <c r="C3869" t="s">
        <v>8082</v>
      </c>
      <c r="D3869" t="s">
        <v>517</v>
      </c>
      <c r="F3869">
        <v>14.1371</v>
      </c>
      <c r="G3869">
        <v>61.239100000000001</v>
      </c>
      <c r="H3869">
        <v>32.4039</v>
      </c>
      <c r="I3869">
        <v>23.1738</v>
      </c>
      <c r="J3869">
        <v>74.786000000000001</v>
      </c>
      <c r="K3869">
        <v>63.269100000000002</v>
      </c>
      <c r="L3869">
        <v>16.659600000000001</v>
      </c>
      <c r="M3869">
        <v>25.714400000000001</v>
      </c>
      <c r="N3869">
        <v>0.32540000000000002</v>
      </c>
      <c r="O3869">
        <v>0.20660000000000001</v>
      </c>
      <c r="P3869">
        <v>481</v>
      </c>
      <c r="Q3869" t="s">
        <v>8083</v>
      </c>
    </row>
    <row r="3870" spans="1:17" x14ac:dyDescent="0.3">
      <c r="A3870" t="s">
        <v>4664</v>
      </c>
      <c r="B3870" t="str">
        <f>"300114"</f>
        <v>300114</v>
      </c>
      <c r="C3870" t="s">
        <v>8084</v>
      </c>
      <c r="D3870" t="s">
        <v>1136</v>
      </c>
      <c r="F3870">
        <v>235.13550000000001</v>
      </c>
      <c r="G3870">
        <v>211.0069</v>
      </c>
      <c r="H3870">
        <v>177.0943</v>
      </c>
      <c r="I3870">
        <v>185.73349999999999</v>
      </c>
      <c r="J3870">
        <v>191.6994</v>
      </c>
      <c r="K3870">
        <v>223.5789</v>
      </c>
      <c r="L3870">
        <v>224.84889999999999</v>
      </c>
      <c r="M3870">
        <v>182.04320000000001</v>
      </c>
      <c r="N3870">
        <v>152.40530000000001</v>
      </c>
      <c r="O3870">
        <v>147.4136</v>
      </c>
      <c r="P3870">
        <v>258</v>
      </c>
      <c r="Q3870" t="s">
        <v>8085</v>
      </c>
    </row>
    <row r="3871" spans="1:17" x14ac:dyDescent="0.3">
      <c r="A3871" t="s">
        <v>4664</v>
      </c>
      <c r="B3871" t="str">
        <f>"300115"</f>
        <v>300115</v>
      </c>
      <c r="C3871" t="s">
        <v>8086</v>
      </c>
      <c r="D3871" t="s">
        <v>313</v>
      </c>
      <c r="F3871">
        <v>250.3486</v>
      </c>
      <c r="G3871">
        <v>200.56309999999999</v>
      </c>
      <c r="H3871">
        <v>171.84020000000001</v>
      </c>
      <c r="I3871">
        <v>179.46170000000001</v>
      </c>
      <c r="J3871">
        <v>181.07130000000001</v>
      </c>
      <c r="K3871">
        <v>144.15170000000001</v>
      </c>
      <c r="L3871">
        <v>151.85290000000001</v>
      </c>
      <c r="M3871">
        <v>199.29150000000001</v>
      </c>
      <c r="N3871">
        <v>131.2962</v>
      </c>
      <c r="O3871">
        <v>176.43719999999999</v>
      </c>
      <c r="P3871">
        <v>870</v>
      </c>
      <c r="Q3871" t="s">
        <v>8087</v>
      </c>
    </row>
    <row r="3872" spans="1:17" x14ac:dyDescent="0.3">
      <c r="A3872" t="s">
        <v>4664</v>
      </c>
      <c r="B3872" t="str">
        <f>"300116"</f>
        <v>300116</v>
      </c>
      <c r="C3872" t="s">
        <v>8088</v>
      </c>
      <c r="D3872" t="s">
        <v>359</v>
      </c>
      <c r="F3872">
        <v>341.75299999999999</v>
      </c>
      <c r="G3872">
        <v>889.75609999999995</v>
      </c>
      <c r="H3872">
        <v>1823.4844000000001</v>
      </c>
      <c r="I3872">
        <v>428.94380000000001</v>
      </c>
      <c r="J3872">
        <v>270.09539999999998</v>
      </c>
      <c r="K3872">
        <v>700.92380000000003</v>
      </c>
      <c r="L3872">
        <v>340.07709999999997</v>
      </c>
      <c r="M3872">
        <v>134.56120000000001</v>
      </c>
      <c r="N3872">
        <v>93.8827</v>
      </c>
      <c r="O3872">
        <v>84.218400000000003</v>
      </c>
      <c r="P3872">
        <v>173</v>
      </c>
      <c r="Q3872" t="s">
        <v>8089</v>
      </c>
    </row>
    <row r="3873" spans="1:17" x14ac:dyDescent="0.3">
      <c r="A3873" t="s">
        <v>4664</v>
      </c>
      <c r="B3873" t="str">
        <f>"300117"</f>
        <v>300117</v>
      </c>
      <c r="C3873" t="s">
        <v>8090</v>
      </c>
      <c r="D3873" t="s">
        <v>1986</v>
      </c>
      <c r="F3873">
        <v>416.4325</v>
      </c>
      <c r="G3873">
        <v>650.58579999999995</v>
      </c>
      <c r="H3873">
        <v>535.94539999999995</v>
      </c>
      <c r="I3873">
        <v>377.34769999999997</v>
      </c>
      <c r="J3873">
        <v>581.45489999999995</v>
      </c>
      <c r="K3873">
        <v>640.24289999999996</v>
      </c>
      <c r="L3873">
        <v>485.14780000000002</v>
      </c>
      <c r="M3873">
        <v>434.48379999999997</v>
      </c>
      <c r="N3873">
        <v>407.83179999999999</v>
      </c>
      <c r="O3873">
        <v>421.72930000000002</v>
      </c>
      <c r="P3873">
        <v>179</v>
      </c>
      <c r="Q3873" t="s">
        <v>8091</v>
      </c>
    </row>
    <row r="3874" spans="1:17" x14ac:dyDescent="0.3">
      <c r="A3874" t="s">
        <v>4664</v>
      </c>
      <c r="B3874" t="str">
        <f>"300118"</f>
        <v>300118</v>
      </c>
      <c r="C3874" t="s">
        <v>8092</v>
      </c>
      <c r="D3874" t="s">
        <v>356</v>
      </c>
      <c r="F3874">
        <v>73.6768</v>
      </c>
      <c r="G3874">
        <v>74.526300000000006</v>
      </c>
      <c r="H3874">
        <v>70.350200000000001</v>
      </c>
      <c r="I3874">
        <v>79.128</v>
      </c>
      <c r="J3874">
        <v>82.866200000000006</v>
      </c>
      <c r="K3874">
        <v>179.23859999999999</v>
      </c>
      <c r="L3874">
        <v>144.31290000000001</v>
      </c>
      <c r="M3874">
        <v>147.90029999999999</v>
      </c>
      <c r="N3874">
        <v>91.817499999999995</v>
      </c>
      <c r="O3874">
        <v>270.31939999999997</v>
      </c>
      <c r="P3874">
        <v>443</v>
      </c>
      <c r="Q3874" t="s">
        <v>8093</v>
      </c>
    </row>
    <row r="3875" spans="1:17" x14ac:dyDescent="0.3">
      <c r="A3875" t="s">
        <v>4664</v>
      </c>
      <c r="B3875" t="str">
        <f>"300119"</f>
        <v>300119</v>
      </c>
      <c r="C3875" t="s">
        <v>8094</v>
      </c>
      <c r="D3875" t="s">
        <v>453</v>
      </c>
      <c r="F3875">
        <v>179.29730000000001</v>
      </c>
      <c r="G3875">
        <v>167.96899999999999</v>
      </c>
      <c r="H3875">
        <v>180.59979999999999</v>
      </c>
      <c r="I3875">
        <v>182.7347</v>
      </c>
      <c r="J3875">
        <v>230.0693</v>
      </c>
      <c r="K3875">
        <v>212.667</v>
      </c>
      <c r="L3875">
        <v>244.5438</v>
      </c>
      <c r="M3875">
        <v>230.42060000000001</v>
      </c>
      <c r="N3875">
        <v>200.92070000000001</v>
      </c>
      <c r="O3875">
        <v>211.8622</v>
      </c>
      <c r="P3875">
        <v>388</v>
      </c>
      <c r="Q3875" t="s">
        <v>8095</v>
      </c>
    </row>
    <row r="3876" spans="1:17" x14ac:dyDescent="0.3">
      <c r="A3876" t="s">
        <v>4664</v>
      </c>
      <c r="B3876" t="str">
        <f>"300120"</f>
        <v>300120</v>
      </c>
      <c r="C3876" t="s">
        <v>8096</v>
      </c>
      <c r="D3876" t="s">
        <v>1117</v>
      </c>
      <c r="F3876">
        <v>104.3359</v>
      </c>
      <c r="G3876">
        <v>83.540300000000002</v>
      </c>
      <c r="H3876">
        <v>88.826999999999998</v>
      </c>
      <c r="I3876">
        <v>79.600899999999996</v>
      </c>
      <c r="J3876">
        <v>71.945400000000006</v>
      </c>
      <c r="K3876">
        <v>50.854900000000001</v>
      </c>
      <c r="L3876">
        <v>43.7851</v>
      </c>
      <c r="M3876">
        <v>33.031199999999998</v>
      </c>
      <c r="N3876">
        <v>36.8536</v>
      </c>
      <c r="O3876">
        <v>57.256300000000003</v>
      </c>
      <c r="P3876">
        <v>105</v>
      </c>
      <c r="Q3876" t="s">
        <v>8097</v>
      </c>
    </row>
    <row r="3877" spans="1:17" x14ac:dyDescent="0.3">
      <c r="A3877" t="s">
        <v>4664</v>
      </c>
      <c r="B3877" t="str">
        <f>"300121"</f>
        <v>300121</v>
      </c>
      <c r="C3877" t="s">
        <v>8098</v>
      </c>
      <c r="D3877" t="s">
        <v>3101</v>
      </c>
      <c r="F3877">
        <v>57.891599999999997</v>
      </c>
      <c r="G3877">
        <v>74.409400000000005</v>
      </c>
      <c r="H3877">
        <v>66.451599999999999</v>
      </c>
      <c r="I3877">
        <v>58.372</v>
      </c>
      <c r="J3877">
        <v>55.628700000000002</v>
      </c>
      <c r="K3877">
        <v>71.027199999999993</v>
      </c>
      <c r="L3877">
        <v>97.727800000000002</v>
      </c>
      <c r="M3877">
        <v>88.249799999999993</v>
      </c>
      <c r="N3877">
        <v>115.2559</v>
      </c>
      <c r="O3877">
        <v>99.899500000000003</v>
      </c>
      <c r="P3877">
        <v>353</v>
      </c>
      <c r="Q3877" t="s">
        <v>8099</v>
      </c>
    </row>
    <row r="3878" spans="1:17" x14ac:dyDescent="0.3">
      <c r="A3878" t="s">
        <v>4664</v>
      </c>
      <c r="B3878" t="str">
        <f>"300122"</f>
        <v>300122</v>
      </c>
      <c r="C3878" t="s">
        <v>8100</v>
      </c>
      <c r="D3878" t="s">
        <v>1499</v>
      </c>
      <c r="F3878">
        <v>181.53</v>
      </c>
      <c r="G3878">
        <v>175.96549999999999</v>
      </c>
      <c r="H3878">
        <v>178.3818</v>
      </c>
      <c r="I3878">
        <v>235.12520000000001</v>
      </c>
      <c r="J3878">
        <v>866.35550000000001</v>
      </c>
      <c r="K3878">
        <v>2032.8257000000001</v>
      </c>
      <c r="L3878">
        <v>353.55900000000003</v>
      </c>
      <c r="M3878">
        <v>267.73910000000001</v>
      </c>
      <c r="N3878">
        <v>293.63240000000002</v>
      </c>
      <c r="O3878">
        <v>268.48419999999999</v>
      </c>
      <c r="P3878">
        <v>3426</v>
      </c>
      <c r="Q3878" t="s">
        <v>8101</v>
      </c>
    </row>
    <row r="3879" spans="1:17" x14ac:dyDescent="0.3">
      <c r="A3879" t="s">
        <v>4664</v>
      </c>
      <c r="B3879" t="str">
        <f>"300123"</f>
        <v>300123</v>
      </c>
      <c r="C3879" t="s">
        <v>8102</v>
      </c>
      <c r="D3879" t="s">
        <v>1136</v>
      </c>
      <c r="F3879">
        <v>518.00160000000005</v>
      </c>
      <c r="G3879">
        <v>367.76979999999998</v>
      </c>
      <c r="H3879">
        <v>334.4409</v>
      </c>
      <c r="I3879">
        <v>410.72680000000003</v>
      </c>
      <c r="J3879">
        <v>678.62400000000002</v>
      </c>
      <c r="K3879">
        <v>485.0188</v>
      </c>
      <c r="L3879">
        <v>450.05509999999998</v>
      </c>
      <c r="M3879">
        <v>606.9307</v>
      </c>
      <c r="N3879">
        <v>472.03769999999997</v>
      </c>
      <c r="O3879">
        <v>434.91230000000002</v>
      </c>
      <c r="P3879">
        <v>232</v>
      </c>
      <c r="Q3879" t="s">
        <v>8103</v>
      </c>
    </row>
    <row r="3880" spans="1:17" x14ac:dyDescent="0.3">
      <c r="A3880" t="s">
        <v>4664</v>
      </c>
      <c r="B3880" t="str">
        <f>"300124"</f>
        <v>300124</v>
      </c>
      <c r="C3880" t="s">
        <v>8104</v>
      </c>
      <c r="D3880" t="s">
        <v>2423</v>
      </c>
      <c r="F3880">
        <v>133.1541</v>
      </c>
      <c r="G3880">
        <v>142.75720000000001</v>
      </c>
      <c r="H3880">
        <v>179.7165</v>
      </c>
      <c r="I3880">
        <v>212.72280000000001</v>
      </c>
      <c r="J3880">
        <v>198.05969999999999</v>
      </c>
      <c r="K3880">
        <v>192.5163</v>
      </c>
      <c r="L3880">
        <v>197.93109999999999</v>
      </c>
      <c r="M3880">
        <v>180.3184</v>
      </c>
      <c r="N3880">
        <v>143.584</v>
      </c>
      <c r="O3880">
        <v>178.29660000000001</v>
      </c>
      <c r="P3880">
        <v>2412</v>
      </c>
      <c r="Q3880" t="s">
        <v>8105</v>
      </c>
    </row>
    <row r="3881" spans="1:17" x14ac:dyDescent="0.3">
      <c r="A3881" t="s">
        <v>4664</v>
      </c>
      <c r="B3881" t="str">
        <f>"300125"</f>
        <v>300125</v>
      </c>
      <c r="C3881" t="s">
        <v>8106</v>
      </c>
      <c r="D3881" t="s">
        <v>86</v>
      </c>
      <c r="F3881">
        <v>23.3611</v>
      </c>
      <c r="G3881">
        <v>77.343299999999999</v>
      </c>
      <c r="H3881">
        <v>125.7449</v>
      </c>
      <c r="I3881">
        <v>226.0241</v>
      </c>
      <c r="J3881">
        <v>931.73109999999997</v>
      </c>
      <c r="K3881">
        <v>1377.6637000000001</v>
      </c>
      <c r="L3881">
        <v>780.06799999999998</v>
      </c>
      <c r="M3881">
        <v>650.86310000000003</v>
      </c>
      <c r="N3881">
        <v>409.14600000000002</v>
      </c>
      <c r="O3881">
        <v>287.2543</v>
      </c>
      <c r="P3881">
        <v>59</v>
      </c>
      <c r="Q3881" t="s">
        <v>8107</v>
      </c>
    </row>
    <row r="3882" spans="1:17" x14ac:dyDescent="0.3">
      <c r="A3882" t="s">
        <v>4664</v>
      </c>
      <c r="B3882" t="str">
        <f>"300126"</f>
        <v>300126</v>
      </c>
      <c r="C3882" t="s">
        <v>8108</v>
      </c>
      <c r="D3882" t="s">
        <v>560</v>
      </c>
      <c r="F3882">
        <v>138.08009999999999</v>
      </c>
      <c r="G3882">
        <v>156.15860000000001</v>
      </c>
      <c r="H3882">
        <v>149.8417</v>
      </c>
      <c r="I3882">
        <v>126.1568</v>
      </c>
      <c r="J3882">
        <v>173.61099999999999</v>
      </c>
      <c r="K3882">
        <v>154.7062</v>
      </c>
      <c r="L3882">
        <v>131.03790000000001</v>
      </c>
      <c r="M3882">
        <v>99.602900000000005</v>
      </c>
      <c r="N3882">
        <v>116.9787</v>
      </c>
      <c r="O3882">
        <v>110.754</v>
      </c>
      <c r="P3882">
        <v>50</v>
      </c>
      <c r="Q3882" t="s">
        <v>8109</v>
      </c>
    </row>
    <row r="3883" spans="1:17" x14ac:dyDescent="0.3">
      <c r="A3883" t="s">
        <v>4664</v>
      </c>
      <c r="B3883" t="str">
        <f>"300127"</f>
        <v>300127</v>
      </c>
      <c r="C3883" t="s">
        <v>8110</v>
      </c>
      <c r="D3883" t="s">
        <v>808</v>
      </c>
      <c r="F3883">
        <v>122.4091</v>
      </c>
      <c r="G3883">
        <v>176.1848</v>
      </c>
      <c r="H3883">
        <v>164.14189999999999</v>
      </c>
      <c r="I3883">
        <v>144.28809999999999</v>
      </c>
      <c r="J3883">
        <v>184.82849999999999</v>
      </c>
      <c r="K3883">
        <v>188.73050000000001</v>
      </c>
      <c r="L3883">
        <v>169.1575</v>
      </c>
      <c r="M3883">
        <v>161.07579999999999</v>
      </c>
      <c r="N3883">
        <v>158.07480000000001</v>
      </c>
      <c r="O3883">
        <v>67.778400000000005</v>
      </c>
      <c r="P3883">
        <v>205</v>
      </c>
      <c r="Q3883" t="s">
        <v>8111</v>
      </c>
    </row>
    <row r="3884" spans="1:17" x14ac:dyDescent="0.3">
      <c r="A3884" t="s">
        <v>4664</v>
      </c>
      <c r="B3884" t="str">
        <f>"300128"</f>
        <v>300128</v>
      </c>
      <c r="C3884" t="s">
        <v>8112</v>
      </c>
      <c r="D3884" t="s">
        <v>1117</v>
      </c>
      <c r="F3884">
        <v>116.07689999999999</v>
      </c>
      <c r="G3884">
        <v>91.510800000000003</v>
      </c>
      <c r="H3884">
        <v>85.803799999999995</v>
      </c>
      <c r="I3884">
        <v>85.1999</v>
      </c>
      <c r="J3884">
        <v>78.290499999999994</v>
      </c>
      <c r="K3884">
        <v>65.343800000000002</v>
      </c>
      <c r="L3884">
        <v>51.260599999999997</v>
      </c>
      <c r="M3884">
        <v>62.5839</v>
      </c>
      <c r="N3884">
        <v>82.848200000000006</v>
      </c>
      <c r="O3884">
        <v>69.4709</v>
      </c>
      <c r="P3884">
        <v>145</v>
      </c>
      <c r="Q3884" t="s">
        <v>8113</v>
      </c>
    </row>
    <row r="3885" spans="1:17" x14ac:dyDescent="0.3">
      <c r="A3885" t="s">
        <v>4664</v>
      </c>
      <c r="B3885" t="str">
        <f>"300129"</f>
        <v>300129</v>
      </c>
      <c r="C3885" t="s">
        <v>8114</v>
      </c>
      <c r="D3885" t="s">
        <v>950</v>
      </c>
      <c r="F3885">
        <v>245.8312</v>
      </c>
      <c r="G3885">
        <v>254.4982</v>
      </c>
      <c r="H3885">
        <v>257.6474</v>
      </c>
      <c r="I3885">
        <v>397.41840000000002</v>
      </c>
      <c r="J3885">
        <v>178.27860000000001</v>
      </c>
      <c r="K3885">
        <v>417.27800000000002</v>
      </c>
      <c r="L3885">
        <v>308.40030000000002</v>
      </c>
      <c r="M3885">
        <v>235.3339</v>
      </c>
      <c r="N3885">
        <v>262.4119</v>
      </c>
      <c r="O3885">
        <v>310.51159999999999</v>
      </c>
      <c r="P3885">
        <v>183</v>
      </c>
      <c r="Q3885" t="s">
        <v>8115</v>
      </c>
    </row>
    <row r="3886" spans="1:17" x14ac:dyDescent="0.3">
      <c r="A3886" t="s">
        <v>4664</v>
      </c>
      <c r="B3886" t="str">
        <f>"300130"</f>
        <v>300130</v>
      </c>
      <c r="C3886" t="s">
        <v>8116</v>
      </c>
      <c r="D3886" t="s">
        <v>236</v>
      </c>
      <c r="F3886">
        <v>43.176400000000001</v>
      </c>
      <c r="G3886">
        <v>54.841500000000003</v>
      </c>
      <c r="H3886">
        <v>51.994999999999997</v>
      </c>
      <c r="I3886">
        <v>95.6768</v>
      </c>
      <c r="J3886">
        <v>164.96129999999999</v>
      </c>
      <c r="K3886">
        <v>182.98679999999999</v>
      </c>
      <c r="L3886">
        <v>164.5505</v>
      </c>
      <c r="M3886">
        <v>200.75550000000001</v>
      </c>
      <c r="N3886">
        <v>294.81290000000001</v>
      </c>
      <c r="O3886">
        <v>303.97410000000002</v>
      </c>
      <c r="P3886">
        <v>202</v>
      </c>
      <c r="Q3886" t="s">
        <v>8117</v>
      </c>
    </row>
    <row r="3887" spans="1:17" x14ac:dyDescent="0.3">
      <c r="A3887" t="s">
        <v>4664</v>
      </c>
      <c r="B3887" t="str">
        <f>"300131"</f>
        <v>300131</v>
      </c>
      <c r="C3887" t="s">
        <v>8118</v>
      </c>
      <c r="D3887" t="s">
        <v>313</v>
      </c>
      <c r="F3887">
        <v>65.952200000000005</v>
      </c>
      <c r="G3887">
        <v>27.691199999999998</v>
      </c>
      <c r="H3887">
        <v>35.480200000000004</v>
      </c>
      <c r="I3887">
        <v>41.943199999999997</v>
      </c>
      <c r="J3887">
        <v>57.22</v>
      </c>
      <c r="K3887">
        <v>65.497900000000001</v>
      </c>
      <c r="L3887">
        <v>140.4255</v>
      </c>
      <c r="M3887">
        <v>215.8485</v>
      </c>
      <c r="N3887">
        <v>147.05670000000001</v>
      </c>
      <c r="O3887">
        <v>119.59520000000001</v>
      </c>
      <c r="P3887">
        <v>207</v>
      </c>
      <c r="Q3887" t="s">
        <v>8119</v>
      </c>
    </row>
    <row r="3888" spans="1:17" x14ac:dyDescent="0.3">
      <c r="A3888" t="s">
        <v>4664</v>
      </c>
      <c r="B3888" t="str">
        <f>"300132"</f>
        <v>300132</v>
      </c>
      <c r="C3888" t="s">
        <v>8120</v>
      </c>
      <c r="D3888" t="s">
        <v>5892</v>
      </c>
      <c r="F3888">
        <v>155.69309999999999</v>
      </c>
      <c r="G3888">
        <v>141.3708</v>
      </c>
      <c r="H3888">
        <v>188.33690000000001</v>
      </c>
      <c r="I3888">
        <v>208.38030000000001</v>
      </c>
      <c r="J3888">
        <v>162.3638</v>
      </c>
      <c r="K3888">
        <v>165.07509999999999</v>
      </c>
      <c r="L3888">
        <v>321.45859999999999</v>
      </c>
      <c r="M3888">
        <v>318.68369999999999</v>
      </c>
      <c r="N3888">
        <v>367.10750000000002</v>
      </c>
      <c r="O3888">
        <v>280.05290000000002</v>
      </c>
      <c r="P3888">
        <v>399</v>
      </c>
      <c r="Q3888" t="s">
        <v>8121</v>
      </c>
    </row>
    <row r="3889" spans="1:17" x14ac:dyDescent="0.3">
      <c r="A3889" t="s">
        <v>4664</v>
      </c>
      <c r="B3889" t="str">
        <f>"300133"</f>
        <v>300133</v>
      </c>
      <c r="C3889" t="s">
        <v>8122</v>
      </c>
      <c r="D3889" t="s">
        <v>113</v>
      </c>
      <c r="F3889">
        <v>399.7876</v>
      </c>
      <c r="G3889">
        <v>600.54819999999995</v>
      </c>
      <c r="H3889">
        <v>967.30970000000002</v>
      </c>
      <c r="I3889">
        <v>382.81549999999999</v>
      </c>
      <c r="J3889">
        <v>544.42200000000003</v>
      </c>
      <c r="K3889">
        <v>407.7518</v>
      </c>
      <c r="L3889">
        <v>512.92629999999997</v>
      </c>
      <c r="M3889">
        <v>393.88470000000001</v>
      </c>
      <c r="N3889">
        <v>324.72649999999999</v>
      </c>
      <c r="O3889">
        <v>386.45330000000001</v>
      </c>
      <c r="P3889">
        <v>349</v>
      </c>
      <c r="Q3889" t="s">
        <v>8123</v>
      </c>
    </row>
    <row r="3890" spans="1:17" x14ac:dyDescent="0.3">
      <c r="A3890" t="s">
        <v>4664</v>
      </c>
      <c r="B3890" t="str">
        <f>"300134"</f>
        <v>300134</v>
      </c>
      <c r="C3890" t="s">
        <v>8124</v>
      </c>
      <c r="D3890" t="s">
        <v>1019</v>
      </c>
      <c r="F3890">
        <v>123.75920000000001</v>
      </c>
      <c r="G3890">
        <v>128.7944</v>
      </c>
      <c r="H3890">
        <v>129.96559999999999</v>
      </c>
      <c r="I3890">
        <v>142.48660000000001</v>
      </c>
      <c r="J3890">
        <v>130.18809999999999</v>
      </c>
      <c r="K3890">
        <v>115.6434</v>
      </c>
      <c r="L3890">
        <v>110.70050000000001</v>
      </c>
      <c r="M3890">
        <v>81.916899999999998</v>
      </c>
      <c r="N3890">
        <v>110.81699999999999</v>
      </c>
      <c r="O3890">
        <v>135.55600000000001</v>
      </c>
      <c r="P3890">
        <v>342</v>
      </c>
      <c r="Q3890" t="s">
        <v>8125</v>
      </c>
    </row>
    <row r="3891" spans="1:17" x14ac:dyDescent="0.3">
      <c r="A3891" t="s">
        <v>4664</v>
      </c>
      <c r="B3891" t="str">
        <f>"300135"</f>
        <v>300135</v>
      </c>
      <c r="C3891" t="s">
        <v>8126</v>
      </c>
      <c r="D3891" t="s">
        <v>1615</v>
      </c>
      <c r="F3891">
        <v>68.123199999999997</v>
      </c>
      <c r="G3891">
        <v>59.380400000000002</v>
      </c>
      <c r="H3891">
        <v>64.232600000000005</v>
      </c>
      <c r="I3891">
        <v>89.637500000000003</v>
      </c>
      <c r="J3891">
        <v>84.921599999999998</v>
      </c>
      <c r="K3891">
        <v>56.011200000000002</v>
      </c>
      <c r="L3891">
        <v>40.505600000000001</v>
      </c>
      <c r="M3891">
        <v>59.872100000000003</v>
      </c>
      <c r="N3891">
        <v>92.358099999999993</v>
      </c>
      <c r="O3891">
        <v>51.056800000000003</v>
      </c>
      <c r="P3891">
        <v>49</v>
      </c>
      <c r="Q3891" t="s">
        <v>8127</v>
      </c>
    </row>
    <row r="3892" spans="1:17" x14ac:dyDescent="0.3">
      <c r="A3892" t="s">
        <v>4664</v>
      </c>
      <c r="B3892" t="str">
        <f>"300136"</f>
        <v>300136</v>
      </c>
      <c r="C3892" t="s">
        <v>8128</v>
      </c>
      <c r="D3892" t="s">
        <v>313</v>
      </c>
      <c r="F3892">
        <v>196.4879</v>
      </c>
      <c r="G3892">
        <v>95.815299999999993</v>
      </c>
      <c r="H3892">
        <v>99.205799999999996</v>
      </c>
      <c r="I3892">
        <v>76.273799999999994</v>
      </c>
      <c r="J3892">
        <v>53.3626</v>
      </c>
      <c r="K3892">
        <v>55.7958</v>
      </c>
      <c r="L3892">
        <v>66.650099999999995</v>
      </c>
      <c r="M3892">
        <v>50.497700000000002</v>
      </c>
      <c r="N3892">
        <v>79.429500000000004</v>
      </c>
      <c r="O3892">
        <v>85.173100000000005</v>
      </c>
      <c r="P3892">
        <v>2618</v>
      </c>
      <c r="Q3892" t="s">
        <v>8129</v>
      </c>
    </row>
    <row r="3893" spans="1:17" x14ac:dyDescent="0.3">
      <c r="A3893" t="s">
        <v>4664</v>
      </c>
      <c r="B3893" t="str">
        <f>"300137"</f>
        <v>300137</v>
      </c>
      <c r="C3893" t="s">
        <v>8130</v>
      </c>
      <c r="D3893" t="s">
        <v>1070</v>
      </c>
      <c r="F3893">
        <v>316.72250000000003</v>
      </c>
      <c r="G3893">
        <v>420.85829999999999</v>
      </c>
      <c r="H3893">
        <v>345.99590000000001</v>
      </c>
      <c r="I3893">
        <v>472.13040000000001</v>
      </c>
      <c r="J3893">
        <v>395.80349999999999</v>
      </c>
      <c r="K3893">
        <v>416.6454</v>
      </c>
      <c r="L3893">
        <v>412.512</v>
      </c>
      <c r="M3893">
        <v>443.25900000000001</v>
      </c>
      <c r="N3893">
        <v>383.81049999999999</v>
      </c>
      <c r="O3893">
        <v>345.12150000000003</v>
      </c>
      <c r="P3893">
        <v>253</v>
      </c>
      <c r="Q3893" t="s">
        <v>8131</v>
      </c>
    </row>
    <row r="3894" spans="1:17" x14ac:dyDescent="0.3">
      <c r="A3894" t="s">
        <v>4664</v>
      </c>
      <c r="B3894" t="str">
        <f>"300138"</f>
        <v>300138</v>
      </c>
      <c r="C3894" t="s">
        <v>8132</v>
      </c>
      <c r="D3894" t="s">
        <v>445</v>
      </c>
      <c r="F3894">
        <v>178.0737</v>
      </c>
      <c r="G3894">
        <v>247.0986</v>
      </c>
      <c r="H3894">
        <v>239.18190000000001</v>
      </c>
      <c r="I3894">
        <v>253.68600000000001</v>
      </c>
      <c r="J3894">
        <v>170.7543</v>
      </c>
      <c r="K3894">
        <v>180.58539999999999</v>
      </c>
      <c r="L3894">
        <v>222.6157</v>
      </c>
      <c r="M3894">
        <v>242.8031</v>
      </c>
      <c r="N3894">
        <v>296.92039999999997</v>
      </c>
      <c r="O3894">
        <v>278.79000000000002</v>
      </c>
      <c r="P3894">
        <v>264</v>
      </c>
      <c r="Q3894" t="s">
        <v>8133</v>
      </c>
    </row>
    <row r="3895" spans="1:17" x14ac:dyDescent="0.3">
      <c r="A3895" t="s">
        <v>4664</v>
      </c>
      <c r="B3895" t="str">
        <f>"300139"</f>
        <v>300139</v>
      </c>
      <c r="C3895" t="s">
        <v>8134</v>
      </c>
      <c r="D3895" t="s">
        <v>86</v>
      </c>
      <c r="F3895">
        <v>327.4871</v>
      </c>
      <c r="G3895">
        <v>703.76440000000002</v>
      </c>
      <c r="H3895">
        <v>1268.6335999999999</v>
      </c>
      <c r="I3895">
        <v>545.17470000000003</v>
      </c>
      <c r="J3895">
        <v>498.16669999999999</v>
      </c>
      <c r="K3895">
        <v>614.72310000000004</v>
      </c>
      <c r="L3895">
        <v>1222.2764</v>
      </c>
      <c r="M3895">
        <v>1205.2149999999999</v>
      </c>
      <c r="N3895">
        <v>1356.6021000000001</v>
      </c>
      <c r="O3895">
        <v>748.03430000000003</v>
      </c>
      <c r="P3895">
        <v>147</v>
      </c>
      <c r="Q3895" t="s">
        <v>8135</v>
      </c>
    </row>
    <row r="3896" spans="1:17" x14ac:dyDescent="0.3">
      <c r="A3896" t="s">
        <v>4664</v>
      </c>
      <c r="B3896" t="str">
        <f>"300140"</f>
        <v>300140</v>
      </c>
      <c r="C3896" t="s">
        <v>8136</v>
      </c>
      <c r="D3896" t="s">
        <v>1070</v>
      </c>
      <c r="F3896">
        <v>259.6678</v>
      </c>
      <c r="G3896">
        <v>258.2955</v>
      </c>
      <c r="H3896">
        <v>332.80869999999999</v>
      </c>
      <c r="I3896">
        <v>525.22969999999998</v>
      </c>
      <c r="J3896">
        <v>429.33030000000002</v>
      </c>
      <c r="K3896">
        <v>259.78280000000001</v>
      </c>
      <c r="L3896">
        <v>263.45929999999998</v>
      </c>
      <c r="M3896">
        <v>242.30549999999999</v>
      </c>
      <c r="N3896">
        <v>242.07859999999999</v>
      </c>
      <c r="O3896">
        <v>285.35169999999999</v>
      </c>
      <c r="P3896">
        <v>103</v>
      </c>
      <c r="Q3896" t="s">
        <v>8137</v>
      </c>
    </row>
    <row r="3897" spans="1:17" x14ac:dyDescent="0.3">
      <c r="A3897" t="s">
        <v>4664</v>
      </c>
      <c r="B3897" t="str">
        <f>"300141"</f>
        <v>300141</v>
      </c>
      <c r="C3897" t="s">
        <v>8138</v>
      </c>
      <c r="D3897" t="s">
        <v>657</v>
      </c>
      <c r="F3897">
        <v>112.35299999999999</v>
      </c>
      <c r="G3897">
        <v>723.23069999999996</v>
      </c>
      <c r="H3897">
        <v>419.53219999999999</v>
      </c>
      <c r="I3897">
        <v>172.04130000000001</v>
      </c>
      <c r="J3897">
        <v>156.08359999999999</v>
      </c>
      <c r="K3897">
        <v>145.22309999999999</v>
      </c>
      <c r="L3897">
        <v>130.3492</v>
      </c>
      <c r="M3897">
        <v>155.31960000000001</v>
      </c>
      <c r="N3897">
        <v>252.61529999999999</v>
      </c>
      <c r="O3897">
        <v>301.01830000000001</v>
      </c>
      <c r="P3897">
        <v>91</v>
      </c>
      <c r="Q3897" t="s">
        <v>8139</v>
      </c>
    </row>
    <row r="3898" spans="1:17" x14ac:dyDescent="0.3">
      <c r="A3898" t="s">
        <v>4664</v>
      </c>
      <c r="B3898" t="str">
        <f>"300142"</f>
        <v>300142</v>
      </c>
      <c r="C3898" t="s">
        <v>8140</v>
      </c>
      <c r="D3898" t="s">
        <v>1499</v>
      </c>
      <c r="F3898">
        <v>867.29179999999997</v>
      </c>
      <c r="G3898">
        <v>635.16570000000002</v>
      </c>
      <c r="H3898">
        <v>587.7097</v>
      </c>
      <c r="I3898">
        <v>720.36389999999994</v>
      </c>
      <c r="J3898">
        <v>431.75110000000001</v>
      </c>
      <c r="K3898">
        <v>236.59</v>
      </c>
      <c r="L3898">
        <v>138.59630000000001</v>
      </c>
      <c r="M3898">
        <v>420.23610000000002</v>
      </c>
      <c r="N3898">
        <v>1099.9715000000001</v>
      </c>
      <c r="O3898">
        <v>538.7713</v>
      </c>
      <c r="P3898">
        <v>1230</v>
      </c>
      <c r="Q3898" t="s">
        <v>8141</v>
      </c>
    </row>
    <row r="3899" spans="1:17" x14ac:dyDescent="0.3">
      <c r="A3899" t="s">
        <v>4664</v>
      </c>
      <c r="B3899" t="str">
        <f>"300143"</f>
        <v>300143</v>
      </c>
      <c r="C3899" t="s">
        <v>8142</v>
      </c>
      <c r="D3899" t="s">
        <v>1147</v>
      </c>
      <c r="F3899">
        <v>24.507200000000001</v>
      </c>
      <c r="G3899">
        <v>33.569200000000002</v>
      </c>
      <c r="H3899">
        <v>50.837800000000001</v>
      </c>
      <c r="I3899">
        <v>63.8324</v>
      </c>
      <c r="J3899">
        <v>154.79400000000001</v>
      </c>
      <c r="K3899">
        <v>76.265799999999999</v>
      </c>
      <c r="L3899">
        <v>76.258899999999997</v>
      </c>
      <c r="M3899">
        <v>64.629499999999993</v>
      </c>
      <c r="N3899">
        <v>78.785499999999999</v>
      </c>
      <c r="O3899">
        <v>80.605599999999995</v>
      </c>
      <c r="P3899">
        <v>150</v>
      </c>
      <c r="Q3899" t="s">
        <v>8143</v>
      </c>
    </row>
    <row r="3900" spans="1:17" x14ac:dyDescent="0.3">
      <c r="A3900" t="s">
        <v>4664</v>
      </c>
      <c r="B3900" t="str">
        <f>"300144"</f>
        <v>300144</v>
      </c>
      <c r="C3900" t="s">
        <v>8144</v>
      </c>
      <c r="D3900" t="s">
        <v>333</v>
      </c>
      <c r="F3900">
        <v>12.1035</v>
      </c>
      <c r="G3900">
        <v>19.717600000000001</v>
      </c>
      <c r="H3900">
        <v>2.3931</v>
      </c>
      <c r="I3900">
        <v>1.7949999999999999</v>
      </c>
      <c r="J3900">
        <v>2.3033000000000001</v>
      </c>
      <c r="K3900">
        <v>10.910600000000001</v>
      </c>
      <c r="L3900">
        <v>5.6767000000000003</v>
      </c>
      <c r="M3900">
        <v>2.5992000000000002</v>
      </c>
      <c r="N3900">
        <v>3.2347000000000001</v>
      </c>
      <c r="O3900">
        <v>3.2845</v>
      </c>
      <c r="P3900">
        <v>3022</v>
      </c>
      <c r="Q3900" t="s">
        <v>8145</v>
      </c>
    </row>
    <row r="3901" spans="1:17" x14ac:dyDescent="0.3">
      <c r="A3901" t="s">
        <v>4664</v>
      </c>
      <c r="B3901" t="str">
        <f>"300145"</f>
        <v>300145</v>
      </c>
      <c r="C3901" t="s">
        <v>8146</v>
      </c>
      <c r="D3901" t="s">
        <v>560</v>
      </c>
      <c r="F3901">
        <v>149.31800000000001</v>
      </c>
      <c r="G3901">
        <v>164.65360000000001</v>
      </c>
      <c r="H3901">
        <v>141.80070000000001</v>
      </c>
      <c r="I3901">
        <v>118.7929</v>
      </c>
      <c r="J3901">
        <v>159.9922</v>
      </c>
      <c r="K3901">
        <v>166.90299999999999</v>
      </c>
      <c r="L3901">
        <v>191.5719</v>
      </c>
      <c r="M3901">
        <v>173.71080000000001</v>
      </c>
      <c r="N3901">
        <v>154.40430000000001</v>
      </c>
      <c r="O3901">
        <v>138.68799999999999</v>
      </c>
      <c r="P3901">
        <v>281</v>
      </c>
      <c r="Q3901" t="s">
        <v>8147</v>
      </c>
    </row>
    <row r="3902" spans="1:17" x14ac:dyDescent="0.3">
      <c r="A3902" t="s">
        <v>4664</v>
      </c>
      <c r="B3902" t="str">
        <f>"300146"</f>
        <v>300146</v>
      </c>
      <c r="C3902" t="s">
        <v>8148</v>
      </c>
      <c r="D3902" t="s">
        <v>838</v>
      </c>
      <c r="F3902">
        <v>137.5232</v>
      </c>
      <c r="G3902">
        <v>145.7466</v>
      </c>
      <c r="H3902">
        <v>152.55600000000001</v>
      </c>
      <c r="I3902">
        <v>164.35210000000001</v>
      </c>
      <c r="J3902">
        <v>147.1148</v>
      </c>
      <c r="K3902">
        <v>144.37020000000001</v>
      </c>
      <c r="L3902">
        <v>159.51390000000001</v>
      </c>
      <c r="M3902">
        <v>160.27860000000001</v>
      </c>
      <c r="N3902">
        <v>181.87989999999999</v>
      </c>
      <c r="O3902">
        <v>160.7912</v>
      </c>
      <c r="P3902">
        <v>2832</v>
      </c>
      <c r="Q3902" t="s">
        <v>8149</v>
      </c>
    </row>
    <row r="3903" spans="1:17" x14ac:dyDescent="0.3">
      <c r="A3903" t="s">
        <v>4664</v>
      </c>
      <c r="B3903" t="str">
        <f>"300147"</f>
        <v>300147</v>
      </c>
      <c r="C3903" t="s">
        <v>8150</v>
      </c>
      <c r="D3903" t="s">
        <v>188</v>
      </c>
      <c r="F3903">
        <v>189.07480000000001</v>
      </c>
      <c r="G3903">
        <v>193.00640000000001</v>
      </c>
      <c r="H3903">
        <v>166.48429999999999</v>
      </c>
      <c r="I3903">
        <v>157.92250000000001</v>
      </c>
      <c r="J3903">
        <v>162.51429999999999</v>
      </c>
      <c r="K3903">
        <v>172.42779999999999</v>
      </c>
      <c r="L3903">
        <v>176.83199999999999</v>
      </c>
      <c r="M3903">
        <v>123.2527</v>
      </c>
      <c r="N3903">
        <v>137.37729999999999</v>
      </c>
      <c r="O3903">
        <v>128.11709999999999</v>
      </c>
      <c r="P3903">
        <v>166</v>
      </c>
      <c r="Q3903" t="s">
        <v>8151</v>
      </c>
    </row>
    <row r="3904" spans="1:17" x14ac:dyDescent="0.3">
      <c r="A3904" t="s">
        <v>4664</v>
      </c>
      <c r="B3904" t="str">
        <f>"300148"</f>
        <v>300148</v>
      </c>
      <c r="C3904" t="s">
        <v>8152</v>
      </c>
      <c r="D3904" t="s">
        <v>517</v>
      </c>
      <c r="F3904">
        <v>42.8249</v>
      </c>
      <c r="G3904">
        <v>51.067900000000002</v>
      </c>
      <c r="H3904">
        <v>45.194800000000001</v>
      </c>
      <c r="I3904">
        <v>39.932000000000002</v>
      </c>
      <c r="J3904">
        <v>53.887300000000003</v>
      </c>
      <c r="K3904">
        <v>63.585799999999999</v>
      </c>
      <c r="L3904">
        <v>122.5082</v>
      </c>
      <c r="M3904">
        <v>130.15029999999999</v>
      </c>
      <c r="N3904">
        <v>230.14660000000001</v>
      </c>
      <c r="O3904">
        <v>125.7243</v>
      </c>
      <c r="P3904">
        <v>99</v>
      </c>
      <c r="Q3904" t="s">
        <v>8153</v>
      </c>
    </row>
    <row r="3905" spans="1:17" x14ac:dyDescent="0.3">
      <c r="A3905" t="s">
        <v>4664</v>
      </c>
      <c r="B3905" t="str">
        <f>"300149"</f>
        <v>300149</v>
      </c>
      <c r="C3905" t="s">
        <v>8154</v>
      </c>
      <c r="D3905" t="s">
        <v>1461</v>
      </c>
      <c r="F3905">
        <v>24.656700000000001</v>
      </c>
      <c r="G3905">
        <v>32.674900000000001</v>
      </c>
      <c r="H3905">
        <v>39.451099999999997</v>
      </c>
      <c r="I3905">
        <v>49.655799999999999</v>
      </c>
      <c r="J3905">
        <v>83.843199999999996</v>
      </c>
      <c r="K3905">
        <v>96.678299999999993</v>
      </c>
      <c r="L3905">
        <v>71.400700000000001</v>
      </c>
      <c r="M3905">
        <v>92.463800000000006</v>
      </c>
      <c r="N3905">
        <v>90.516300000000001</v>
      </c>
      <c r="O3905">
        <v>102.3931</v>
      </c>
      <c r="P3905">
        <v>193</v>
      </c>
      <c r="Q3905" t="s">
        <v>8155</v>
      </c>
    </row>
    <row r="3906" spans="1:17" x14ac:dyDescent="0.3">
      <c r="A3906" t="s">
        <v>4664</v>
      </c>
      <c r="B3906" t="str">
        <f>"300150"</f>
        <v>300150</v>
      </c>
      <c r="C3906" t="s">
        <v>8156</v>
      </c>
      <c r="D3906" t="s">
        <v>316</v>
      </c>
      <c r="F3906">
        <v>403.44110000000001</v>
      </c>
      <c r="G3906">
        <v>372.59879999999998</v>
      </c>
      <c r="H3906">
        <v>361.51650000000001</v>
      </c>
      <c r="I3906">
        <v>426.28680000000003</v>
      </c>
      <c r="J3906">
        <v>424.77659999999997</v>
      </c>
      <c r="K3906">
        <v>518.0675</v>
      </c>
      <c r="L3906">
        <v>400.41469999999998</v>
      </c>
      <c r="M3906">
        <v>358.65030000000002</v>
      </c>
      <c r="N3906">
        <v>436.29599999999999</v>
      </c>
      <c r="O3906">
        <v>242.14279999999999</v>
      </c>
      <c r="P3906">
        <v>121</v>
      </c>
      <c r="Q3906" t="s">
        <v>8157</v>
      </c>
    </row>
    <row r="3907" spans="1:17" x14ac:dyDescent="0.3">
      <c r="A3907" t="s">
        <v>4664</v>
      </c>
      <c r="B3907" t="str">
        <f>"300151"</f>
        <v>300151</v>
      </c>
      <c r="C3907" t="s">
        <v>8158</v>
      </c>
      <c r="D3907" t="s">
        <v>741</v>
      </c>
      <c r="F3907">
        <v>98.568700000000007</v>
      </c>
      <c r="G3907">
        <v>96.409700000000001</v>
      </c>
      <c r="H3907">
        <v>95.810100000000006</v>
      </c>
      <c r="I3907">
        <v>96.5535</v>
      </c>
      <c r="J3907">
        <v>109.5984</v>
      </c>
      <c r="K3907">
        <v>101.1673</v>
      </c>
      <c r="L3907">
        <v>74.348699999999994</v>
      </c>
      <c r="M3907">
        <v>65.340199999999996</v>
      </c>
      <c r="N3907">
        <v>56.023899999999998</v>
      </c>
      <c r="O3907">
        <v>73.945300000000003</v>
      </c>
      <c r="P3907">
        <v>155</v>
      </c>
      <c r="Q3907" t="s">
        <v>8159</v>
      </c>
    </row>
    <row r="3908" spans="1:17" x14ac:dyDescent="0.3">
      <c r="A3908" t="s">
        <v>4664</v>
      </c>
      <c r="B3908" t="str">
        <f>"300152"</f>
        <v>300152</v>
      </c>
      <c r="C3908" t="s">
        <v>8160</v>
      </c>
      <c r="D3908" t="s">
        <v>3548</v>
      </c>
      <c r="F3908">
        <v>417.90260000000001</v>
      </c>
      <c r="G3908">
        <v>168.80289999999999</v>
      </c>
      <c r="H3908">
        <v>136.0591</v>
      </c>
      <c r="I3908">
        <v>333.40320000000003</v>
      </c>
      <c r="J3908">
        <v>359.70819999999998</v>
      </c>
      <c r="K3908">
        <v>389.11250000000001</v>
      </c>
      <c r="L3908">
        <v>246.62200000000001</v>
      </c>
      <c r="M3908">
        <v>151.3211</v>
      </c>
      <c r="N3908">
        <v>118.01049999999999</v>
      </c>
      <c r="O3908">
        <v>161.2611</v>
      </c>
      <c r="P3908">
        <v>92</v>
      </c>
      <c r="Q3908" t="s">
        <v>8161</v>
      </c>
    </row>
    <row r="3909" spans="1:17" x14ac:dyDescent="0.3">
      <c r="A3909" t="s">
        <v>4664</v>
      </c>
      <c r="B3909" t="str">
        <f>"300153"</f>
        <v>300153</v>
      </c>
      <c r="C3909" t="s">
        <v>8162</v>
      </c>
      <c r="D3909" t="s">
        <v>880</v>
      </c>
      <c r="F3909">
        <v>168.79470000000001</v>
      </c>
      <c r="G3909">
        <v>154.91730000000001</v>
      </c>
      <c r="H3909">
        <v>112.1591</v>
      </c>
      <c r="I3909">
        <v>133.2159</v>
      </c>
      <c r="J3909">
        <v>156.66630000000001</v>
      </c>
      <c r="K3909">
        <v>251.29329999999999</v>
      </c>
      <c r="L3909">
        <v>226.14760000000001</v>
      </c>
      <c r="M3909">
        <v>175.3845</v>
      </c>
      <c r="N3909">
        <v>205.06469999999999</v>
      </c>
      <c r="O3909">
        <v>311.08539999999999</v>
      </c>
      <c r="P3909">
        <v>108</v>
      </c>
      <c r="Q3909" t="s">
        <v>8163</v>
      </c>
    </row>
    <row r="3910" spans="1:17" x14ac:dyDescent="0.3">
      <c r="A3910" t="s">
        <v>4664</v>
      </c>
      <c r="B3910" t="str">
        <f>"300154"</f>
        <v>300154</v>
      </c>
      <c r="C3910" t="s">
        <v>8164</v>
      </c>
      <c r="D3910" t="s">
        <v>560</v>
      </c>
      <c r="F3910">
        <v>106.639</v>
      </c>
      <c r="G3910">
        <v>126.0859</v>
      </c>
      <c r="H3910">
        <v>154.6482</v>
      </c>
      <c r="I3910">
        <v>145.58359999999999</v>
      </c>
      <c r="J3910">
        <v>140.85079999999999</v>
      </c>
      <c r="K3910">
        <v>189.3126</v>
      </c>
      <c r="L3910">
        <v>223.08699999999999</v>
      </c>
      <c r="M3910">
        <v>180.32069999999999</v>
      </c>
      <c r="N3910">
        <v>178.4563</v>
      </c>
      <c r="O3910">
        <v>182.67490000000001</v>
      </c>
      <c r="P3910">
        <v>82</v>
      </c>
      <c r="Q3910" t="s">
        <v>8165</v>
      </c>
    </row>
    <row r="3911" spans="1:17" x14ac:dyDescent="0.3">
      <c r="A3911" t="s">
        <v>4664</v>
      </c>
      <c r="B3911" t="str">
        <f>"300155"</f>
        <v>300155</v>
      </c>
      <c r="C3911" t="s">
        <v>8166</v>
      </c>
      <c r="D3911" t="s">
        <v>2953</v>
      </c>
      <c r="F3911">
        <v>235.982</v>
      </c>
      <c r="G3911">
        <v>266.71420000000001</v>
      </c>
      <c r="H3911">
        <v>247.9522</v>
      </c>
      <c r="I3911">
        <v>282.51459999999997</v>
      </c>
      <c r="J3911">
        <v>243.55160000000001</v>
      </c>
      <c r="K3911">
        <v>253.1249</v>
      </c>
      <c r="L3911">
        <v>222.2739</v>
      </c>
      <c r="M3911">
        <v>215.62289999999999</v>
      </c>
      <c r="N3911">
        <v>273.60059999999999</v>
      </c>
      <c r="O3911">
        <v>264.09780000000001</v>
      </c>
      <c r="P3911">
        <v>68</v>
      </c>
      <c r="Q3911" t="s">
        <v>8167</v>
      </c>
    </row>
    <row r="3912" spans="1:17" x14ac:dyDescent="0.3">
      <c r="A3912" t="s">
        <v>4664</v>
      </c>
      <c r="B3912" t="str">
        <f>"300156"</f>
        <v>300156</v>
      </c>
      <c r="C3912" t="s">
        <v>8168</v>
      </c>
      <c r="H3912">
        <v>38572.459799999997</v>
      </c>
      <c r="I3912">
        <v>11188.2734</v>
      </c>
      <c r="J3912">
        <v>287.45150000000001</v>
      </c>
      <c r="K3912">
        <v>279.58240000000001</v>
      </c>
      <c r="L3912">
        <v>479.32799999999997</v>
      </c>
      <c r="M3912">
        <v>4415.268</v>
      </c>
      <c r="N3912">
        <v>938.8039</v>
      </c>
      <c r="O3912">
        <v>747.27179999999998</v>
      </c>
      <c r="P3912">
        <v>300</v>
      </c>
      <c r="Q3912" t="s">
        <v>8169</v>
      </c>
    </row>
    <row r="3913" spans="1:17" x14ac:dyDescent="0.3">
      <c r="A3913" t="s">
        <v>4664</v>
      </c>
      <c r="B3913" t="str">
        <f>"300157"</f>
        <v>300157</v>
      </c>
      <c r="C3913" t="s">
        <v>8170</v>
      </c>
      <c r="D3913" t="s">
        <v>762</v>
      </c>
      <c r="F3913">
        <v>248.39340000000001</v>
      </c>
      <c r="G3913">
        <v>250.1558</v>
      </c>
      <c r="H3913">
        <v>121.66419999999999</v>
      </c>
      <c r="I3913">
        <v>69.8309</v>
      </c>
      <c r="J3913">
        <v>35.2545</v>
      </c>
      <c r="K3913">
        <v>100.87479999999999</v>
      </c>
      <c r="L3913">
        <v>130.79130000000001</v>
      </c>
      <c r="M3913">
        <v>122.7235</v>
      </c>
      <c r="N3913">
        <v>46.097499999999997</v>
      </c>
      <c r="O3913">
        <v>71.978899999999996</v>
      </c>
      <c r="P3913">
        <v>76</v>
      </c>
      <c r="Q3913" t="s">
        <v>8171</v>
      </c>
    </row>
    <row r="3914" spans="1:17" x14ac:dyDescent="0.3">
      <c r="A3914" t="s">
        <v>4664</v>
      </c>
      <c r="B3914" t="str">
        <f>"300158"</f>
        <v>300158</v>
      </c>
      <c r="C3914" t="s">
        <v>8172</v>
      </c>
      <c r="D3914" t="s">
        <v>143</v>
      </c>
      <c r="F3914">
        <v>209.88630000000001</v>
      </c>
      <c r="G3914">
        <v>195.64179999999999</v>
      </c>
      <c r="H3914">
        <v>184.33439999999999</v>
      </c>
      <c r="I3914">
        <v>206.9247</v>
      </c>
      <c r="J3914">
        <v>152.25020000000001</v>
      </c>
      <c r="K3914">
        <v>132.13419999999999</v>
      </c>
      <c r="L3914">
        <v>139.7062</v>
      </c>
      <c r="M3914">
        <v>133.35599999999999</v>
      </c>
      <c r="N3914">
        <v>87.096500000000006</v>
      </c>
      <c r="O3914">
        <v>131.7216</v>
      </c>
      <c r="P3914">
        <v>176</v>
      </c>
      <c r="Q3914" t="s">
        <v>8173</v>
      </c>
    </row>
    <row r="3915" spans="1:17" x14ac:dyDescent="0.3">
      <c r="A3915" t="s">
        <v>4664</v>
      </c>
      <c r="B3915" t="str">
        <f>"300159"</f>
        <v>300159</v>
      </c>
      <c r="C3915" t="s">
        <v>8174</v>
      </c>
      <c r="D3915" t="s">
        <v>98</v>
      </c>
      <c r="F3915">
        <v>280.21080000000001</v>
      </c>
      <c r="G3915">
        <v>484.40469999999999</v>
      </c>
      <c r="H3915">
        <v>353.31150000000002</v>
      </c>
      <c r="I3915">
        <v>191.78569999999999</v>
      </c>
      <c r="J3915">
        <v>257.47109999999998</v>
      </c>
      <c r="K3915">
        <v>387.9597</v>
      </c>
      <c r="L3915">
        <v>304.2534</v>
      </c>
      <c r="M3915">
        <v>200.3323</v>
      </c>
      <c r="N3915">
        <v>161.7131</v>
      </c>
      <c r="O3915">
        <v>195.30779999999999</v>
      </c>
      <c r="P3915">
        <v>126</v>
      </c>
      <c r="Q3915" t="s">
        <v>8175</v>
      </c>
    </row>
    <row r="3916" spans="1:17" x14ac:dyDescent="0.3">
      <c r="A3916" t="s">
        <v>4664</v>
      </c>
      <c r="B3916" t="str">
        <f>"300160"</f>
        <v>300160</v>
      </c>
      <c r="C3916" t="s">
        <v>8176</v>
      </c>
      <c r="D3916" t="s">
        <v>1253</v>
      </c>
      <c r="F3916">
        <v>89.055800000000005</v>
      </c>
      <c r="G3916">
        <v>86.121799999999993</v>
      </c>
      <c r="H3916">
        <v>56.715699999999998</v>
      </c>
      <c r="I3916">
        <v>43.122900000000001</v>
      </c>
      <c r="J3916">
        <v>51.342599999999997</v>
      </c>
      <c r="K3916">
        <v>47.9116</v>
      </c>
      <c r="L3916">
        <v>52.164999999999999</v>
      </c>
      <c r="M3916">
        <v>63.960799999999999</v>
      </c>
      <c r="N3916">
        <v>70.191699999999997</v>
      </c>
      <c r="O3916">
        <v>55.889400000000002</v>
      </c>
      <c r="P3916">
        <v>150</v>
      </c>
      <c r="Q3916" t="s">
        <v>8177</v>
      </c>
    </row>
    <row r="3917" spans="1:17" x14ac:dyDescent="0.3">
      <c r="A3917" t="s">
        <v>4664</v>
      </c>
      <c r="B3917" t="str">
        <f>"300161"</f>
        <v>300161</v>
      </c>
      <c r="C3917" t="s">
        <v>8178</v>
      </c>
      <c r="D3917" t="s">
        <v>2312</v>
      </c>
      <c r="F3917">
        <v>440.13510000000002</v>
      </c>
      <c r="G3917">
        <v>451.38490000000002</v>
      </c>
      <c r="H3917">
        <v>497.11489999999998</v>
      </c>
      <c r="I3917">
        <v>547.56539999999995</v>
      </c>
      <c r="J3917">
        <v>269.68549999999999</v>
      </c>
      <c r="K3917">
        <v>361.5779</v>
      </c>
      <c r="L3917">
        <v>414.84070000000003</v>
      </c>
      <c r="M3917">
        <v>285.77679999999998</v>
      </c>
      <c r="N3917">
        <v>323.23540000000003</v>
      </c>
      <c r="O3917">
        <v>304.90710000000001</v>
      </c>
      <c r="P3917">
        <v>159</v>
      </c>
      <c r="Q3917" t="s">
        <v>8179</v>
      </c>
    </row>
    <row r="3918" spans="1:17" x14ac:dyDescent="0.3">
      <c r="A3918" t="s">
        <v>4664</v>
      </c>
      <c r="B3918" t="str">
        <f>"300162"</f>
        <v>300162</v>
      </c>
      <c r="C3918" t="s">
        <v>8180</v>
      </c>
      <c r="D3918" t="s">
        <v>803</v>
      </c>
      <c r="F3918">
        <v>177.9794</v>
      </c>
      <c r="G3918">
        <v>198.8553</v>
      </c>
      <c r="H3918">
        <v>135.3562</v>
      </c>
      <c r="I3918">
        <v>117.792</v>
      </c>
      <c r="J3918">
        <v>111.5218</v>
      </c>
      <c r="K3918">
        <v>129.8021</v>
      </c>
      <c r="L3918">
        <v>202.577</v>
      </c>
      <c r="M3918">
        <v>175.4118</v>
      </c>
      <c r="N3918">
        <v>218.41630000000001</v>
      </c>
      <c r="O3918">
        <v>207.90649999999999</v>
      </c>
      <c r="P3918">
        <v>76</v>
      </c>
      <c r="Q3918" t="s">
        <v>8181</v>
      </c>
    </row>
    <row r="3919" spans="1:17" x14ac:dyDescent="0.3">
      <c r="A3919" t="s">
        <v>4664</v>
      </c>
      <c r="B3919" t="str">
        <f>"300163"</f>
        <v>300163</v>
      </c>
      <c r="C3919" t="s">
        <v>8182</v>
      </c>
      <c r="D3919" t="s">
        <v>386</v>
      </c>
      <c r="F3919">
        <v>339.93689999999998</v>
      </c>
      <c r="G3919">
        <v>325.65390000000002</v>
      </c>
      <c r="H3919">
        <v>313.69229999999999</v>
      </c>
      <c r="I3919">
        <v>243.45009999999999</v>
      </c>
      <c r="J3919">
        <v>222.95869999999999</v>
      </c>
      <c r="K3919">
        <v>245.34530000000001</v>
      </c>
      <c r="L3919">
        <v>228.62639999999999</v>
      </c>
      <c r="M3919">
        <v>249.2912</v>
      </c>
      <c r="N3919">
        <v>297.1515</v>
      </c>
      <c r="O3919">
        <v>349.26920000000001</v>
      </c>
      <c r="P3919">
        <v>75</v>
      </c>
      <c r="Q3919" t="s">
        <v>8183</v>
      </c>
    </row>
    <row r="3920" spans="1:17" x14ac:dyDescent="0.3">
      <c r="A3920" t="s">
        <v>4664</v>
      </c>
      <c r="B3920" t="str">
        <f>"300164"</f>
        <v>300164</v>
      </c>
      <c r="C3920" t="s">
        <v>8184</v>
      </c>
      <c r="D3920" t="s">
        <v>762</v>
      </c>
      <c r="F3920">
        <v>159.07769999999999</v>
      </c>
      <c r="G3920">
        <v>239.637</v>
      </c>
      <c r="H3920">
        <v>114.56950000000001</v>
      </c>
      <c r="I3920">
        <v>151.33080000000001</v>
      </c>
      <c r="J3920">
        <v>242.8056</v>
      </c>
      <c r="K3920">
        <v>459.04660000000001</v>
      </c>
      <c r="L3920">
        <v>328.09969999999998</v>
      </c>
      <c r="M3920">
        <v>339.22430000000003</v>
      </c>
      <c r="N3920">
        <v>305.92149999999998</v>
      </c>
      <c r="O3920">
        <v>274.51319999999998</v>
      </c>
      <c r="P3920">
        <v>82</v>
      </c>
      <c r="Q3920" t="s">
        <v>8185</v>
      </c>
    </row>
    <row r="3921" spans="1:17" x14ac:dyDescent="0.3">
      <c r="A3921" t="s">
        <v>4664</v>
      </c>
      <c r="B3921" t="str">
        <f>"300165"</f>
        <v>300165</v>
      </c>
      <c r="C3921" t="s">
        <v>8186</v>
      </c>
      <c r="D3921" t="s">
        <v>2551</v>
      </c>
      <c r="F3921">
        <v>632.75279999999998</v>
      </c>
      <c r="G3921">
        <v>606.05799999999999</v>
      </c>
      <c r="H3921">
        <v>488.50459999999998</v>
      </c>
      <c r="I3921">
        <v>339.38749999999999</v>
      </c>
      <c r="J3921">
        <v>493.87130000000002</v>
      </c>
      <c r="K3921">
        <v>643.77700000000004</v>
      </c>
      <c r="L3921">
        <v>775.60050000000001</v>
      </c>
      <c r="M3921">
        <v>821.63400000000001</v>
      </c>
      <c r="N3921">
        <v>748.11779999999999</v>
      </c>
      <c r="O3921">
        <v>820.37260000000003</v>
      </c>
      <c r="P3921">
        <v>103</v>
      </c>
      <c r="Q3921" t="s">
        <v>8187</v>
      </c>
    </row>
    <row r="3922" spans="1:17" x14ac:dyDescent="0.3">
      <c r="A3922" t="s">
        <v>4664</v>
      </c>
      <c r="B3922" t="str">
        <f>"300166"</f>
        <v>300166</v>
      </c>
      <c r="C3922" t="s">
        <v>8188</v>
      </c>
      <c r="D3922" t="s">
        <v>316</v>
      </c>
      <c r="F3922">
        <v>286.37009999999998</v>
      </c>
      <c r="G3922">
        <v>251.62459999999999</v>
      </c>
      <c r="H3922">
        <v>195.51310000000001</v>
      </c>
      <c r="I3922">
        <v>169.05529999999999</v>
      </c>
      <c r="J3922">
        <v>153.58619999999999</v>
      </c>
      <c r="K3922">
        <v>161.34819999999999</v>
      </c>
      <c r="L3922">
        <v>115.0609</v>
      </c>
      <c r="M3922">
        <v>61.043799999999997</v>
      </c>
      <c r="N3922">
        <v>36.029800000000002</v>
      </c>
      <c r="O3922">
        <v>26.043199999999999</v>
      </c>
      <c r="P3922">
        <v>461</v>
      </c>
      <c r="Q3922" t="s">
        <v>8189</v>
      </c>
    </row>
    <row r="3923" spans="1:17" x14ac:dyDescent="0.3">
      <c r="A3923" t="s">
        <v>4664</v>
      </c>
      <c r="B3923" t="str">
        <f>"300167"</f>
        <v>300167</v>
      </c>
      <c r="C3923" t="s">
        <v>8190</v>
      </c>
      <c r="D3923" t="s">
        <v>316</v>
      </c>
      <c r="F3923">
        <v>179.5488</v>
      </c>
      <c r="G3923">
        <v>243.28210000000001</v>
      </c>
      <c r="H3923">
        <v>150.7406</v>
      </c>
      <c r="I3923">
        <v>269.988</v>
      </c>
      <c r="J3923">
        <v>252.25620000000001</v>
      </c>
      <c r="K3923">
        <v>438.5213</v>
      </c>
      <c r="L3923">
        <v>368.34109999999998</v>
      </c>
      <c r="M3923">
        <v>401.3347</v>
      </c>
      <c r="N3923">
        <v>244.71180000000001</v>
      </c>
      <c r="O3923">
        <v>150.1508</v>
      </c>
      <c r="P3923">
        <v>131</v>
      </c>
      <c r="Q3923" t="s">
        <v>8191</v>
      </c>
    </row>
    <row r="3924" spans="1:17" x14ac:dyDescent="0.3">
      <c r="A3924" t="s">
        <v>4664</v>
      </c>
      <c r="B3924" t="str">
        <f>"300168"</f>
        <v>300168</v>
      </c>
      <c r="C3924" t="s">
        <v>8192</v>
      </c>
      <c r="D3924" t="s">
        <v>316</v>
      </c>
      <c r="F3924">
        <v>187.27879999999999</v>
      </c>
      <c r="G3924">
        <v>368.94310000000002</v>
      </c>
      <c r="H3924">
        <v>451.82929999999999</v>
      </c>
      <c r="I3924">
        <v>496.91899999999998</v>
      </c>
      <c r="J3924">
        <v>522.55949999999996</v>
      </c>
      <c r="K3924">
        <v>567.53129999999999</v>
      </c>
      <c r="L3924">
        <v>482.58749999999998</v>
      </c>
      <c r="M3924">
        <v>210.2457</v>
      </c>
      <c r="N3924">
        <v>95.185500000000005</v>
      </c>
      <c r="O3924">
        <v>58.253999999999998</v>
      </c>
      <c r="P3924">
        <v>368</v>
      </c>
      <c r="Q3924" t="s">
        <v>8193</v>
      </c>
    </row>
    <row r="3925" spans="1:17" x14ac:dyDescent="0.3">
      <c r="A3925" t="s">
        <v>4664</v>
      </c>
      <c r="B3925" t="str">
        <f>"300169"</f>
        <v>300169</v>
      </c>
      <c r="C3925" t="s">
        <v>8194</v>
      </c>
      <c r="D3925" t="s">
        <v>386</v>
      </c>
      <c r="F3925">
        <v>144.64949999999999</v>
      </c>
      <c r="G3925">
        <v>181.846</v>
      </c>
      <c r="H3925">
        <v>259.8578</v>
      </c>
      <c r="I3925">
        <v>266.88099999999997</v>
      </c>
      <c r="J3925">
        <v>287.42950000000002</v>
      </c>
      <c r="K3925">
        <v>274.09339999999997</v>
      </c>
      <c r="L3925">
        <v>265.27670000000001</v>
      </c>
      <c r="M3925">
        <v>279.2133</v>
      </c>
      <c r="N3925">
        <v>348.0985</v>
      </c>
      <c r="O3925">
        <v>373.52499999999998</v>
      </c>
      <c r="P3925">
        <v>68</v>
      </c>
      <c r="Q3925" t="s">
        <v>8195</v>
      </c>
    </row>
    <row r="3926" spans="1:17" x14ac:dyDescent="0.3">
      <c r="A3926" t="s">
        <v>4664</v>
      </c>
      <c r="B3926" t="str">
        <f>"300170"</f>
        <v>300170</v>
      </c>
      <c r="C3926" t="s">
        <v>8196</v>
      </c>
      <c r="D3926" t="s">
        <v>316</v>
      </c>
      <c r="F3926">
        <v>62.821300000000001</v>
      </c>
      <c r="G3926">
        <v>8.9999999999999993E-3</v>
      </c>
      <c r="H3926">
        <v>2.7400000000000001E-2</v>
      </c>
      <c r="I3926">
        <v>0.20369999999999999</v>
      </c>
      <c r="J3926">
        <v>0.33610000000000001</v>
      </c>
      <c r="K3926">
        <v>0.78420000000000001</v>
      </c>
      <c r="L3926">
        <v>1.0592999999999999</v>
      </c>
      <c r="M3926">
        <v>0.92120000000000002</v>
      </c>
      <c r="N3926">
        <v>4.6272000000000002</v>
      </c>
      <c r="O3926">
        <v>2.3176000000000001</v>
      </c>
      <c r="P3926">
        <v>3198</v>
      </c>
      <c r="Q3926" t="s">
        <v>8197</v>
      </c>
    </row>
    <row r="3927" spans="1:17" x14ac:dyDescent="0.3">
      <c r="A3927" t="s">
        <v>4664</v>
      </c>
      <c r="B3927" t="str">
        <f>"300171"</f>
        <v>300171</v>
      </c>
      <c r="C3927" t="s">
        <v>8198</v>
      </c>
      <c r="D3927" t="s">
        <v>122</v>
      </c>
      <c r="F3927">
        <v>512.71550000000002</v>
      </c>
      <c r="G3927">
        <v>469.02719999999999</v>
      </c>
      <c r="H3927">
        <v>533.44159999999999</v>
      </c>
      <c r="I3927">
        <v>514.21839999999997</v>
      </c>
      <c r="J3927">
        <v>567.88900000000001</v>
      </c>
      <c r="K3927">
        <v>658.52639999999997</v>
      </c>
      <c r="L3927">
        <v>670.82650000000001</v>
      </c>
      <c r="M3927">
        <v>770.19169999999997</v>
      </c>
      <c r="N3927">
        <v>640.20039999999995</v>
      </c>
      <c r="O3927">
        <v>501.23149999999998</v>
      </c>
      <c r="P3927">
        <v>248</v>
      </c>
      <c r="Q3927" t="s">
        <v>8199</v>
      </c>
    </row>
    <row r="3928" spans="1:17" x14ac:dyDescent="0.3">
      <c r="A3928" t="s">
        <v>4664</v>
      </c>
      <c r="B3928" t="str">
        <f>"300172"</f>
        <v>300172</v>
      </c>
      <c r="C3928" t="s">
        <v>8200</v>
      </c>
      <c r="D3928" t="s">
        <v>33</v>
      </c>
      <c r="F3928">
        <v>43.363500000000002</v>
      </c>
      <c r="G3928">
        <v>107.4114</v>
      </c>
      <c r="H3928">
        <v>164.83240000000001</v>
      </c>
      <c r="I3928">
        <v>202.03819999999999</v>
      </c>
      <c r="J3928">
        <v>283.8612</v>
      </c>
      <c r="K3928">
        <v>218.77600000000001</v>
      </c>
      <c r="L3928">
        <v>158.22800000000001</v>
      </c>
      <c r="M3928">
        <v>125.3771</v>
      </c>
      <c r="N3928">
        <v>141.09960000000001</v>
      </c>
      <c r="O3928">
        <v>148.5754</v>
      </c>
      <c r="P3928">
        <v>110</v>
      </c>
      <c r="Q3928" t="s">
        <v>8201</v>
      </c>
    </row>
    <row r="3929" spans="1:17" x14ac:dyDescent="0.3">
      <c r="A3929" t="s">
        <v>4664</v>
      </c>
      <c r="B3929" t="str">
        <f>"300173"</f>
        <v>300173</v>
      </c>
      <c r="C3929" t="s">
        <v>8202</v>
      </c>
      <c r="D3929" t="s">
        <v>2423</v>
      </c>
      <c r="F3929">
        <v>745.02340000000004</v>
      </c>
      <c r="G3929">
        <v>570.89829999999995</v>
      </c>
      <c r="H3929">
        <v>748.25210000000004</v>
      </c>
      <c r="I3929">
        <v>546.1961</v>
      </c>
      <c r="J3929">
        <v>397.35120000000001</v>
      </c>
      <c r="K3929">
        <v>631.24639999999999</v>
      </c>
      <c r="L3929">
        <v>443.0145</v>
      </c>
      <c r="M3929">
        <v>646.63699999999994</v>
      </c>
      <c r="N3929">
        <v>585.38739999999996</v>
      </c>
      <c r="O3929">
        <v>395.28660000000002</v>
      </c>
      <c r="P3929">
        <v>61</v>
      </c>
      <c r="Q3929" t="s">
        <v>8203</v>
      </c>
    </row>
    <row r="3930" spans="1:17" x14ac:dyDescent="0.3">
      <c r="A3930" t="s">
        <v>4664</v>
      </c>
      <c r="B3930" t="str">
        <f>"300174"</f>
        <v>300174</v>
      </c>
      <c r="C3930" t="s">
        <v>8204</v>
      </c>
      <c r="D3930" t="s">
        <v>386</v>
      </c>
      <c r="F3930">
        <v>71.178200000000004</v>
      </c>
      <c r="G3930">
        <v>84.5916</v>
      </c>
      <c r="H3930">
        <v>51.914700000000003</v>
      </c>
      <c r="I3930">
        <v>27.5685</v>
      </c>
      <c r="J3930">
        <v>63.061999999999998</v>
      </c>
      <c r="K3930">
        <v>79.118300000000005</v>
      </c>
      <c r="L3930">
        <v>85.739199999999997</v>
      </c>
      <c r="M3930">
        <v>113.65770000000001</v>
      </c>
      <c r="N3930">
        <v>123.229</v>
      </c>
      <c r="O3930">
        <v>103.3451</v>
      </c>
      <c r="P3930">
        <v>90</v>
      </c>
      <c r="Q3930" t="s">
        <v>8205</v>
      </c>
    </row>
    <row r="3931" spans="1:17" x14ac:dyDescent="0.3">
      <c r="A3931" t="s">
        <v>4664</v>
      </c>
      <c r="B3931" t="str">
        <f>"300175"</f>
        <v>300175</v>
      </c>
      <c r="C3931" t="s">
        <v>8206</v>
      </c>
      <c r="D3931" t="s">
        <v>574</v>
      </c>
      <c r="F3931">
        <v>542.20979999999997</v>
      </c>
      <c r="G3931">
        <v>257.0566</v>
      </c>
      <c r="H3931">
        <v>263.28879999999998</v>
      </c>
      <c r="I3931">
        <v>274.80799999999999</v>
      </c>
      <c r="J3931">
        <v>298.80029999999999</v>
      </c>
      <c r="K3931">
        <v>399.25799999999998</v>
      </c>
      <c r="L3931">
        <v>482.9812</v>
      </c>
      <c r="M3931">
        <v>259.56560000000002</v>
      </c>
      <c r="N3931">
        <v>269.53769999999997</v>
      </c>
      <c r="O3931">
        <v>272.6635</v>
      </c>
      <c r="P3931">
        <v>84</v>
      </c>
      <c r="Q3931" t="s">
        <v>8207</v>
      </c>
    </row>
    <row r="3932" spans="1:17" x14ac:dyDescent="0.3">
      <c r="A3932" t="s">
        <v>4664</v>
      </c>
      <c r="B3932" t="str">
        <f>"300176"</f>
        <v>300176</v>
      </c>
      <c r="C3932" t="s">
        <v>8208</v>
      </c>
      <c r="D3932" t="s">
        <v>348</v>
      </c>
      <c r="F3932">
        <v>145.75290000000001</v>
      </c>
      <c r="G3932">
        <v>140.82689999999999</v>
      </c>
      <c r="H3932">
        <v>127.9015</v>
      </c>
      <c r="I3932">
        <v>114.1605</v>
      </c>
      <c r="J3932">
        <v>92.843900000000005</v>
      </c>
      <c r="K3932">
        <v>105.76220000000001</v>
      </c>
      <c r="L3932">
        <v>114.8862</v>
      </c>
      <c r="M3932">
        <v>108.47450000000001</v>
      </c>
      <c r="N3932">
        <v>95.196299999999994</v>
      </c>
      <c r="O3932">
        <v>92.672200000000004</v>
      </c>
      <c r="P3932">
        <v>151</v>
      </c>
      <c r="Q3932" t="s">
        <v>8209</v>
      </c>
    </row>
    <row r="3933" spans="1:17" x14ac:dyDescent="0.3">
      <c r="A3933" t="s">
        <v>4664</v>
      </c>
      <c r="B3933" t="str">
        <f>"300177"</f>
        <v>300177</v>
      </c>
      <c r="C3933" t="s">
        <v>8210</v>
      </c>
      <c r="D3933" t="s">
        <v>1136</v>
      </c>
      <c r="F3933">
        <v>324.26409999999998</v>
      </c>
      <c r="G3933">
        <v>284.93090000000001</v>
      </c>
      <c r="H3933">
        <v>214.4418</v>
      </c>
      <c r="I3933">
        <v>201.06110000000001</v>
      </c>
      <c r="J3933">
        <v>215.03049999999999</v>
      </c>
      <c r="K3933">
        <v>238.10910000000001</v>
      </c>
      <c r="L3933">
        <v>317.6277</v>
      </c>
      <c r="M3933">
        <v>255.82749999999999</v>
      </c>
      <c r="N3933">
        <v>321.14</v>
      </c>
      <c r="O3933">
        <v>273.02719999999999</v>
      </c>
      <c r="P3933">
        <v>232</v>
      </c>
      <c r="Q3933" t="s">
        <v>8211</v>
      </c>
    </row>
    <row r="3934" spans="1:17" x14ac:dyDescent="0.3">
      <c r="A3934" t="s">
        <v>4664</v>
      </c>
      <c r="B3934" t="str">
        <f>"300178"</f>
        <v>300178</v>
      </c>
      <c r="C3934" t="s">
        <v>8212</v>
      </c>
      <c r="D3934" t="s">
        <v>1120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8.9300000000000004E-2</v>
      </c>
      <c r="P3934">
        <v>152</v>
      </c>
      <c r="Q3934" t="s">
        <v>8213</v>
      </c>
    </row>
    <row r="3935" spans="1:17" x14ac:dyDescent="0.3">
      <c r="A3935" t="s">
        <v>4664</v>
      </c>
      <c r="B3935" t="str">
        <f>"300179"</f>
        <v>300179</v>
      </c>
      <c r="C3935" t="s">
        <v>8214</v>
      </c>
      <c r="D3935" t="s">
        <v>404</v>
      </c>
      <c r="F3935">
        <v>203.14580000000001</v>
      </c>
      <c r="G3935">
        <v>287.3981</v>
      </c>
      <c r="H3935">
        <v>227.38390000000001</v>
      </c>
      <c r="I3935">
        <v>272.91210000000001</v>
      </c>
      <c r="J3935">
        <v>313.00060000000002</v>
      </c>
      <c r="K3935">
        <v>563.88800000000003</v>
      </c>
      <c r="L3935">
        <v>462.10480000000001</v>
      </c>
      <c r="M3935">
        <v>423.7867</v>
      </c>
      <c r="N3935">
        <v>400.26769999999999</v>
      </c>
      <c r="O3935">
        <v>364.6626</v>
      </c>
      <c r="P3935">
        <v>166</v>
      </c>
      <c r="Q3935" t="s">
        <v>8215</v>
      </c>
    </row>
    <row r="3936" spans="1:17" x14ac:dyDescent="0.3">
      <c r="A3936" t="s">
        <v>4664</v>
      </c>
      <c r="B3936" t="str">
        <f>"300180"</f>
        <v>300180</v>
      </c>
      <c r="C3936" t="s">
        <v>8216</v>
      </c>
      <c r="D3936" t="s">
        <v>1192</v>
      </c>
      <c r="F3936">
        <v>95.365399999999994</v>
      </c>
      <c r="G3936">
        <v>104.25700000000001</v>
      </c>
      <c r="H3936">
        <v>100.4873</v>
      </c>
      <c r="I3936">
        <v>118.94629999999999</v>
      </c>
      <c r="J3936">
        <v>103.82559999999999</v>
      </c>
      <c r="K3936">
        <v>140.7944</v>
      </c>
      <c r="L3936">
        <v>119.691</v>
      </c>
      <c r="M3936">
        <v>136.01750000000001</v>
      </c>
      <c r="N3936">
        <v>118.9756</v>
      </c>
      <c r="O3936">
        <v>133.72630000000001</v>
      </c>
      <c r="P3936">
        <v>141</v>
      </c>
      <c r="Q3936" t="s">
        <v>8217</v>
      </c>
    </row>
    <row r="3937" spans="1:17" x14ac:dyDescent="0.3">
      <c r="A3937" t="s">
        <v>4664</v>
      </c>
      <c r="B3937" t="str">
        <f>"300181"</f>
        <v>300181</v>
      </c>
      <c r="C3937" t="s">
        <v>8218</v>
      </c>
      <c r="D3937" t="s">
        <v>188</v>
      </c>
      <c r="F3937">
        <v>240.9915</v>
      </c>
      <c r="G3937">
        <v>311.38499999999999</v>
      </c>
      <c r="H3937">
        <v>355.2389</v>
      </c>
      <c r="I3937">
        <v>507.39269999999999</v>
      </c>
      <c r="J3937">
        <v>327.50459999999998</v>
      </c>
      <c r="K3937">
        <v>294.98239999999998</v>
      </c>
      <c r="L3937">
        <v>339.33</v>
      </c>
      <c r="M3937">
        <v>372.38490000000002</v>
      </c>
      <c r="N3937">
        <v>235.29320000000001</v>
      </c>
      <c r="O3937">
        <v>199.48820000000001</v>
      </c>
      <c r="P3937">
        <v>174</v>
      </c>
      <c r="Q3937" t="s">
        <v>8219</v>
      </c>
    </row>
    <row r="3938" spans="1:17" x14ac:dyDescent="0.3">
      <c r="A3938" t="s">
        <v>4664</v>
      </c>
      <c r="B3938" t="str">
        <f>"300182"</f>
        <v>300182</v>
      </c>
      <c r="C3938" t="s">
        <v>8220</v>
      </c>
      <c r="D3938" t="s">
        <v>113</v>
      </c>
      <c r="F3938">
        <v>113.667</v>
      </c>
      <c r="G3938">
        <v>260.80599999999998</v>
      </c>
      <c r="H3938">
        <v>160.12559999999999</v>
      </c>
      <c r="I3938">
        <v>98.957099999999997</v>
      </c>
      <c r="J3938">
        <v>113.6696</v>
      </c>
      <c r="K3938">
        <v>144.738</v>
      </c>
      <c r="L3938">
        <v>184.48169999999999</v>
      </c>
      <c r="M3938">
        <v>117.96939999999999</v>
      </c>
      <c r="N3938">
        <v>102.0668</v>
      </c>
      <c r="O3938">
        <v>166.1112</v>
      </c>
      <c r="P3938">
        <v>514</v>
      </c>
      <c r="Q3938" t="s">
        <v>8221</v>
      </c>
    </row>
    <row r="3939" spans="1:17" x14ac:dyDescent="0.3">
      <c r="A3939" t="s">
        <v>4664</v>
      </c>
      <c r="B3939" t="str">
        <f>"300183"</f>
        <v>300183</v>
      </c>
      <c r="C3939" t="s">
        <v>8222</v>
      </c>
      <c r="D3939" t="s">
        <v>595</v>
      </c>
      <c r="F3939">
        <v>182.02070000000001</v>
      </c>
      <c r="G3939">
        <v>265.8974</v>
      </c>
      <c r="H3939">
        <v>238.71610000000001</v>
      </c>
      <c r="I3939">
        <v>203.34559999999999</v>
      </c>
      <c r="J3939">
        <v>188.97790000000001</v>
      </c>
      <c r="K3939">
        <v>142.55269999999999</v>
      </c>
      <c r="L3939">
        <v>116.2813</v>
      </c>
      <c r="M3939">
        <v>116.2504</v>
      </c>
      <c r="N3939">
        <v>88.908600000000007</v>
      </c>
      <c r="O3939">
        <v>115.7157</v>
      </c>
      <c r="P3939">
        <v>276</v>
      </c>
      <c r="Q3939" t="s">
        <v>8223</v>
      </c>
    </row>
    <row r="3940" spans="1:17" x14ac:dyDescent="0.3">
      <c r="A3940" t="s">
        <v>4664</v>
      </c>
      <c r="B3940" t="str">
        <f>"300184"</f>
        <v>300184</v>
      </c>
      <c r="C3940" t="s">
        <v>8224</v>
      </c>
      <c r="D3940" t="s">
        <v>651</v>
      </c>
      <c r="F3940">
        <v>59.437600000000003</v>
      </c>
      <c r="G3940">
        <v>52.984400000000001</v>
      </c>
      <c r="H3940">
        <v>43.807099999999998</v>
      </c>
      <c r="I3940">
        <v>51.2761</v>
      </c>
      <c r="J3940">
        <v>40.282499999999999</v>
      </c>
      <c r="K3940">
        <v>108.9092</v>
      </c>
      <c r="L3940">
        <v>147.50579999999999</v>
      </c>
      <c r="M3940">
        <v>233.31899999999999</v>
      </c>
      <c r="N3940">
        <v>287.7466</v>
      </c>
      <c r="O3940">
        <v>275.197</v>
      </c>
      <c r="P3940">
        <v>252</v>
      </c>
      <c r="Q3940" t="s">
        <v>8225</v>
      </c>
    </row>
    <row r="3941" spans="1:17" x14ac:dyDescent="0.3">
      <c r="A3941" t="s">
        <v>4664</v>
      </c>
      <c r="B3941" t="str">
        <f>"300185"</f>
        <v>300185</v>
      </c>
      <c r="C3941" t="s">
        <v>8226</v>
      </c>
      <c r="D3941" t="s">
        <v>950</v>
      </c>
      <c r="F3941">
        <v>242.62729999999999</v>
      </c>
      <c r="G3941">
        <v>291.22519999999997</v>
      </c>
      <c r="H3941">
        <v>369.5711</v>
      </c>
      <c r="I3941">
        <v>345.35219999999998</v>
      </c>
      <c r="J3941">
        <v>319.61059999999998</v>
      </c>
      <c r="K3941">
        <v>360.62860000000001</v>
      </c>
      <c r="L3941">
        <v>325.50369999999998</v>
      </c>
      <c r="M3941">
        <v>329.44009999999997</v>
      </c>
      <c r="N3941">
        <v>330.50670000000002</v>
      </c>
      <c r="O3941">
        <v>327.23750000000001</v>
      </c>
      <c r="P3941">
        <v>201</v>
      </c>
      <c r="Q3941" t="s">
        <v>8227</v>
      </c>
    </row>
    <row r="3942" spans="1:17" x14ac:dyDescent="0.3">
      <c r="A3942" t="s">
        <v>4664</v>
      </c>
      <c r="B3942" t="str">
        <f>"300186"</f>
        <v>300186</v>
      </c>
      <c r="C3942" t="s">
        <v>8228</v>
      </c>
      <c r="L3942">
        <v>158.54040000000001</v>
      </c>
      <c r="M3942">
        <v>150.1574</v>
      </c>
      <c r="N3942">
        <v>127.1498</v>
      </c>
      <c r="O3942">
        <v>131.53489999999999</v>
      </c>
      <c r="P3942">
        <v>5</v>
      </c>
      <c r="Q3942" t="s">
        <v>8229</v>
      </c>
    </row>
    <row r="3943" spans="1:17" x14ac:dyDescent="0.3">
      <c r="A3943" t="s">
        <v>4664</v>
      </c>
      <c r="B3943" t="str">
        <f>"300187"</f>
        <v>300187</v>
      </c>
      <c r="C3943" t="s">
        <v>8230</v>
      </c>
      <c r="D3943" t="s">
        <v>499</v>
      </c>
      <c r="F3943">
        <v>47.2194</v>
      </c>
      <c r="G3943">
        <v>211.69460000000001</v>
      </c>
      <c r="H3943">
        <v>384.5154</v>
      </c>
      <c r="I3943">
        <v>358.46050000000002</v>
      </c>
      <c r="J3943">
        <v>297.82170000000002</v>
      </c>
      <c r="K3943">
        <v>199.352</v>
      </c>
      <c r="L3943">
        <v>334.56279999999998</v>
      </c>
      <c r="M3943">
        <v>310.69069999999999</v>
      </c>
      <c r="N3943">
        <v>465.76069999999999</v>
      </c>
      <c r="O3943">
        <v>336.92200000000003</v>
      </c>
      <c r="P3943">
        <v>110</v>
      </c>
      <c r="Q3943" t="s">
        <v>8231</v>
      </c>
    </row>
    <row r="3944" spans="1:17" x14ac:dyDescent="0.3">
      <c r="A3944" t="s">
        <v>4664</v>
      </c>
      <c r="B3944" t="str">
        <f>"300188"</f>
        <v>300188</v>
      </c>
      <c r="C3944" t="s">
        <v>8232</v>
      </c>
      <c r="D3944" t="s">
        <v>945</v>
      </c>
      <c r="F3944">
        <v>465.96030000000002</v>
      </c>
      <c r="G3944">
        <v>371.77199999999999</v>
      </c>
      <c r="H3944">
        <v>409.2124</v>
      </c>
      <c r="I3944">
        <v>501.94749999999999</v>
      </c>
      <c r="J3944">
        <v>579.7944</v>
      </c>
      <c r="K3944">
        <v>826.15710000000001</v>
      </c>
      <c r="L3944">
        <v>715.1848</v>
      </c>
      <c r="M3944">
        <v>584.19380000000001</v>
      </c>
      <c r="N3944">
        <v>379.39400000000001</v>
      </c>
      <c r="O3944">
        <v>428.7484</v>
      </c>
      <c r="P3944">
        <v>557</v>
      </c>
      <c r="Q3944" t="s">
        <v>8233</v>
      </c>
    </row>
    <row r="3945" spans="1:17" x14ac:dyDescent="0.3">
      <c r="A3945" t="s">
        <v>4664</v>
      </c>
      <c r="B3945" t="str">
        <f>"300189"</f>
        <v>300189</v>
      </c>
      <c r="C3945" t="s">
        <v>8234</v>
      </c>
      <c r="D3945" t="s">
        <v>706</v>
      </c>
      <c r="F3945">
        <v>207.566</v>
      </c>
      <c r="G3945">
        <v>339.68759999999997</v>
      </c>
      <c r="H3945">
        <v>344.63010000000003</v>
      </c>
      <c r="I3945">
        <v>537.68690000000004</v>
      </c>
      <c r="J3945">
        <v>87.554599999999994</v>
      </c>
      <c r="K3945">
        <v>283.59370000000001</v>
      </c>
      <c r="L3945">
        <v>689.90869999999995</v>
      </c>
      <c r="M3945">
        <v>934.30870000000004</v>
      </c>
      <c r="N3945">
        <v>609.3252</v>
      </c>
      <c r="O3945">
        <v>313.20119999999997</v>
      </c>
      <c r="P3945">
        <v>111</v>
      </c>
      <c r="Q3945" t="s">
        <v>8235</v>
      </c>
    </row>
    <row r="3946" spans="1:17" x14ac:dyDescent="0.3">
      <c r="A3946" t="s">
        <v>4664</v>
      </c>
      <c r="B3946" t="str">
        <f>"300190"</f>
        <v>300190</v>
      </c>
      <c r="C3946" t="s">
        <v>8236</v>
      </c>
      <c r="D3946" t="s">
        <v>3548</v>
      </c>
      <c r="F3946">
        <v>147.77539999999999</v>
      </c>
      <c r="G3946">
        <v>425.12490000000003</v>
      </c>
      <c r="H3946">
        <v>410.1825</v>
      </c>
      <c r="I3946">
        <v>440.29570000000001</v>
      </c>
      <c r="J3946">
        <v>534.85050000000001</v>
      </c>
      <c r="K3946">
        <v>608.49090000000001</v>
      </c>
      <c r="L3946">
        <v>426.54270000000002</v>
      </c>
      <c r="M3946">
        <v>373.99959999999999</v>
      </c>
      <c r="N3946">
        <v>567.0711</v>
      </c>
      <c r="O3946">
        <v>422.1952</v>
      </c>
      <c r="P3946">
        <v>233</v>
      </c>
      <c r="Q3946" t="s">
        <v>8237</v>
      </c>
    </row>
    <row r="3947" spans="1:17" x14ac:dyDescent="0.3">
      <c r="A3947" t="s">
        <v>4664</v>
      </c>
      <c r="B3947" t="str">
        <f>"300191"</f>
        <v>300191</v>
      </c>
      <c r="C3947" t="s">
        <v>8238</v>
      </c>
      <c r="D3947" t="s">
        <v>762</v>
      </c>
      <c r="F3947">
        <v>2.8412000000000002</v>
      </c>
      <c r="G3947">
        <v>3.8641000000000001</v>
      </c>
      <c r="H3947">
        <v>2.3843000000000001</v>
      </c>
      <c r="I3947">
        <v>0</v>
      </c>
      <c r="J3947">
        <v>0</v>
      </c>
      <c r="K3947">
        <v>0</v>
      </c>
      <c r="L3947">
        <v>0.55120000000000002</v>
      </c>
      <c r="M3947">
        <v>0</v>
      </c>
      <c r="N3947">
        <v>0.54059999999999997</v>
      </c>
      <c r="O3947">
        <v>12.618499999999999</v>
      </c>
      <c r="P3947">
        <v>75</v>
      </c>
      <c r="Q3947" t="s">
        <v>8239</v>
      </c>
    </row>
    <row r="3948" spans="1:17" x14ac:dyDescent="0.3">
      <c r="A3948" t="s">
        <v>4664</v>
      </c>
      <c r="B3948" t="str">
        <f>"300192"</f>
        <v>300192</v>
      </c>
      <c r="C3948" t="s">
        <v>8240</v>
      </c>
      <c r="D3948" t="s">
        <v>1336</v>
      </c>
      <c r="F3948">
        <v>48.851300000000002</v>
      </c>
      <c r="G3948">
        <v>56.003700000000002</v>
      </c>
      <c r="H3948">
        <v>54.4621</v>
      </c>
      <c r="I3948">
        <v>74.762699999999995</v>
      </c>
      <c r="J3948">
        <v>96.315399999999997</v>
      </c>
      <c r="K3948">
        <v>94.140900000000002</v>
      </c>
      <c r="L3948">
        <v>82.8429</v>
      </c>
      <c r="M3948">
        <v>77.958299999999994</v>
      </c>
      <c r="N3948">
        <v>88.57</v>
      </c>
      <c r="O3948">
        <v>84.557299999999998</v>
      </c>
      <c r="P3948">
        <v>182</v>
      </c>
      <c r="Q3948" t="s">
        <v>8241</v>
      </c>
    </row>
    <row r="3949" spans="1:17" x14ac:dyDescent="0.3">
      <c r="A3949" t="s">
        <v>4664</v>
      </c>
      <c r="B3949" t="str">
        <f>"300193"</f>
        <v>300193</v>
      </c>
      <c r="C3949" t="s">
        <v>8242</v>
      </c>
      <c r="D3949" t="s">
        <v>560</v>
      </c>
      <c r="F3949">
        <v>116.19450000000001</v>
      </c>
      <c r="G3949">
        <v>109.62430000000001</v>
      </c>
      <c r="H3949">
        <v>105.61669999999999</v>
      </c>
      <c r="I3949">
        <v>124.5902</v>
      </c>
      <c r="J3949">
        <v>155.7663</v>
      </c>
      <c r="K3949">
        <v>195.8347</v>
      </c>
      <c r="L3949">
        <v>228.0412</v>
      </c>
      <c r="M3949">
        <v>214.65379999999999</v>
      </c>
      <c r="N3949">
        <v>249.25239999999999</v>
      </c>
      <c r="O3949">
        <v>235.95519999999999</v>
      </c>
      <c r="P3949">
        <v>154</v>
      </c>
      <c r="Q3949" t="s">
        <v>8243</v>
      </c>
    </row>
    <row r="3950" spans="1:17" x14ac:dyDescent="0.3">
      <c r="A3950" t="s">
        <v>4664</v>
      </c>
      <c r="B3950" t="str">
        <f>"300194"</f>
        <v>300194</v>
      </c>
      <c r="C3950" t="s">
        <v>8244</v>
      </c>
      <c r="D3950" t="s">
        <v>143</v>
      </c>
      <c r="F3950">
        <v>344.35199999999998</v>
      </c>
      <c r="G3950">
        <v>307.33969999999999</v>
      </c>
      <c r="H3950">
        <v>250.16470000000001</v>
      </c>
      <c r="I3950">
        <v>213.51929999999999</v>
      </c>
      <c r="J3950">
        <v>200.62020000000001</v>
      </c>
      <c r="K3950">
        <v>245.63249999999999</v>
      </c>
      <c r="L3950">
        <v>269.47370000000001</v>
      </c>
      <c r="M3950">
        <v>280.61200000000002</v>
      </c>
      <c r="N3950">
        <v>246.91829999999999</v>
      </c>
      <c r="O3950">
        <v>166.76570000000001</v>
      </c>
      <c r="P3950">
        <v>149</v>
      </c>
      <c r="Q3950" t="s">
        <v>8245</v>
      </c>
    </row>
    <row r="3951" spans="1:17" x14ac:dyDescent="0.3">
      <c r="A3951" t="s">
        <v>4664</v>
      </c>
      <c r="B3951" t="str">
        <f>"300195"</f>
        <v>300195</v>
      </c>
      <c r="C3951" t="s">
        <v>8246</v>
      </c>
      <c r="D3951" t="s">
        <v>3388</v>
      </c>
      <c r="F3951">
        <v>327.21409999999997</v>
      </c>
      <c r="G3951">
        <v>351.82380000000001</v>
      </c>
      <c r="H3951">
        <v>391.05119999999999</v>
      </c>
      <c r="I3951">
        <v>323.45479999999998</v>
      </c>
      <c r="J3951">
        <v>269.29509999999999</v>
      </c>
      <c r="K3951">
        <v>293.82190000000003</v>
      </c>
      <c r="L3951">
        <v>247.52209999999999</v>
      </c>
      <c r="M3951">
        <v>256.09280000000001</v>
      </c>
      <c r="N3951">
        <v>286.63420000000002</v>
      </c>
      <c r="O3951">
        <v>342.01280000000003</v>
      </c>
      <c r="P3951">
        <v>90</v>
      </c>
      <c r="Q3951" t="s">
        <v>8247</v>
      </c>
    </row>
    <row r="3952" spans="1:17" x14ac:dyDescent="0.3">
      <c r="A3952" t="s">
        <v>4664</v>
      </c>
      <c r="B3952" t="str">
        <f>"300196"</f>
        <v>300196</v>
      </c>
      <c r="C3952" t="s">
        <v>8248</v>
      </c>
      <c r="D3952" t="s">
        <v>411</v>
      </c>
      <c r="F3952">
        <v>52.505099999999999</v>
      </c>
      <c r="G3952">
        <v>59.0364</v>
      </c>
      <c r="H3952">
        <v>60.316099999999999</v>
      </c>
      <c r="I3952">
        <v>58.351599999999998</v>
      </c>
      <c r="J3952">
        <v>48.523600000000002</v>
      </c>
      <c r="K3952">
        <v>53.282400000000003</v>
      </c>
      <c r="L3952">
        <v>48.566400000000002</v>
      </c>
      <c r="M3952">
        <v>41.247799999999998</v>
      </c>
      <c r="N3952">
        <v>37.705300000000001</v>
      </c>
      <c r="O3952">
        <v>53.3369</v>
      </c>
      <c r="P3952">
        <v>232</v>
      </c>
      <c r="Q3952" t="s">
        <v>8249</v>
      </c>
    </row>
    <row r="3953" spans="1:17" x14ac:dyDescent="0.3">
      <c r="A3953" t="s">
        <v>4664</v>
      </c>
      <c r="B3953" t="str">
        <f>"300197"</f>
        <v>300197</v>
      </c>
      <c r="C3953" t="s">
        <v>8250</v>
      </c>
      <c r="D3953" t="s">
        <v>2408</v>
      </c>
      <c r="F3953">
        <v>116.1292</v>
      </c>
      <c r="G3953">
        <v>1343.9188999999999</v>
      </c>
      <c r="H3953">
        <v>832.5027</v>
      </c>
      <c r="I3953">
        <v>514.95330000000001</v>
      </c>
      <c r="J3953">
        <v>429.03480000000002</v>
      </c>
      <c r="K3953">
        <v>478.60070000000002</v>
      </c>
      <c r="L3953">
        <v>465.61070000000001</v>
      </c>
      <c r="M3953">
        <v>478.87349999999998</v>
      </c>
      <c r="N3953">
        <v>422.36380000000003</v>
      </c>
      <c r="O3953">
        <v>355.4024</v>
      </c>
      <c r="P3953">
        <v>356</v>
      </c>
      <c r="Q3953" t="s">
        <v>8251</v>
      </c>
    </row>
    <row r="3954" spans="1:17" x14ac:dyDescent="0.3">
      <c r="A3954" t="s">
        <v>4664</v>
      </c>
      <c r="B3954" t="str">
        <f>"300198"</f>
        <v>300198</v>
      </c>
      <c r="C3954" t="s">
        <v>8252</v>
      </c>
      <c r="D3954" t="s">
        <v>3320</v>
      </c>
      <c r="F3954">
        <v>155.79599999999999</v>
      </c>
      <c r="G3954">
        <v>119.0564</v>
      </c>
      <c r="H3954">
        <v>168.0986</v>
      </c>
      <c r="I3954">
        <v>121.19750000000001</v>
      </c>
      <c r="J3954">
        <v>101.5763</v>
      </c>
      <c r="K3954">
        <v>141.46680000000001</v>
      </c>
      <c r="L3954">
        <v>85.225099999999998</v>
      </c>
      <c r="M3954">
        <v>60.648499999999999</v>
      </c>
      <c r="N3954">
        <v>77.266199999999998</v>
      </c>
      <c r="O3954">
        <v>109.43810000000001</v>
      </c>
      <c r="P3954">
        <v>82</v>
      </c>
      <c r="Q3954" t="s">
        <v>8253</v>
      </c>
    </row>
    <row r="3955" spans="1:17" x14ac:dyDescent="0.3">
      <c r="A3955" t="s">
        <v>4664</v>
      </c>
      <c r="B3955" t="str">
        <f>"300199"</f>
        <v>300199</v>
      </c>
      <c r="C3955" t="s">
        <v>8254</v>
      </c>
      <c r="D3955" t="s">
        <v>143</v>
      </c>
      <c r="F3955">
        <v>495.5797</v>
      </c>
      <c r="G3955">
        <v>539.18690000000004</v>
      </c>
      <c r="H3955">
        <v>595.71220000000005</v>
      </c>
      <c r="I3955">
        <v>488.06639999999999</v>
      </c>
      <c r="J3955">
        <v>376.31380000000001</v>
      </c>
      <c r="K3955">
        <v>410.82670000000002</v>
      </c>
      <c r="L3955">
        <v>324.99340000000001</v>
      </c>
      <c r="M3955">
        <v>290.72219999999999</v>
      </c>
      <c r="N3955">
        <v>273.39420000000001</v>
      </c>
      <c r="O3955">
        <v>229.25829999999999</v>
      </c>
      <c r="P3955">
        <v>242</v>
      </c>
      <c r="Q3955" t="s">
        <v>8255</v>
      </c>
    </row>
    <row r="3956" spans="1:17" x14ac:dyDescent="0.3">
      <c r="A3956" t="s">
        <v>4664</v>
      </c>
      <c r="B3956" t="str">
        <f>"300200"</f>
        <v>300200</v>
      </c>
      <c r="C3956" t="s">
        <v>8256</v>
      </c>
      <c r="D3956" t="s">
        <v>528</v>
      </c>
      <c r="F3956">
        <v>68.718199999999996</v>
      </c>
      <c r="G3956">
        <v>87.192999999999998</v>
      </c>
      <c r="H3956">
        <v>71.310100000000006</v>
      </c>
      <c r="I3956">
        <v>58.098599999999998</v>
      </c>
      <c r="J3956">
        <v>70.019000000000005</v>
      </c>
      <c r="K3956">
        <v>93.418400000000005</v>
      </c>
      <c r="L3956">
        <v>112.6601</v>
      </c>
      <c r="M3956">
        <v>104.6165</v>
      </c>
      <c r="N3956">
        <v>99.097300000000004</v>
      </c>
      <c r="O3956">
        <v>99.173299999999998</v>
      </c>
      <c r="P3956">
        <v>160</v>
      </c>
      <c r="Q3956" t="s">
        <v>8257</v>
      </c>
    </row>
    <row r="3957" spans="1:17" x14ac:dyDescent="0.3">
      <c r="A3957" t="s">
        <v>4664</v>
      </c>
      <c r="B3957" t="str">
        <f>"300201"</f>
        <v>300201</v>
      </c>
      <c r="C3957" t="s">
        <v>8258</v>
      </c>
      <c r="D3957" t="s">
        <v>83</v>
      </c>
      <c r="F3957">
        <v>178.32830000000001</v>
      </c>
      <c r="G3957">
        <v>183.42789999999999</v>
      </c>
      <c r="H3957">
        <v>182.28659999999999</v>
      </c>
      <c r="I3957">
        <v>171.39449999999999</v>
      </c>
      <c r="J3957">
        <v>183.15870000000001</v>
      </c>
      <c r="K3957">
        <v>183.5232</v>
      </c>
      <c r="L3957">
        <v>222.4057</v>
      </c>
      <c r="M3957">
        <v>293.94260000000003</v>
      </c>
      <c r="N3957">
        <v>374.08690000000001</v>
      </c>
      <c r="O3957">
        <v>293.9348</v>
      </c>
      <c r="P3957">
        <v>77</v>
      </c>
      <c r="Q3957" t="s">
        <v>8259</v>
      </c>
    </row>
    <row r="3958" spans="1:17" x14ac:dyDescent="0.3">
      <c r="A3958" t="s">
        <v>4664</v>
      </c>
      <c r="B3958" t="str">
        <f>"300202"</f>
        <v>300202</v>
      </c>
      <c r="C3958" t="s">
        <v>8260</v>
      </c>
      <c r="D3958" t="s">
        <v>236</v>
      </c>
      <c r="F3958">
        <v>586.08190000000002</v>
      </c>
      <c r="G3958">
        <v>524.81380000000001</v>
      </c>
      <c r="H3958">
        <v>436.51150000000001</v>
      </c>
      <c r="I3958">
        <v>274.03089999999997</v>
      </c>
      <c r="J3958">
        <v>364.17270000000002</v>
      </c>
      <c r="K3958">
        <v>416.19459999999998</v>
      </c>
      <c r="L3958">
        <v>310.56819999999999</v>
      </c>
      <c r="M3958">
        <v>275.57260000000002</v>
      </c>
      <c r="N3958">
        <v>453.25599999999997</v>
      </c>
      <c r="O3958">
        <v>442.6447</v>
      </c>
      <c r="P3958">
        <v>2978</v>
      </c>
      <c r="Q3958" t="s">
        <v>8261</v>
      </c>
    </row>
    <row r="3959" spans="1:17" x14ac:dyDescent="0.3">
      <c r="A3959" t="s">
        <v>4664</v>
      </c>
      <c r="B3959" t="str">
        <f>"300203"</f>
        <v>300203</v>
      </c>
      <c r="C3959" t="s">
        <v>8262</v>
      </c>
      <c r="D3959" t="s">
        <v>3548</v>
      </c>
      <c r="F3959">
        <v>417.88740000000001</v>
      </c>
      <c r="G3959">
        <v>358.55779999999999</v>
      </c>
      <c r="H3959">
        <v>375.59910000000002</v>
      </c>
      <c r="I3959">
        <v>328.18189999999998</v>
      </c>
      <c r="J3959">
        <v>319.11439999999999</v>
      </c>
      <c r="K3959">
        <v>322.70299999999997</v>
      </c>
      <c r="L3959">
        <v>348.96390000000002</v>
      </c>
      <c r="M3959">
        <v>382.95870000000002</v>
      </c>
      <c r="N3959">
        <v>352.79259999999999</v>
      </c>
      <c r="O3959">
        <v>351.6782</v>
      </c>
      <c r="P3959">
        <v>431</v>
      </c>
      <c r="Q3959" t="s">
        <v>8263</v>
      </c>
    </row>
    <row r="3960" spans="1:17" x14ac:dyDescent="0.3">
      <c r="A3960" t="s">
        <v>4664</v>
      </c>
      <c r="B3960" t="str">
        <f>"300204"</f>
        <v>300204</v>
      </c>
      <c r="C3960" t="s">
        <v>8264</v>
      </c>
      <c r="D3960" t="s">
        <v>1379</v>
      </c>
      <c r="F3960">
        <v>142.07390000000001</v>
      </c>
      <c r="G3960">
        <v>345.52789999999999</v>
      </c>
      <c r="H3960">
        <v>252.8776</v>
      </c>
      <c r="I3960">
        <v>234.19239999999999</v>
      </c>
      <c r="J3960">
        <v>213.17019999999999</v>
      </c>
      <c r="K3960">
        <v>167.30459999999999</v>
      </c>
      <c r="L3960">
        <v>188.0685</v>
      </c>
      <c r="M3960">
        <v>247.32159999999999</v>
      </c>
      <c r="N3960">
        <v>273.70960000000002</v>
      </c>
      <c r="O3960">
        <v>223.24</v>
      </c>
      <c r="P3960">
        <v>202</v>
      </c>
      <c r="Q3960" t="s">
        <v>8265</v>
      </c>
    </row>
    <row r="3961" spans="1:17" x14ac:dyDescent="0.3">
      <c r="A3961" t="s">
        <v>4664</v>
      </c>
      <c r="B3961" t="str">
        <f>"300205"</f>
        <v>300205</v>
      </c>
      <c r="C3961" t="s">
        <v>8266</v>
      </c>
      <c r="D3961" t="s">
        <v>786</v>
      </c>
      <c r="F3961">
        <v>165.80529999999999</v>
      </c>
      <c r="G3961">
        <v>120.8335</v>
      </c>
      <c r="H3961">
        <v>82.9589</v>
      </c>
      <c r="I3961">
        <v>98.740499999999997</v>
      </c>
      <c r="J3961">
        <v>132.90350000000001</v>
      </c>
      <c r="K3961">
        <v>185.78200000000001</v>
      </c>
      <c r="L3961">
        <v>257.85680000000002</v>
      </c>
      <c r="M3961">
        <v>261.90980000000002</v>
      </c>
      <c r="N3961">
        <v>158.75829999999999</v>
      </c>
      <c r="O3961">
        <v>230.42009999999999</v>
      </c>
      <c r="P3961">
        <v>222</v>
      </c>
      <c r="Q3961" t="s">
        <v>8267</v>
      </c>
    </row>
    <row r="3962" spans="1:17" x14ac:dyDescent="0.3">
      <c r="A3962" t="s">
        <v>4664</v>
      </c>
      <c r="B3962" t="str">
        <f>"300206"</f>
        <v>300206</v>
      </c>
      <c r="C3962" t="s">
        <v>8268</v>
      </c>
      <c r="D3962" t="s">
        <v>122</v>
      </c>
      <c r="F3962">
        <v>245.65180000000001</v>
      </c>
      <c r="G3962">
        <v>128.9033</v>
      </c>
      <c r="H3962">
        <v>180.45859999999999</v>
      </c>
      <c r="I3962">
        <v>177.32689999999999</v>
      </c>
      <c r="J3962">
        <v>194.4093</v>
      </c>
      <c r="K3962">
        <v>198.55719999999999</v>
      </c>
      <c r="L3962">
        <v>185.0189</v>
      </c>
      <c r="M3962">
        <v>149.88589999999999</v>
      </c>
      <c r="N3962">
        <v>126.1524</v>
      </c>
      <c r="O3962">
        <v>121.61150000000001</v>
      </c>
      <c r="P3962">
        <v>426</v>
      </c>
      <c r="Q3962" t="s">
        <v>8269</v>
      </c>
    </row>
    <row r="3963" spans="1:17" x14ac:dyDescent="0.3">
      <c r="A3963" t="s">
        <v>4664</v>
      </c>
      <c r="B3963" t="str">
        <f>"300207"</f>
        <v>300207</v>
      </c>
      <c r="C3963" t="s">
        <v>8270</v>
      </c>
      <c r="D3963" t="s">
        <v>359</v>
      </c>
      <c r="F3963">
        <v>107.2564</v>
      </c>
      <c r="G3963">
        <v>88.191199999999995</v>
      </c>
      <c r="H3963">
        <v>87.425200000000004</v>
      </c>
      <c r="I3963">
        <v>98.890699999999995</v>
      </c>
      <c r="J3963">
        <v>83.849100000000007</v>
      </c>
      <c r="K3963">
        <v>84.467799999999997</v>
      </c>
      <c r="L3963">
        <v>78.268699999999995</v>
      </c>
      <c r="M3963">
        <v>111.6397</v>
      </c>
      <c r="N3963">
        <v>149.39949999999999</v>
      </c>
      <c r="O3963">
        <v>141.65180000000001</v>
      </c>
      <c r="P3963">
        <v>1012</v>
      </c>
      <c r="Q3963" t="s">
        <v>8271</v>
      </c>
    </row>
    <row r="3964" spans="1:17" x14ac:dyDescent="0.3">
      <c r="A3964" t="s">
        <v>4664</v>
      </c>
      <c r="B3964" t="str">
        <f>"300208"</f>
        <v>300208</v>
      </c>
      <c r="C3964" t="s">
        <v>8272</v>
      </c>
      <c r="D3964" t="s">
        <v>110</v>
      </c>
      <c r="F3964">
        <v>51.320900000000002</v>
      </c>
      <c r="G3964">
        <v>1123.2682</v>
      </c>
      <c r="H3964">
        <v>1542.7498000000001</v>
      </c>
      <c r="I3964">
        <v>1151.5809999999999</v>
      </c>
      <c r="J3964">
        <v>409.6737</v>
      </c>
      <c r="K3964">
        <v>38.497599999999998</v>
      </c>
      <c r="L3964">
        <v>47.768700000000003</v>
      </c>
      <c r="M3964">
        <v>53.2044</v>
      </c>
      <c r="N3964">
        <v>189.83199999999999</v>
      </c>
      <c r="O3964">
        <v>112.0055</v>
      </c>
      <c r="P3964">
        <v>144</v>
      </c>
      <c r="Q3964" t="s">
        <v>8273</v>
      </c>
    </row>
    <row r="3965" spans="1:17" x14ac:dyDescent="0.3">
      <c r="A3965" t="s">
        <v>4664</v>
      </c>
      <c r="B3965" t="str">
        <f>"300209"</f>
        <v>300209</v>
      </c>
      <c r="C3965" t="s">
        <v>8274</v>
      </c>
      <c r="D3965" t="s">
        <v>945</v>
      </c>
      <c r="F3965">
        <v>517.31949999999995</v>
      </c>
      <c r="G3965">
        <v>307.84780000000001</v>
      </c>
      <c r="H3965">
        <v>160.30969999999999</v>
      </c>
      <c r="I3965">
        <v>71.535700000000006</v>
      </c>
      <c r="J3965">
        <v>58.301099999999998</v>
      </c>
      <c r="K3965">
        <v>58.862299999999998</v>
      </c>
      <c r="L3965">
        <v>95.990899999999996</v>
      </c>
      <c r="M3965">
        <v>179.78120000000001</v>
      </c>
      <c r="N3965">
        <v>159.88730000000001</v>
      </c>
      <c r="O3965">
        <v>164.53200000000001</v>
      </c>
      <c r="P3965">
        <v>143</v>
      </c>
      <c r="Q3965" t="s">
        <v>8275</v>
      </c>
    </row>
    <row r="3966" spans="1:17" x14ac:dyDescent="0.3">
      <c r="A3966" t="s">
        <v>4664</v>
      </c>
      <c r="B3966" t="str">
        <f>"300210"</f>
        <v>300210</v>
      </c>
      <c r="C3966" t="s">
        <v>8276</v>
      </c>
      <c r="D3966" t="s">
        <v>1070</v>
      </c>
      <c r="F3966">
        <v>1141.0038</v>
      </c>
      <c r="G3966">
        <v>866.52480000000003</v>
      </c>
      <c r="H3966">
        <v>1100.4436000000001</v>
      </c>
      <c r="I3966">
        <v>583.12980000000005</v>
      </c>
      <c r="J3966">
        <v>611.14959999999996</v>
      </c>
      <c r="K3966">
        <v>460.2022</v>
      </c>
      <c r="L3966">
        <v>532.03989999999999</v>
      </c>
      <c r="M3966">
        <v>386.65309999999999</v>
      </c>
      <c r="N3966">
        <v>250.92009999999999</v>
      </c>
      <c r="O3966">
        <v>301.81049999999999</v>
      </c>
      <c r="P3966">
        <v>50</v>
      </c>
      <c r="Q3966" t="s">
        <v>8277</v>
      </c>
    </row>
    <row r="3967" spans="1:17" x14ac:dyDescent="0.3">
      <c r="A3967" t="s">
        <v>4664</v>
      </c>
      <c r="B3967" t="str">
        <f>"300211"</f>
        <v>300211</v>
      </c>
      <c r="C3967" t="s">
        <v>8278</v>
      </c>
      <c r="D3967" t="s">
        <v>654</v>
      </c>
      <c r="F3967">
        <v>64.5822</v>
      </c>
      <c r="G3967">
        <v>59.9863</v>
      </c>
      <c r="H3967">
        <v>66.413300000000007</v>
      </c>
      <c r="I3967">
        <v>89.614999999999995</v>
      </c>
      <c r="J3967">
        <v>89.261399999999995</v>
      </c>
      <c r="K3967">
        <v>78.541899999999998</v>
      </c>
      <c r="L3967">
        <v>119.1563</v>
      </c>
      <c r="M3967">
        <v>135.48699999999999</v>
      </c>
      <c r="N3967">
        <v>135.41210000000001</v>
      </c>
      <c r="O3967">
        <v>149.35749999999999</v>
      </c>
      <c r="P3967">
        <v>63</v>
      </c>
      <c r="Q3967" t="s">
        <v>8279</v>
      </c>
    </row>
    <row r="3968" spans="1:17" x14ac:dyDescent="0.3">
      <c r="A3968" t="s">
        <v>4664</v>
      </c>
      <c r="B3968" t="str">
        <f>"300212"</f>
        <v>300212</v>
      </c>
      <c r="C3968" t="s">
        <v>8280</v>
      </c>
      <c r="D3968" t="s">
        <v>316</v>
      </c>
      <c r="F3968">
        <v>120.0142</v>
      </c>
      <c r="G3968">
        <v>934.80510000000004</v>
      </c>
      <c r="H3968">
        <v>932.22190000000001</v>
      </c>
      <c r="I3968">
        <v>1210.3658</v>
      </c>
      <c r="J3968">
        <v>1222.6164000000001</v>
      </c>
      <c r="K3968">
        <v>1054.08</v>
      </c>
      <c r="L3968">
        <v>1155.2347</v>
      </c>
      <c r="M3968">
        <v>914.07500000000005</v>
      </c>
      <c r="N3968">
        <v>1071.3434999999999</v>
      </c>
      <c r="O3968">
        <v>917.52760000000001</v>
      </c>
      <c r="P3968">
        <v>389</v>
      </c>
      <c r="Q3968" t="s">
        <v>8281</v>
      </c>
    </row>
    <row r="3969" spans="1:17" x14ac:dyDescent="0.3">
      <c r="A3969" t="s">
        <v>4664</v>
      </c>
      <c r="B3969" t="str">
        <f>"300213"</f>
        <v>300213</v>
      </c>
      <c r="C3969" t="s">
        <v>8282</v>
      </c>
      <c r="D3969" t="s">
        <v>595</v>
      </c>
      <c r="F3969">
        <v>175.28129999999999</v>
      </c>
      <c r="G3969">
        <v>150.8074</v>
      </c>
      <c r="H3969">
        <v>198.74160000000001</v>
      </c>
      <c r="I3969">
        <v>213.70249999999999</v>
      </c>
      <c r="J3969">
        <v>174.57040000000001</v>
      </c>
      <c r="K3969">
        <v>93.778199999999998</v>
      </c>
      <c r="L3969">
        <v>90.534099999999995</v>
      </c>
      <c r="M3969">
        <v>173.59540000000001</v>
      </c>
      <c r="N3969">
        <v>181.4299</v>
      </c>
      <c r="O3969">
        <v>182.8715</v>
      </c>
      <c r="P3969">
        <v>188</v>
      </c>
      <c r="Q3969" t="s">
        <v>8283</v>
      </c>
    </row>
    <row r="3970" spans="1:17" x14ac:dyDescent="0.3">
      <c r="A3970" t="s">
        <v>4664</v>
      </c>
      <c r="B3970" t="str">
        <f>"300214"</f>
        <v>300214</v>
      </c>
      <c r="C3970" t="s">
        <v>8284</v>
      </c>
      <c r="D3970" t="s">
        <v>1192</v>
      </c>
      <c r="F3970">
        <v>47.187100000000001</v>
      </c>
      <c r="G3970">
        <v>65.682900000000004</v>
      </c>
      <c r="H3970">
        <v>50.136200000000002</v>
      </c>
      <c r="I3970">
        <v>63.275700000000001</v>
      </c>
      <c r="J3970">
        <v>34.4405</v>
      </c>
      <c r="K3970">
        <v>48.405299999999997</v>
      </c>
      <c r="L3970">
        <v>44.228999999999999</v>
      </c>
      <c r="M3970">
        <v>61.8127</v>
      </c>
      <c r="N3970">
        <v>64.436599999999999</v>
      </c>
      <c r="O3970">
        <v>44.403500000000001</v>
      </c>
      <c r="P3970">
        <v>107</v>
      </c>
      <c r="Q3970" t="s">
        <v>8285</v>
      </c>
    </row>
    <row r="3971" spans="1:17" x14ac:dyDescent="0.3">
      <c r="A3971" t="s">
        <v>4664</v>
      </c>
      <c r="B3971" t="str">
        <f>"300215"</f>
        <v>300215</v>
      </c>
      <c r="C3971" t="s">
        <v>8286</v>
      </c>
      <c r="D3971" t="s">
        <v>2499</v>
      </c>
      <c r="F3971">
        <v>1.9333</v>
      </c>
      <c r="G3971">
        <v>2.3683000000000001</v>
      </c>
      <c r="H3971">
        <v>2.1779000000000002</v>
      </c>
      <c r="I3971">
        <v>2.0455000000000001</v>
      </c>
      <c r="J3971">
        <v>2.3784000000000001</v>
      </c>
      <c r="K3971">
        <v>2.8965000000000001</v>
      </c>
      <c r="L3971">
        <v>3.1556999999999999</v>
      </c>
      <c r="M3971">
        <v>2.5131000000000001</v>
      </c>
      <c r="N3971">
        <v>1.0743</v>
      </c>
      <c r="O3971">
        <v>0</v>
      </c>
      <c r="P3971">
        <v>178</v>
      </c>
      <c r="Q3971" t="s">
        <v>8287</v>
      </c>
    </row>
    <row r="3972" spans="1:17" x14ac:dyDescent="0.3">
      <c r="A3972" t="s">
        <v>4664</v>
      </c>
      <c r="B3972" t="str">
        <f>"300216"</f>
        <v>300216</v>
      </c>
      <c r="C3972" t="s">
        <v>8288</v>
      </c>
      <c r="H3972">
        <v>965.90409999999997</v>
      </c>
      <c r="I3972">
        <v>1205.6581000000001</v>
      </c>
      <c r="J3972">
        <v>738.8365</v>
      </c>
      <c r="K3972">
        <v>618.62450000000001</v>
      </c>
      <c r="L3972">
        <v>542.52250000000004</v>
      </c>
      <c r="M3972">
        <v>554.77670000000001</v>
      </c>
      <c r="N3972">
        <v>313.86709999999999</v>
      </c>
      <c r="O3972">
        <v>295.04910000000001</v>
      </c>
      <c r="P3972">
        <v>53</v>
      </c>
      <c r="Q3972" t="s">
        <v>8289</v>
      </c>
    </row>
    <row r="3973" spans="1:17" x14ac:dyDescent="0.3">
      <c r="A3973" t="s">
        <v>4664</v>
      </c>
      <c r="B3973" t="str">
        <f>"300217"</f>
        <v>300217</v>
      </c>
      <c r="C3973" t="s">
        <v>8290</v>
      </c>
      <c r="D3973" t="s">
        <v>1253</v>
      </c>
      <c r="F3973">
        <v>154.95609999999999</v>
      </c>
      <c r="G3973">
        <v>153.70339999999999</v>
      </c>
      <c r="H3973">
        <v>169.17660000000001</v>
      </c>
      <c r="I3973">
        <v>167.93049999999999</v>
      </c>
      <c r="J3973">
        <v>165.44820000000001</v>
      </c>
      <c r="K3973">
        <v>211.8758</v>
      </c>
      <c r="L3973">
        <v>187.11840000000001</v>
      </c>
      <c r="M3973">
        <v>170.16810000000001</v>
      </c>
      <c r="N3973">
        <v>183.6233</v>
      </c>
      <c r="O3973">
        <v>188.97219999999999</v>
      </c>
      <c r="P3973">
        <v>160</v>
      </c>
      <c r="Q3973" t="s">
        <v>8291</v>
      </c>
    </row>
    <row r="3974" spans="1:17" x14ac:dyDescent="0.3">
      <c r="A3974" t="s">
        <v>4664</v>
      </c>
      <c r="B3974" t="str">
        <f>"300218"</f>
        <v>300218</v>
      </c>
      <c r="C3974" t="s">
        <v>8292</v>
      </c>
      <c r="D3974" t="s">
        <v>1192</v>
      </c>
      <c r="F3974">
        <v>120.9534</v>
      </c>
      <c r="G3974">
        <v>137.52000000000001</v>
      </c>
      <c r="H3974">
        <v>121.6125</v>
      </c>
      <c r="I3974">
        <v>113.1874</v>
      </c>
      <c r="J3974">
        <v>110.9064</v>
      </c>
      <c r="K3974">
        <v>92.165999999999997</v>
      </c>
      <c r="L3974">
        <v>90.368499999999997</v>
      </c>
      <c r="M3974">
        <v>102.35720000000001</v>
      </c>
      <c r="N3974">
        <v>103.3242</v>
      </c>
      <c r="O3974">
        <v>120.1965</v>
      </c>
      <c r="P3974">
        <v>108</v>
      </c>
      <c r="Q3974" t="s">
        <v>8293</v>
      </c>
    </row>
    <row r="3975" spans="1:17" x14ac:dyDescent="0.3">
      <c r="A3975" t="s">
        <v>4664</v>
      </c>
      <c r="B3975" t="str">
        <f>"300219"</f>
        <v>300219</v>
      </c>
      <c r="C3975" t="s">
        <v>8294</v>
      </c>
      <c r="D3975" t="s">
        <v>803</v>
      </c>
      <c r="F3975">
        <v>84.244900000000001</v>
      </c>
      <c r="G3975">
        <v>98.488299999999995</v>
      </c>
      <c r="H3975">
        <v>73.527199999999993</v>
      </c>
      <c r="I3975">
        <v>70.178100000000001</v>
      </c>
      <c r="J3975">
        <v>64.113699999999994</v>
      </c>
      <c r="K3975">
        <v>68.375699999999995</v>
      </c>
      <c r="L3975">
        <v>66.645700000000005</v>
      </c>
      <c r="M3975">
        <v>58.109900000000003</v>
      </c>
      <c r="N3975">
        <v>80.296700000000001</v>
      </c>
      <c r="O3975">
        <v>116.333</v>
      </c>
      <c r="P3975">
        <v>135</v>
      </c>
      <c r="Q3975" t="s">
        <v>8295</v>
      </c>
    </row>
    <row r="3976" spans="1:17" x14ac:dyDescent="0.3">
      <c r="A3976" t="s">
        <v>4664</v>
      </c>
      <c r="B3976" t="str">
        <f>"300220"</f>
        <v>300220</v>
      </c>
      <c r="C3976" t="s">
        <v>8296</v>
      </c>
      <c r="D3976" t="s">
        <v>3784</v>
      </c>
      <c r="F3976">
        <v>232.8486</v>
      </c>
      <c r="G3976">
        <v>393.38499999999999</v>
      </c>
      <c r="H3976">
        <v>296.24220000000003</v>
      </c>
      <c r="I3976">
        <v>345.52879999999999</v>
      </c>
      <c r="J3976">
        <v>439.47669999999999</v>
      </c>
      <c r="K3976">
        <v>547.47230000000002</v>
      </c>
      <c r="L3976">
        <v>518.22940000000006</v>
      </c>
      <c r="M3976">
        <v>529.95950000000005</v>
      </c>
      <c r="N3976">
        <v>571.01819999999998</v>
      </c>
      <c r="O3976">
        <v>447.93639999999999</v>
      </c>
      <c r="P3976">
        <v>91</v>
      </c>
      <c r="Q3976" t="s">
        <v>8297</v>
      </c>
    </row>
    <row r="3977" spans="1:17" x14ac:dyDescent="0.3">
      <c r="A3977" t="s">
        <v>4664</v>
      </c>
      <c r="B3977" t="str">
        <f>"300221"</f>
        <v>300221</v>
      </c>
      <c r="C3977" t="s">
        <v>8298</v>
      </c>
      <c r="D3977" t="s">
        <v>341</v>
      </c>
      <c r="F3977">
        <v>77.873099999999994</v>
      </c>
      <c r="G3977">
        <v>95.6053</v>
      </c>
      <c r="H3977">
        <v>109.19970000000001</v>
      </c>
      <c r="I3977">
        <v>96.915999999999997</v>
      </c>
      <c r="J3977">
        <v>93.419600000000003</v>
      </c>
      <c r="K3977">
        <v>99.043300000000002</v>
      </c>
      <c r="L3977">
        <v>118.8852</v>
      </c>
      <c r="M3977">
        <v>112.1456</v>
      </c>
      <c r="N3977">
        <v>118.1635</v>
      </c>
      <c r="O3977">
        <v>118.27800000000001</v>
      </c>
      <c r="P3977">
        <v>173</v>
      </c>
      <c r="Q3977" t="s">
        <v>8299</v>
      </c>
    </row>
    <row r="3978" spans="1:17" x14ac:dyDescent="0.3">
      <c r="A3978" t="s">
        <v>4664</v>
      </c>
      <c r="B3978" t="str">
        <f>"300222"</f>
        <v>300222</v>
      </c>
      <c r="C3978" t="s">
        <v>8300</v>
      </c>
      <c r="D3978" t="s">
        <v>610</v>
      </c>
      <c r="F3978">
        <v>353.01889999999997</v>
      </c>
      <c r="G3978">
        <v>434.36619999999999</v>
      </c>
      <c r="H3978">
        <v>476.56189999999998</v>
      </c>
      <c r="I3978">
        <v>320.18579999999997</v>
      </c>
      <c r="J3978">
        <v>217.2594</v>
      </c>
      <c r="K3978">
        <v>231.17269999999999</v>
      </c>
      <c r="L3978">
        <v>319.12979999999999</v>
      </c>
      <c r="M3978">
        <v>287.16129999999998</v>
      </c>
      <c r="N3978">
        <v>142.8389</v>
      </c>
      <c r="O3978">
        <v>234.9606</v>
      </c>
      <c r="P3978">
        <v>221</v>
      </c>
      <c r="Q3978" t="s">
        <v>8301</v>
      </c>
    </row>
    <row r="3979" spans="1:17" x14ac:dyDescent="0.3">
      <c r="A3979" t="s">
        <v>4664</v>
      </c>
      <c r="B3979" t="str">
        <f>"300223"</f>
        <v>300223</v>
      </c>
      <c r="C3979" t="s">
        <v>8302</v>
      </c>
      <c r="D3979" t="s">
        <v>461</v>
      </c>
      <c r="F3979">
        <v>193.03440000000001</v>
      </c>
      <c r="G3979">
        <v>300.96140000000003</v>
      </c>
      <c r="H3979">
        <v>221.79949999999999</v>
      </c>
      <c r="I3979">
        <v>455.12610000000001</v>
      </c>
      <c r="J3979">
        <v>497.29689999999999</v>
      </c>
      <c r="K3979">
        <v>776.24310000000003</v>
      </c>
      <c r="L3979">
        <v>914.70360000000005</v>
      </c>
      <c r="M3979">
        <v>1021.388</v>
      </c>
      <c r="N3979">
        <v>497.65289999999999</v>
      </c>
      <c r="O3979">
        <v>332.42619999999999</v>
      </c>
      <c r="P3979">
        <v>612</v>
      </c>
      <c r="Q3979" t="s">
        <v>8303</v>
      </c>
    </row>
    <row r="3980" spans="1:17" x14ac:dyDescent="0.3">
      <c r="A3980" t="s">
        <v>4664</v>
      </c>
      <c r="B3980" t="str">
        <f>"300224"</f>
        <v>300224</v>
      </c>
      <c r="C3980" t="s">
        <v>8304</v>
      </c>
      <c r="D3980" t="s">
        <v>808</v>
      </c>
      <c r="F3980">
        <v>176.28110000000001</v>
      </c>
      <c r="G3980">
        <v>210.4682</v>
      </c>
      <c r="H3980">
        <v>221.2139</v>
      </c>
      <c r="I3980">
        <v>202.08430000000001</v>
      </c>
      <c r="J3980">
        <v>245.3853</v>
      </c>
      <c r="K3980">
        <v>152.52359999999999</v>
      </c>
      <c r="L3980">
        <v>129.3817</v>
      </c>
      <c r="M3980">
        <v>138.38720000000001</v>
      </c>
      <c r="N3980">
        <v>178.2689</v>
      </c>
      <c r="O3980">
        <v>172.7243</v>
      </c>
      <c r="P3980">
        <v>198</v>
      </c>
      <c r="Q3980" t="s">
        <v>8305</v>
      </c>
    </row>
    <row r="3981" spans="1:17" x14ac:dyDescent="0.3">
      <c r="A3981" t="s">
        <v>4664</v>
      </c>
      <c r="B3981" t="str">
        <f>"300225"</f>
        <v>300225</v>
      </c>
      <c r="C3981" t="s">
        <v>8306</v>
      </c>
      <c r="D3981" t="s">
        <v>2570</v>
      </c>
      <c r="F3981">
        <v>71.158600000000007</v>
      </c>
      <c r="G3981">
        <v>97.194400000000002</v>
      </c>
      <c r="H3981">
        <v>86.049099999999996</v>
      </c>
      <c r="I3981">
        <v>93.8857</v>
      </c>
      <c r="J3981">
        <v>98.947299999999998</v>
      </c>
      <c r="K3981">
        <v>92.040800000000004</v>
      </c>
      <c r="L3981">
        <v>103.88379999999999</v>
      </c>
      <c r="M3981">
        <v>90.422899999999998</v>
      </c>
      <c r="N3981">
        <v>86.472700000000003</v>
      </c>
      <c r="O3981">
        <v>92.415800000000004</v>
      </c>
      <c r="P3981">
        <v>94</v>
      </c>
      <c r="Q3981" t="s">
        <v>8307</v>
      </c>
    </row>
    <row r="3982" spans="1:17" x14ac:dyDescent="0.3">
      <c r="A3982" t="s">
        <v>4664</v>
      </c>
      <c r="B3982" t="str">
        <f>"300226"</f>
        <v>300226</v>
      </c>
      <c r="C3982" t="s">
        <v>8308</v>
      </c>
      <c r="D3982" t="s">
        <v>945</v>
      </c>
      <c r="F3982">
        <v>13.530799999999999</v>
      </c>
      <c r="G3982">
        <v>13.607100000000001</v>
      </c>
      <c r="H3982">
        <v>13.083500000000001</v>
      </c>
      <c r="I3982">
        <v>12.0844</v>
      </c>
      <c r="J3982">
        <v>16.4709</v>
      </c>
      <c r="K3982">
        <v>6.5685000000000002</v>
      </c>
      <c r="L3982">
        <v>8.5990000000000002</v>
      </c>
      <c r="M3982">
        <v>23.716899999999999</v>
      </c>
      <c r="N3982">
        <v>18.751899999999999</v>
      </c>
      <c r="O3982">
        <v>23.954000000000001</v>
      </c>
      <c r="P3982">
        <v>253</v>
      </c>
      <c r="Q3982" t="s">
        <v>8309</v>
      </c>
    </row>
    <row r="3983" spans="1:17" x14ac:dyDescent="0.3">
      <c r="A3983" t="s">
        <v>4664</v>
      </c>
      <c r="B3983" t="str">
        <f>"300227"</f>
        <v>300227</v>
      </c>
      <c r="C3983" t="s">
        <v>8310</v>
      </c>
      <c r="D3983" t="s">
        <v>3784</v>
      </c>
      <c r="F3983">
        <v>220.61770000000001</v>
      </c>
      <c r="G3983">
        <v>154.3091</v>
      </c>
      <c r="H3983">
        <v>138.39160000000001</v>
      </c>
      <c r="I3983">
        <v>120.20310000000001</v>
      </c>
      <c r="J3983">
        <v>117.0715</v>
      </c>
      <c r="K3983">
        <v>94.233599999999996</v>
      </c>
      <c r="L3983">
        <v>141.00810000000001</v>
      </c>
      <c r="M3983">
        <v>131.64060000000001</v>
      </c>
      <c r="N3983">
        <v>149.678</v>
      </c>
      <c r="O3983">
        <v>111.24720000000001</v>
      </c>
      <c r="P3983">
        <v>220</v>
      </c>
      <c r="Q3983" t="s">
        <v>8311</v>
      </c>
    </row>
    <row r="3984" spans="1:17" x14ac:dyDescent="0.3">
      <c r="A3984" t="s">
        <v>4664</v>
      </c>
      <c r="B3984" t="str">
        <f>"300228"</f>
        <v>300228</v>
      </c>
      <c r="C3984" t="s">
        <v>8312</v>
      </c>
      <c r="D3984" t="s">
        <v>274</v>
      </c>
      <c r="F3984">
        <v>287.84480000000002</v>
      </c>
      <c r="G3984">
        <v>298.7192</v>
      </c>
      <c r="H3984">
        <v>340.90789999999998</v>
      </c>
      <c r="I3984">
        <v>496.9871</v>
      </c>
      <c r="J3984">
        <v>388.79840000000002</v>
      </c>
      <c r="K3984">
        <v>564.83820000000003</v>
      </c>
      <c r="L3984">
        <v>481.7423</v>
      </c>
      <c r="M3984">
        <v>324.99400000000003</v>
      </c>
      <c r="N3984">
        <v>365.65789999999998</v>
      </c>
      <c r="O3984">
        <v>359.55110000000002</v>
      </c>
      <c r="P3984">
        <v>128</v>
      </c>
      <c r="Q3984" t="s">
        <v>8313</v>
      </c>
    </row>
    <row r="3985" spans="1:17" x14ac:dyDescent="0.3">
      <c r="A3985" t="s">
        <v>4664</v>
      </c>
      <c r="B3985" t="str">
        <f>"300229"</f>
        <v>300229</v>
      </c>
      <c r="C3985" t="s">
        <v>8314</v>
      </c>
      <c r="D3985" t="s">
        <v>945</v>
      </c>
      <c r="F3985">
        <v>187.91990000000001</v>
      </c>
      <c r="G3985">
        <v>332.67720000000003</v>
      </c>
      <c r="H3985">
        <v>373.40219999999999</v>
      </c>
      <c r="I3985">
        <v>255.06649999999999</v>
      </c>
      <c r="J3985">
        <v>149.28469999999999</v>
      </c>
      <c r="K3985">
        <v>114.80719999999999</v>
      </c>
      <c r="L3985">
        <v>38.286700000000003</v>
      </c>
      <c r="M3985">
        <v>63.808999999999997</v>
      </c>
      <c r="N3985">
        <v>0</v>
      </c>
      <c r="O3985">
        <v>0</v>
      </c>
      <c r="P3985">
        <v>209</v>
      </c>
      <c r="Q3985" t="s">
        <v>8315</v>
      </c>
    </row>
    <row r="3986" spans="1:17" x14ac:dyDescent="0.3">
      <c r="A3986" t="s">
        <v>4664</v>
      </c>
      <c r="B3986" t="str">
        <f>"300230"</f>
        <v>300230</v>
      </c>
      <c r="C3986" t="s">
        <v>8316</v>
      </c>
      <c r="D3986" t="s">
        <v>1192</v>
      </c>
      <c r="F3986">
        <v>95.219899999999996</v>
      </c>
      <c r="G3986">
        <v>134.26300000000001</v>
      </c>
      <c r="H3986">
        <v>128.3845</v>
      </c>
      <c r="I3986">
        <v>125.10890000000001</v>
      </c>
      <c r="J3986">
        <v>129.18620000000001</v>
      </c>
      <c r="K3986">
        <v>164.54570000000001</v>
      </c>
      <c r="L3986">
        <v>200.20519999999999</v>
      </c>
      <c r="M3986">
        <v>280.11320000000001</v>
      </c>
      <c r="N3986">
        <v>230.30969999999999</v>
      </c>
      <c r="O3986">
        <v>214.09110000000001</v>
      </c>
      <c r="P3986">
        <v>169</v>
      </c>
      <c r="Q3986" t="s">
        <v>8317</v>
      </c>
    </row>
    <row r="3987" spans="1:17" x14ac:dyDescent="0.3">
      <c r="A3987" t="s">
        <v>4664</v>
      </c>
      <c r="B3987" t="str">
        <f>"300231"</f>
        <v>300231</v>
      </c>
      <c r="C3987" t="s">
        <v>8318</v>
      </c>
      <c r="D3987" t="s">
        <v>316</v>
      </c>
      <c r="F3987">
        <v>17.171600000000002</v>
      </c>
      <c r="G3987">
        <v>45.583500000000001</v>
      </c>
      <c r="H3987">
        <v>21.942699999999999</v>
      </c>
      <c r="I3987">
        <v>18.8963</v>
      </c>
      <c r="J3987">
        <v>23.833500000000001</v>
      </c>
      <c r="K3987">
        <v>11.620100000000001</v>
      </c>
      <c r="L3987">
        <v>12.068899999999999</v>
      </c>
      <c r="M3987">
        <v>14.960900000000001</v>
      </c>
      <c r="N3987">
        <v>23.2789</v>
      </c>
      <c r="O3987">
        <v>15.029400000000001</v>
      </c>
      <c r="P3987">
        <v>264</v>
      </c>
      <c r="Q3987" t="s">
        <v>8319</v>
      </c>
    </row>
    <row r="3988" spans="1:17" x14ac:dyDescent="0.3">
      <c r="A3988" t="s">
        <v>4664</v>
      </c>
      <c r="B3988" t="str">
        <f>"300232"</f>
        <v>300232</v>
      </c>
      <c r="C3988" t="s">
        <v>8320</v>
      </c>
      <c r="D3988" t="s">
        <v>803</v>
      </c>
      <c r="F3988">
        <v>196.73910000000001</v>
      </c>
      <c r="G3988">
        <v>272.08429999999998</v>
      </c>
      <c r="H3988">
        <v>208.45419999999999</v>
      </c>
      <c r="I3988">
        <v>173.90940000000001</v>
      </c>
      <c r="J3988">
        <v>197.7038</v>
      </c>
      <c r="K3988">
        <v>199.70330000000001</v>
      </c>
      <c r="L3988">
        <v>227.4109</v>
      </c>
      <c r="M3988">
        <v>230.73939999999999</v>
      </c>
      <c r="N3988">
        <v>270.26749999999998</v>
      </c>
      <c r="O3988">
        <v>266.82150000000001</v>
      </c>
      <c r="P3988">
        <v>922</v>
      </c>
      <c r="Q3988" t="s">
        <v>8321</v>
      </c>
    </row>
    <row r="3989" spans="1:17" x14ac:dyDescent="0.3">
      <c r="A3989" t="s">
        <v>4664</v>
      </c>
      <c r="B3989" t="str">
        <f>"300233"</f>
        <v>300233</v>
      </c>
      <c r="C3989" t="s">
        <v>8322</v>
      </c>
      <c r="D3989" t="s">
        <v>143</v>
      </c>
      <c r="F3989">
        <v>124.3737</v>
      </c>
      <c r="G3989">
        <v>128.73519999999999</v>
      </c>
      <c r="H3989">
        <v>127.3597</v>
      </c>
      <c r="I3989">
        <v>83.908500000000004</v>
      </c>
      <c r="J3989">
        <v>53.595599999999997</v>
      </c>
      <c r="K3989">
        <v>94.709100000000007</v>
      </c>
      <c r="L3989">
        <v>87.980099999999993</v>
      </c>
      <c r="M3989">
        <v>89.2209</v>
      </c>
      <c r="N3989">
        <v>75.192300000000003</v>
      </c>
      <c r="O3989">
        <v>87.015199999999993</v>
      </c>
      <c r="P3989">
        <v>202</v>
      </c>
      <c r="Q3989" t="s">
        <v>8323</v>
      </c>
    </row>
    <row r="3990" spans="1:17" x14ac:dyDescent="0.3">
      <c r="A3990" t="s">
        <v>4664</v>
      </c>
      <c r="B3990" t="str">
        <f>"300234"</f>
        <v>300234</v>
      </c>
      <c r="C3990" t="s">
        <v>8324</v>
      </c>
      <c r="D3990" t="s">
        <v>722</v>
      </c>
      <c r="F3990">
        <v>336.61599999999999</v>
      </c>
      <c r="G3990">
        <v>370.07150000000001</v>
      </c>
      <c r="H3990">
        <v>248.69569999999999</v>
      </c>
      <c r="I3990">
        <v>779.34680000000003</v>
      </c>
      <c r="J3990">
        <v>370.44400000000002</v>
      </c>
      <c r="K3990">
        <v>285.55360000000002</v>
      </c>
      <c r="L3990">
        <v>224.3997</v>
      </c>
      <c r="M3990">
        <v>307.04450000000003</v>
      </c>
      <c r="N3990">
        <v>295.73309999999998</v>
      </c>
      <c r="O3990">
        <v>275.00510000000003</v>
      </c>
      <c r="P3990">
        <v>111</v>
      </c>
      <c r="Q3990" t="s">
        <v>8325</v>
      </c>
    </row>
    <row r="3991" spans="1:17" x14ac:dyDescent="0.3">
      <c r="A3991" t="s">
        <v>4664</v>
      </c>
      <c r="B3991" t="str">
        <f>"300235"</f>
        <v>300235</v>
      </c>
      <c r="C3991" t="s">
        <v>8326</v>
      </c>
      <c r="D3991" t="s">
        <v>945</v>
      </c>
      <c r="F3991">
        <v>68.598299999999995</v>
      </c>
      <c r="G3991">
        <v>55.713500000000003</v>
      </c>
      <c r="H3991">
        <v>137.74289999999999</v>
      </c>
      <c r="I3991">
        <v>101.2216</v>
      </c>
      <c r="J3991">
        <v>131.32490000000001</v>
      </c>
      <c r="K3991">
        <v>130.6669</v>
      </c>
      <c r="L3991">
        <v>96.245999999999995</v>
      </c>
      <c r="M3991">
        <v>170.13460000000001</v>
      </c>
      <c r="N3991">
        <v>153.20509999999999</v>
      </c>
      <c r="O3991">
        <v>159.69220000000001</v>
      </c>
      <c r="P3991">
        <v>114</v>
      </c>
      <c r="Q3991" t="s">
        <v>8327</v>
      </c>
    </row>
    <row r="3992" spans="1:17" x14ac:dyDescent="0.3">
      <c r="A3992" t="s">
        <v>4664</v>
      </c>
      <c r="B3992" t="str">
        <f>"300236"</f>
        <v>300236</v>
      </c>
      <c r="C3992" t="s">
        <v>8328</v>
      </c>
      <c r="D3992" t="s">
        <v>2399</v>
      </c>
      <c r="F3992">
        <v>151.43190000000001</v>
      </c>
      <c r="G3992">
        <v>136.26849999999999</v>
      </c>
      <c r="H3992">
        <v>138.87389999999999</v>
      </c>
      <c r="I3992">
        <v>147.6448</v>
      </c>
      <c r="J3992">
        <v>164.5196</v>
      </c>
      <c r="K3992">
        <v>169.5712</v>
      </c>
      <c r="L3992">
        <v>165.63329999999999</v>
      </c>
      <c r="M3992">
        <v>138.3802</v>
      </c>
      <c r="N3992">
        <v>281.41609999999997</v>
      </c>
      <c r="O3992">
        <v>173.8535</v>
      </c>
      <c r="P3992">
        <v>414</v>
      </c>
      <c r="Q3992" t="s">
        <v>8329</v>
      </c>
    </row>
    <row r="3993" spans="1:17" x14ac:dyDescent="0.3">
      <c r="A3993" t="s">
        <v>4664</v>
      </c>
      <c r="B3993" t="str">
        <f>"300237"</f>
        <v>300237</v>
      </c>
      <c r="C3993" t="s">
        <v>8330</v>
      </c>
      <c r="D3993" t="s">
        <v>2408</v>
      </c>
      <c r="F3993">
        <v>123.90900000000001</v>
      </c>
      <c r="G3993">
        <v>706.03189999999995</v>
      </c>
      <c r="H3993">
        <v>1351.742</v>
      </c>
      <c r="I3993">
        <v>929.86770000000001</v>
      </c>
      <c r="J3993">
        <v>643.98749999999995</v>
      </c>
      <c r="K3993">
        <v>565.69349999999997</v>
      </c>
      <c r="L3993">
        <v>575.73220000000003</v>
      </c>
      <c r="M3993">
        <v>463.67779999999999</v>
      </c>
      <c r="N3993">
        <v>119.2167</v>
      </c>
      <c r="O3993">
        <v>127.8981</v>
      </c>
      <c r="P3993">
        <v>315</v>
      </c>
      <c r="Q3993" t="s">
        <v>8331</v>
      </c>
    </row>
    <row r="3994" spans="1:17" x14ac:dyDescent="0.3">
      <c r="A3994" t="s">
        <v>4664</v>
      </c>
      <c r="B3994" t="str">
        <f>"300238"</f>
        <v>300238</v>
      </c>
      <c r="C3994" t="s">
        <v>8332</v>
      </c>
      <c r="D3994" t="s">
        <v>1077</v>
      </c>
      <c r="F3994">
        <v>531.8451</v>
      </c>
      <c r="G3994">
        <v>441.09160000000003</v>
      </c>
      <c r="H3994">
        <v>345.13440000000003</v>
      </c>
      <c r="I3994">
        <v>333.4228</v>
      </c>
      <c r="J3994">
        <v>246.15039999999999</v>
      </c>
      <c r="K3994">
        <v>331.81060000000002</v>
      </c>
      <c r="L3994">
        <v>354.30270000000002</v>
      </c>
      <c r="M3994">
        <v>638.88729999999998</v>
      </c>
      <c r="N3994">
        <v>397.14729999999997</v>
      </c>
      <c r="O3994">
        <v>397.4828</v>
      </c>
      <c r="P3994">
        <v>195</v>
      </c>
      <c r="Q3994" t="s">
        <v>8333</v>
      </c>
    </row>
    <row r="3995" spans="1:17" x14ac:dyDescent="0.3">
      <c r="A3995" t="s">
        <v>4664</v>
      </c>
      <c r="B3995" t="str">
        <f>"300239"</f>
        <v>300239</v>
      </c>
      <c r="C3995" t="s">
        <v>8334</v>
      </c>
      <c r="D3995" t="s">
        <v>1379</v>
      </c>
      <c r="F3995">
        <v>275.59359999999998</v>
      </c>
      <c r="G3995">
        <v>388.40600000000001</v>
      </c>
      <c r="H3995">
        <v>308.87759999999997</v>
      </c>
      <c r="I3995">
        <v>260.36279999999999</v>
      </c>
      <c r="J3995">
        <v>226.0916</v>
      </c>
      <c r="K3995">
        <v>216.90870000000001</v>
      </c>
      <c r="L3995">
        <v>331.19589999999999</v>
      </c>
      <c r="M3995">
        <v>352.44369999999998</v>
      </c>
      <c r="N3995">
        <v>161.15100000000001</v>
      </c>
      <c r="O3995">
        <v>171.88659999999999</v>
      </c>
      <c r="P3995">
        <v>107</v>
      </c>
      <c r="Q3995" t="s">
        <v>8335</v>
      </c>
    </row>
    <row r="3996" spans="1:17" x14ac:dyDescent="0.3">
      <c r="A3996" t="s">
        <v>4664</v>
      </c>
      <c r="B3996" t="str">
        <f>"300240"</f>
        <v>300240</v>
      </c>
      <c r="C3996" t="s">
        <v>8336</v>
      </c>
      <c r="D3996" t="s">
        <v>3098</v>
      </c>
      <c r="F3996">
        <v>10.0733</v>
      </c>
      <c r="G3996">
        <v>10.1792</v>
      </c>
      <c r="H3996">
        <v>20.577200000000001</v>
      </c>
      <c r="I3996">
        <v>12.575900000000001</v>
      </c>
      <c r="J3996">
        <v>7.1977000000000002</v>
      </c>
      <c r="K3996">
        <v>6.4691000000000001</v>
      </c>
      <c r="L3996">
        <v>4.8616000000000001</v>
      </c>
      <c r="M3996">
        <v>7.2911999999999999</v>
      </c>
      <c r="N3996">
        <v>26.118600000000001</v>
      </c>
      <c r="O3996">
        <v>25.368400000000001</v>
      </c>
      <c r="P3996">
        <v>67</v>
      </c>
      <c r="Q3996" t="s">
        <v>8337</v>
      </c>
    </row>
    <row r="3997" spans="1:17" x14ac:dyDescent="0.3">
      <c r="A3997" t="s">
        <v>4664</v>
      </c>
      <c r="B3997" t="str">
        <f>"300241"</f>
        <v>300241</v>
      </c>
      <c r="C3997" t="s">
        <v>8338</v>
      </c>
      <c r="D3997" t="s">
        <v>803</v>
      </c>
      <c r="F3997">
        <v>97.691800000000001</v>
      </c>
      <c r="G3997">
        <v>95.062899999999999</v>
      </c>
      <c r="H3997">
        <v>87.984999999999999</v>
      </c>
      <c r="I3997">
        <v>98.015900000000002</v>
      </c>
      <c r="J3997">
        <v>90.301100000000005</v>
      </c>
      <c r="K3997">
        <v>83.452699999999993</v>
      </c>
      <c r="L3997">
        <v>54.482199999999999</v>
      </c>
      <c r="M3997">
        <v>58.449100000000001</v>
      </c>
      <c r="N3997">
        <v>62.8705</v>
      </c>
      <c r="O3997">
        <v>103.0043</v>
      </c>
      <c r="P3997">
        <v>170</v>
      </c>
      <c r="Q3997" t="s">
        <v>8339</v>
      </c>
    </row>
    <row r="3998" spans="1:17" x14ac:dyDescent="0.3">
      <c r="A3998" t="s">
        <v>4664</v>
      </c>
      <c r="B3998" t="str">
        <f>"300242"</f>
        <v>300242</v>
      </c>
      <c r="C3998" t="s">
        <v>8340</v>
      </c>
      <c r="D3998" t="s">
        <v>207</v>
      </c>
      <c r="F3998">
        <v>8.43E-2</v>
      </c>
      <c r="G3998">
        <v>5.7500000000000002E-2</v>
      </c>
      <c r="H3998">
        <v>2.0999999999999999E-3</v>
      </c>
      <c r="I3998">
        <v>0</v>
      </c>
      <c r="J3998">
        <v>0</v>
      </c>
      <c r="K3998">
        <v>4.1254</v>
      </c>
      <c r="L3998">
        <v>26.7332</v>
      </c>
      <c r="M3998">
        <v>178.16149999999999</v>
      </c>
      <c r="N3998">
        <v>244.66730000000001</v>
      </c>
      <c r="O3998">
        <v>212.06460000000001</v>
      </c>
      <c r="P3998">
        <v>95</v>
      </c>
      <c r="Q3998" t="s">
        <v>8341</v>
      </c>
    </row>
    <row r="3999" spans="1:17" x14ac:dyDescent="0.3">
      <c r="A3999" t="s">
        <v>4664</v>
      </c>
      <c r="B3999" t="str">
        <f>"300243"</f>
        <v>300243</v>
      </c>
      <c r="C3999" t="s">
        <v>8342</v>
      </c>
      <c r="D3999" t="s">
        <v>1192</v>
      </c>
      <c r="F3999">
        <v>48.831000000000003</v>
      </c>
      <c r="G3999">
        <v>50.456200000000003</v>
      </c>
      <c r="H3999">
        <v>53.2776</v>
      </c>
      <c r="I3999">
        <v>52.1449</v>
      </c>
      <c r="J3999">
        <v>43.435499999999998</v>
      </c>
      <c r="K3999">
        <v>59.3553</v>
      </c>
      <c r="L3999">
        <v>74.923500000000004</v>
      </c>
      <c r="M3999">
        <v>75.184200000000004</v>
      </c>
      <c r="N3999">
        <v>80.336500000000001</v>
      </c>
      <c r="O3999">
        <v>64.53</v>
      </c>
      <c r="P3999">
        <v>103</v>
      </c>
      <c r="Q3999" t="s">
        <v>8343</v>
      </c>
    </row>
    <row r="4000" spans="1:17" x14ac:dyDescent="0.3">
      <c r="A4000" t="s">
        <v>4664</v>
      </c>
      <c r="B4000" t="str">
        <f>"300244"</f>
        <v>300244</v>
      </c>
      <c r="C4000" t="s">
        <v>8344</v>
      </c>
      <c r="D4000" t="s">
        <v>2565</v>
      </c>
      <c r="F4000">
        <v>76.791899999999998</v>
      </c>
      <c r="G4000">
        <v>104.696</v>
      </c>
      <c r="H4000">
        <v>108.7226</v>
      </c>
      <c r="I4000">
        <v>98.470399999999998</v>
      </c>
      <c r="J4000">
        <v>80.056899999999999</v>
      </c>
      <c r="K4000">
        <v>58.028199999999998</v>
      </c>
      <c r="L4000">
        <v>58.265000000000001</v>
      </c>
      <c r="M4000">
        <v>41.880099999999999</v>
      </c>
      <c r="N4000">
        <v>67.826999999999998</v>
      </c>
      <c r="O4000">
        <v>68.164299999999997</v>
      </c>
      <c r="P4000">
        <v>1268</v>
      </c>
      <c r="Q4000" t="s">
        <v>8345</v>
      </c>
    </row>
    <row r="4001" spans="1:17" x14ac:dyDescent="0.3">
      <c r="A4001" t="s">
        <v>4664</v>
      </c>
      <c r="B4001" t="str">
        <f>"300245"</f>
        <v>300245</v>
      </c>
      <c r="C4001" t="s">
        <v>8346</v>
      </c>
      <c r="D4001" t="s">
        <v>316</v>
      </c>
      <c r="F4001">
        <v>94.723399999999998</v>
      </c>
      <c r="G4001">
        <v>79.7376</v>
      </c>
      <c r="H4001">
        <v>71.126199999999997</v>
      </c>
      <c r="I4001">
        <v>74.397400000000005</v>
      </c>
      <c r="J4001">
        <v>104.45140000000001</v>
      </c>
      <c r="K4001">
        <v>49.793900000000001</v>
      </c>
      <c r="L4001">
        <v>63.9649</v>
      </c>
      <c r="M4001">
        <v>63.834899999999998</v>
      </c>
      <c r="N4001">
        <v>66.789900000000003</v>
      </c>
      <c r="O4001">
        <v>86.9773</v>
      </c>
      <c r="P4001">
        <v>128</v>
      </c>
      <c r="Q4001" t="s">
        <v>8347</v>
      </c>
    </row>
    <row r="4002" spans="1:17" x14ac:dyDescent="0.3">
      <c r="A4002" t="s">
        <v>4664</v>
      </c>
      <c r="B4002" t="str">
        <f>"300246"</f>
        <v>300246</v>
      </c>
      <c r="C4002" t="s">
        <v>8348</v>
      </c>
      <c r="D4002" t="s">
        <v>122</v>
      </c>
      <c r="F4002">
        <v>116.1143</v>
      </c>
      <c r="G4002">
        <v>82.436599999999999</v>
      </c>
      <c r="H4002">
        <v>91.900300000000001</v>
      </c>
      <c r="I4002">
        <v>94.530500000000004</v>
      </c>
      <c r="J4002">
        <v>85.937700000000007</v>
      </c>
      <c r="K4002">
        <v>99.022800000000004</v>
      </c>
      <c r="L4002">
        <v>137.79349999999999</v>
      </c>
      <c r="M4002">
        <v>166.6438</v>
      </c>
      <c r="N4002">
        <v>176.30549999999999</v>
      </c>
      <c r="O4002">
        <v>210.5949</v>
      </c>
      <c r="P4002">
        <v>511</v>
      </c>
      <c r="Q4002" t="s">
        <v>8349</v>
      </c>
    </row>
    <row r="4003" spans="1:17" x14ac:dyDescent="0.3">
      <c r="A4003" t="s">
        <v>4664</v>
      </c>
      <c r="B4003" t="str">
        <f>"300247"</f>
        <v>300247</v>
      </c>
      <c r="C4003" t="s">
        <v>8350</v>
      </c>
      <c r="D4003" t="s">
        <v>3015</v>
      </c>
      <c r="F4003">
        <v>175.0658</v>
      </c>
      <c r="G4003">
        <v>196.5155</v>
      </c>
      <c r="H4003">
        <v>207.55340000000001</v>
      </c>
      <c r="I4003">
        <v>216.75819999999999</v>
      </c>
      <c r="J4003">
        <v>183.61799999999999</v>
      </c>
      <c r="K4003">
        <v>372.72609999999997</v>
      </c>
      <c r="L4003">
        <v>326.87900000000002</v>
      </c>
      <c r="M4003">
        <v>268.61180000000002</v>
      </c>
      <c r="N4003">
        <v>270.50549999999998</v>
      </c>
      <c r="O4003">
        <v>199.6842</v>
      </c>
      <c r="P4003">
        <v>107</v>
      </c>
      <c r="Q4003" t="s">
        <v>8351</v>
      </c>
    </row>
    <row r="4004" spans="1:17" x14ac:dyDescent="0.3">
      <c r="A4004" t="s">
        <v>4664</v>
      </c>
      <c r="B4004" t="str">
        <f>"300248"</f>
        <v>300248</v>
      </c>
      <c r="C4004" t="s">
        <v>8352</v>
      </c>
      <c r="D4004" t="s">
        <v>236</v>
      </c>
      <c r="F4004">
        <v>459.80650000000003</v>
      </c>
      <c r="G4004">
        <v>474.23809999999997</v>
      </c>
      <c r="H4004">
        <v>384.488</v>
      </c>
      <c r="I4004">
        <v>400.43430000000001</v>
      </c>
      <c r="J4004">
        <v>393.45510000000002</v>
      </c>
      <c r="K4004">
        <v>396.89920000000001</v>
      </c>
      <c r="L4004">
        <v>380.87180000000001</v>
      </c>
      <c r="M4004">
        <v>342.5659</v>
      </c>
      <c r="N4004">
        <v>303.10219999999998</v>
      </c>
      <c r="O4004">
        <v>327.84480000000002</v>
      </c>
      <c r="P4004">
        <v>209</v>
      </c>
      <c r="Q4004" t="s">
        <v>8353</v>
      </c>
    </row>
    <row r="4005" spans="1:17" x14ac:dyDescent="0.3">
      <c r="A4005" t="s">
        <v>4664</v>
      </c>
      <c r="B4005" t="str">
        <f>"300249"</f>
        <v>300249</v>
      </c>
      <c r="C4005" t="s">
        <v>8354</v>
      </c>
      <c r="D4005" t="s">
        <v>236</v>
      </c>
      <c r="F4005">
        <v>213.78030000000001</v>
      </c>
      <c r="G4005">
        <v>226.0146</v>
      </c>
      <c r="H4005">
        <v>284.28879999999998</v>
      </c>
      <c r="I4005">
        <v>137.6678</v>
      </c>
      <c r="J4005">
        <v>258.77760000000001</v>
      </c>
      <c r="K4005">
        <v>253.142</v>
      </c>
      <c r="L4005">
        <v>205.47020000000001</v>
      </c>
      <c r="M4005">
        <v>156.4348</v>
      </c>
      <c r="N4005">
        <v>121.63200000000001</v>
      </c>
      <c r="O4005">
        <v>117.9645</v>
      </c>
      <c r="P4005">
        <v>195</v>
      </c>
      <c r="Q4005" t="s">
        <v>8355</v>
      </c>
    </row>
    <row r="4006" spans="1:17" x14ac:dyDescent="0.3">
      <c r="A4006" t="s">
        <v>4664</v>
      </c>
      <c r="B4006" t="str">
        <f>"300250"</f>
        <v>300250</v>
      </c>
      <c r="C4006" t="s">
        <v>8356</v>
      </c>
      <c r="D4006" t="s">
        <v>316</v>
      </c>
      <c r="F4006">
        <v>220.6223</v>
      </c>
      <c r="G4006">
        <v>242.46780000000001</v>
      </c>
      <c r="H4006">
        <v>199.81280000000001</v>
      </c>
      <c r="I4006">
        <v>343.83519999999999</v>
      </c>
      <c r="J4006">
        <v>465.36750000000001</v>
      </c>
      <c r="K4006">
        <v>342.33909999999997</v>
      </c>
      <c r="L4006">
        <v>256.0496</v>
      </c>
      <c r="M4006">
        <v>140.75919999999999</v>
      </c>
      <c r="N4006">
        <v>149.71369999999999</v>
      </c>
      <c r="O4006">
        <v>118.81789999999999</v>
      </c>
      <c r="P4006">
        <v>159</v>
      </c>
      <c r="Q4006" t="s">
        <v>8357</v>
      </c>
    </row>
    <row r="4007" spans="1:17" x14ac:dyDescent="0.3">
      <c r="A4007" t="s">
        <v>4664</v>
      </c>
      <c r="B4007" t="str">
        <f>"300251"</f>
        <v>300251</v>
      </c>
      <c r="C4007" t="s">
        <v>8358</v>
      </c>
      <c r="D4007" t="s">
        <v>113</v>
      </c>
      <c r="F4007">
        <v>607.44849999999997</v>
      </c>
      <c r="G4007">
        <v>1190.8198</v>
      </c>
      <c r="H4007">
        <v>366.66829999999999</v>
      </c>
      <c r="I4007">
        <v>623.70929999999998</v>
      </c>
      <c r="J4007">
        <v>249.96940000000001</v>
      </c>
      <c r="K4007">
        <v>282.23899999999998</v>
      </c>
      <c r="L4007">
        <v>338.30149999999998</v>
      </c>
      <c r="M4007">
        <v>297.20060000000001</v>
      </c>
      <c r="N4007">
        <v>179.84559999999999</v>
      </c>
      <c r="O4007">
        <v>112.00069999999999</v>
      </c>
      <c r="P4007">
        <v>807</v>
      </c>
      <c r="Q4007" t="s">
        <v>8359</v>
      </c>
    </row>
    <row r="4008" spans="1:17" x14ac:dyDescent="0.3">
      <c r="A4008" t="s">
        <v>4664</v>
      </c>
      <c r="B4008" t="str">
        <f>"300252"</f>
        <v>300252</v>
      </c>
      <c r="C4008" t="s">
        <v>8360</v>
      </c>
      <c r="D4008" t="s">
        <v>1136</v>
      </c>
      <c r="F4008">
        <v>98.459699999999998</v>
      </c>
      <c r="G4008">
        <v>96.391900000000007</v>
      </c>
      <c r="H4008">
        <v>83.363600000000005</v>
      </c>
      <c r="I4008">
        <v>110.3246</v>
      </c>
      <c r="J4008">
        <v>103.107</v>
      </c>
      <c r="K4008">
        <v>87.985200000000006</v>
      </c>
      <c r="L4008">
        <v>97.728300000000004</v>
      </c>
      <c r="M4008">
        <v>98.830100000000002</v>
      </c>
      <c r="N4008">
        <v>176.90180000000001</v>
      </c>
      <c r="O4008">
        <v>167.78639999999999</v>
      </c>
      <c r="P4008">
        <v>217</v>
      </c>
      <c r="Q4008" t="s">
        <v>8361</v>
      </c>
    </row>
    <row r="4009" spans="1:17" x14ac:dyDescent="0.3">
      <c r="A4009" t="s">
        <v>4664</v>
      </c>
      <c r="B4009" t="str">
        <f>"300253"</f>
        <v>300253</v>
      </c>
      <c r="C4009" t="s">
        <v>8362</v>
      </c>
      <c r="D4009" t="s">
        <v>945</v>
      </c>
      <c r="F4009">
        <v>55.226300000000002</v>
      </c>
      <c r="G4009">
        <v>95.842600000000004</v>
      </c>
      <c r="H4009">
        <v>99.120199999999997</v>
      </c>
      <c r="I4009">
        <v>98.181899999999999</v>
      </c>
      <c r="J4009">
        <v>114.8742</v>
      </c>
      <c r="K4009">
        <v>71.16</v>
      </c>
      <c r="L4009">
        <v>81.512500000000003</v>
      </c>
      <c r="M4009">
        <v>53.759500000000003</v>
      </c>
      <c r="N4009">
        <v>73.462100000000007</v>
      </c>
      <c r="O4009">
        <v>85.8459</v>
      </c>
      <c r="P4009">
        <v>935</v>
      </c>
      <c r="Q4009" t="s">
        <v>8363</v>
      </c>
    </row>
    <row r="4010" spans="1:17" x14ac:dyDescent="0.3">
      <c r="A4010" t="s">
        <v>4664</v>
      </c>
      <c r="B4010" t="str">
        <f>"300254"</f>
        <v>300254</v>
      </c>
      <c r="C4010" t="s">
        <v>8364</v>
      </c>
      <c r="D4010" t="s">
        <v>143</v>
      </c>
      <c r="F4010">
        <v>219.11279999999999</v>
      </c>
      <c r="G4010">
        <v>290.20819999999998</v>
      </c>
      <c r="H4010">
        <v>236.42060000000001</v>
      </c>
      <c r="I4010">
        <v>211.03210000000001</v>
      </c>
      <c r="J4010">
        <v>205.5204</v>
      </c>
      <c r="K4010">
        <v>178.93369999999999</v>
      </c>
      <c r="L4010">
        <v>158.8681</v>
      </c>
      <c r="M4010">
        <v>159.46360000000001</v>
      </c>
      <c r="N4010">
        <v>145.0067</v>
      </c>
      <c r="O4010">
        <v>199.7354</v>
      </c>
      <c r="P4010">
        <v>82</v>
      </c>
      <c r="Q4010" t="s">
        <v>8365</v>
      </c>
    </row>
    <row r="4011" spans="1:17" x14ac:dyDescent="0.3">
      <c r="A4011" t="s">
        <v>4664</v>
      </c>
      <c r="B4011" t="str">
        <f>"300255"</f>
        <v>300255</v>
      </c>
      <c r="C4011" t="s">
        <v>8366</v>
      </c>
      <c r="D4011" t="s">
        <v>143</v>
      </c>
      <c r="F4011">
        <v>886.12289999999996</v>
      </c>
      <c r="G4011">
        <v>1259.1756</v>
      </c>
      <c r="H4011">
        <v>1185.8059000000001</v>
      </c>
      <c r="I4011">
        <v>1123.6715999999999</v>
      </c>
      <c r="J4011">
        <v>1414.1048000000001</v>
      </c>
      <c r="K4011">
        <v>1212.6523999999999</v>
      </c>
      <c r="L4011">
        <v>1044.1769999999999</v>
      </c>
      <c r="M4011">
        <v>790.96540000000005</v>
      </c>
      <c r="N4011">
        <v>426.31990000000002</v>
      </c>
      <c r="O4011">
        <v>384.59750000000003</v>
      </c>
      <c r="P4011">
        <v>175</v>
      </c>
      <c r="Q4011" t="s">
        <v>8367</v>
      </c>
    </row>
    <row r="4012" spans="1:17" x14ac:dyDescent="0.3">
      <c r="A4012" t="s">
        <v>4664</v>
      </c>
      <c r="B4012" t="str">
        <f>"300256"</f>
        <v>300256</v>
      </c>
      <c r="C4012" t="s">
        <v>8368</v>
      </c>
      <c r="D4012" t="s">
        <v>313</v>
      </c>
      <c r="F4012">
        <v>125.6361</v>
      </c>
      <c r="G4012">
        <v>127.45059999999999</v>
      </c>
      <c r="H4012">
        <v>201.28149999999999</v>
      </c>
      <c r="I4012">
        <v>195.55969999999999</v>
      </c>
      <c r="J4012">
        <v>150.4075</v>
      </c>
      <c r="K4012">
        <v>131.00280000000001</v>
      </c>
      <c r="L4012">
        <v>106.3967</v>
      </c>
      <c r="M4012">
        <v>112.7286</v>
      </c>
      <c r="N4012">
        <v>141.86089999999999</v>
      </c>
      <c r="O4012">
        <v>162.43270000000001</v>
      </c>
      <c r="P4012">
        <v>206</v>
      </c>
      <c r="Q4012" t="s">
        <v>8369</v>
      </c>
    </row>
    <row r="4013" spans="1:17" x14ac:dyDescent="0.3">
      <c r="A4013" t="s">
        <v>4664</v>
      </c>
      <c r="B4013" t="str">
        <f>"300257"</f>
        <v>300257</v>
      </c>
      <c r="C4013" t="s">
        <v>8370</v>
      </c>
      <c r="D4013" t="s">
        <v>560</v>
      </c>
      <c r="F4013">
        <v>241.404</v>
      </c>
      <c r="G4013">
        <v>270.53840000000002</v>
      </c>
      <c r="H4013">
        <v>274.5591</v>
      </c>
      <c r="I4013">
        <v>232.03960000000001</v>
      </c>
      <c r="J4013">
        <v>258.2389</v>
      </c>
      <c r="K4013">
        <v>279.2647</v>
      </c>
      <c r="L4013">
        <v>231.14400000000001</v>
      </c>
      <c r="M4013">
        <v>200.43039999999999</v>
      </c>
      <c r="N4013">
        <v>172.01349999999999</v>
      </c>
      <c r="O4013">
        <v>151.81110000000001</v>
      </c>
      <c r="P4013">
        <v>148</v>
      </c>
      <c r="Q4013" t="s">
        <v>8371</v>
      </c>
    </row>
    <row r="4014" spans="1:17" x14ac:dyDescent="0.3">
      <c r="A4014" t="s">
        <v>4664</v>
      </c>
      <c r="B4014" t="str">
        <f>"300258"</f>
        <v>300258</v>
      </c>
      <c r="C4014" t="s">
        <v>8372</v>
      </c>
      <c r="D4014" t="s">
        <v>348</v>
      </c>
      <c r="F4014">
        <v>141.23179999999999</v>
      </c>
      <c r="G4014">
        <v>151.7079</v>
      </c>
      <c r="H4014">
        <v>144.6653</v>
      </c>
      <c r="I4014">
        <v>137.96629999999999</v>
      </c>
      <c r="J4014">
        <v>142.42580000000001</v>
      </c>
      <c r="K4014">
        <v>157.44239999999999</v>
      </c>
      <c r="L4014">
        <v>177.73310000000001</v>
      </c>
      <c r="M4014">
        <v>164.7895</v>
      </c>
      <c r="N4014">
        <v>152.19110000000001</v>
      </c>
      <c r="O4014">
        <v>180.4222</v>
      </c>
      <c r="P4014">
        <v>330</v>
      </c>
      <c r="Q4014" t="s">
        <v>8373</v>
      </c>
    </row>
    <row r="4015" spans="1:17" x14ac:dyDescent="0.3">
      <c r="A4015" t="s">
        <v>4664</v>
      </c>
      <c r="B4015" t="str">
        <f>"300259"</f>
        <v>300259</v>
      </c>
      <c r="C4015" t="s">
        <v>8374</v>
      </c>
      <c r="D4015" t="s">
        <v>2551</v>
      </c>
      <c r="F4015">
        <v>228.4821</v>
      </c>
      <c r="G4015">
        <v>265.13339999999999</v>
      </c>
      <c r="H4015">
        <v>256.98200000000003</v>
      </c>
      <c r="I4015">
        <v>296.5591</v>
      </c>
      <c r="J4015">
        <v>192.51499999999999</v>
      </c>
      <c r="K4015">
        <v>134.96520000000001</v>
      </c>
      <c r="L4015">
        <v>96.079099999999997</v>
      </c>
      <c r="M4015">
        <v>147.33600000000001</v>
      </c>
      <c r="N4015">
        <v>166.20050000000001</v>
      </c>
      <c r="O4015">
        <v>154.08410000000001</v>
      </c>
      <c r="P4015">
        <v>360</v>
      </c>
      <c r="Q4015" t="s">
        <v>8375</v>
      </c>
    </row>
    <row r="4016" spans="1:17" x14ac:dyDescent="0.3">
      <c r="A4016" t="s">
        <v>4664</v>
      </c>
      <c r="B4016" t="str">
        <f>"300260"</f>
        <v>300260</v>
      </c>
      <c r="C4016" t="s">
        <v>8376</v>
      </c>
      <c r="D4016" t="s">
        <v>274</v>
      </c>
      <c r="F4016">
        <v>273.28199999999998</v>
      </c>
      <c r="G4016">
        <v>370.70519999999999</v>
      </c>
      <c r="H4016">
        <v>305.14789999999999</v>
      </c>
      <c r="I4016">
        <v>292.65640000000002</v>
      </c>
      <c r="J4016">
        <v>376.56029999999998</v>
      </c>
      <c r="K4016">
        <v>463.15170000000001</v>
      </c>
      <c r="L4016">
        <v>418.10199999999998</v>
      </c>
      <c r="M4016">
        <v>389.58240000000001</v>
      </c>
      <c r="N4016">
        <v>272.92720000000003</v>
      </c>
      <c r="O4016">
        <v>403.53660000000002</v>
      </c>
      <c r="P4016">
        <v>211</v>
      </c>
      <c r="Q4016" t="s">
        <v>8377</v>
      </c>
    </row>
    <row r="4017" spans="1:17" x14ac:dyDescent="0.3">
      <c r="A4017" t="s">
        <v>4664</v>
      </c>
      <c r="B4017" t="str">
        <f>"300261"</f>
        <v>300261</v>
      </c>
      <c r="C4017" t="s">
        <v>8378</v>
      </c>
      <c r="D4017" t="s">
        <v>853</v>
      </c>
      <c r="F4017">
        <v>115.9823</v>
      </c>
      <c r="G4017">
        <v>109.3091</v>
      </c>
      <c r="H4017">
        <v>146.26689999999999</v>
      </c>
      <c r="I4017">
        <v>111.6014</v>
      </c>
      <c r="J4017">
        <v>157.9092</v>
      </c>
      <c r="K4017">
        <v>231.23609999999999</v>
      </c>
      <c r="L4017">
        <v>185.55410000000001</v>
      </c>
      <c r="M4017">
        <v>156.24430000000001</v>
      </c>
      <c r="N4017">
        <v>180.04750000000001</v>
      </c>
      <c r="O4017">
        <v>168.15950000000001</v>
      </c>
      <c r="P4017">
        <v>139</v>
      </c>
      <c r="Q4017" t="s">
        <v>8379</v>
      </c>
    </row>
    <row r="4018" spans="1:17" x14ac:dyDescent="0.3">
      <c r="A4018" t="s">
        <v>4664</v>
      </c>
      <c r="B4018" t="str">
        <f>"300262"</f>
        <v>300262</v>
      </c>
      <c r="C4018" t="s">
        <v>8380</v>
      </c>
      <c r="D4018" t="s">
        <v>33</v>
      </c>
      <c r="F4018">
        <v>458.1019</v>
      </c>
      <c r="G4018">
        <v>529.27430000000004</v>
      </c>
      <c r="H4018">
        <v>362.37259999999998</v>
      </c>
      <c r="I4018">
        <v>389.2586</v>
      </c>
      <c r="J4018">
        <v>441.14830000000001</v>
      </c>
      <c r="K4018">
        <v>60.596699999999998</v>
      </c>
      <c r="L4018">
        <v>23.6144</v>
      </c>
      <c r="M4018">
        <v>12.1114</v>
      </c>
      <c r="N4018">
        <v>481.07900000000001</v>
      </c>
      <c r="O4018">
        <v>290.38170000000002</v>
      </c>
      <c r="P4018">
        <v>127</v>
      </c>
      <c r="Q4018" t="s">
        <v>8381</v>
      </c>
    </row>
    <row r="4019" spans="1:17" x14ac:dyDescent="0.3">
      <c r="A4019" t="s">
        <v>4664</v>
      </c>
      <c r="B4019" t="str">
        <f>"300263"</f>
        <v>300263</v>
      </c>
      <c r="C4019" t="s">
        <v>8382</v>
      </c>
      <c r="D4019" t="s">
        <v>560</v>
      </c>
      <c r="F4019">
        <v>214.2603</v>
      </c>
      <c r="G4019">
        <v>234.7054</v>
      </c>
      <c r="H4019">
        <v>230.68989999999999</v>
      </c>
      <c r="I4019">
        <v>239.37909999999999</v>
      </c>
      <c r="J4019">
        <v>253.93350000000001</v>
      </c>
      <c r="K4019">
        <v>262.64980000000003</v>
      </c>
      <c r="L4019">
        <v>209.43289999999999</v>
      </c>
      <c r="M4019">
        <v>226.423</v>
      </c>
      <c r="N4019">
        <v>213.68700000000001</v>
      </c>
      <c r="O4019">
        <v>200.38929999999999</v>
      </c>
      <c r="P4019">
        <v>232</v>
      </c>
      <c r="Q4019" t="s">
        <v>8383</v>
      </c>
    </row>
    <row r="4020" spans="1:17" x14ac:dyDescent="0.3">
      <c r="A4020" t="s">
        <v>4664</v>
      </c>
      <c r="B4020" t="str">
        <f>"300264"</f>
        <v>300264</v>
      </c>
      <c r="C4020" t="s">
        <v>8384</v>
      </c>
      <c r="D4020" t="s">
        <v>316</v>
      </c>
      <c r="F4020">
        <v>374.19850000000002</v>
      </c>
      <c r="G4020">
        <v>371.03429999999997</v>
      </c>
      <c r="H4020">
        <v>327.21469999999999</v>
      </c>
      <c r="I4020">
        <v>226.42410000000001</v>
      </c>
      <c r="J4020">
        <v>187.3835</v>
      </c>
      <c r="K4020">
        <v>180.44990000000001</v>
      </c>
      <c r="L4020">
        <v>199.6789</v>
      </c>
      <c r="M4020">
        <v>179.33539999999999</v>
      </c>
      <c r="N4020">
        <v>249.3526</v>
      </c>
      <c r="O4020">
        <v>151.84690000000001</v>
      </c>
      <c r="P4020">
        <v>132</v>
      </c>
      <c r="Q4020" t="s">
        <v>8385</v>
      </c>
    </row>
    <row r="4021" spans="1:17" x14ac:dyDescent="0.3">
      <c r="A4021" t="s">
        <v>4664</v>
      </c>
      <c r="B4021" t="str">
        <f>"300265"</f>
        <v>300265</v>
      </c>
      <c r="C4021" t="s">
        <v>8386</v>
      </c>
      <c r="D4021" t="s">
        <v>1164</v>
      </c>
      <c r="F4021">
        <v>82.701999999999998</v>
      </c>
      <c r="G4021">
        <v>112.119</v>
      </c>
      <c r="H4021">
        <v>101.4395</v>
      </c>
      <c r="I4021">
        <v>85.2333</v>
      </c>
      <c r="J4021">
        <v>83.629499999999993</v>
      </c>
      <c r="K4021">
        <v>111.14360000000001</v>
      </c>
      <c r="L4021">
        <v>110.4076</v>
      </c>
      <c r="M4021">
        <v>116.8091</v>
      </c>
      <c r="N4021">
        <v>104.3562</v>
      </c>
      <c r="O4021">
        <v>110.6634</v>
      </c>
      <c r="P4021">
        <v>162</v>
      </c>
      <c r="Q4021" t="s">
        <v>8387</v>
      </c>
    </row>
    <row r="4022" spans="1:17" x14ac:dyDescent="0.3">
      <c r="A4022" t="s">
        <v>4664</v>
      </c>
      <c r="B4022" t="str">
        <f>"300266"</f>
        <v>300266</v>
      </c>
      <c r="C4022" t="s">
        <v>8388</v>
      </c>
      <c r="D4022" t="s">
        <v>33</v>
      </c>
      <c r="F4022">
        <v>42.667099999999998</v>
      </c>
      <c r="G4022">
        <v>771.62630000000001</v>
      </c>
      <c r="H4022">
        <v>1539.5710999999999</v>
      </c>
      <c r="I4022">
        <v>1020.4789</v>
      </c>
      <c r="J4022">
        <v>427.6583</v>
      </c>
      <c r="K4022">
        <v>256.04180000000002</v>
      </c>
      <c r="L4022">
        <v>131.6053</v>
      </c>
      <c r="M4022">
        <v>100.212</v>
      </c>
      <c r="N4022">
        <v>174.42509999999999</v>
      </c>
      <c r="O4022">
        <v>178.97880000000001</v>
      </c>
      <c r="P4022">
        <v>145</v>
      </c>
      <c r="Q4022" t="s">
        <v>8389</v>
      </c>
    </row>
    <row r="4023" spans="1:17" x14ac:dyDescent="0.3">
      <c r="A4023" t="s">
        <v>4664</v>
      </c>
      <c r="B4023" t="str">
        <f>"300267"</f>
        <v>300267</v>
      </c>
      <c r="C4023" t="s">
        <v>8390</v>
      </c>
      <c r="D4023" t="s">
        <v>496</v>
      </c>
      <c r="F4023">
        <v>254.10740000000001</v>
      </c>
      <c r="G4023">
        <v>238.79310000000001</v>
      </c>
      <c r="H4023">
        <v>244.2843</v>
      </c>
      <c r="I4023">
        <v>343.10419999999999</v>
      </c>
      <c r="J4023">
        <v>228.9545</v>
      </c>
      <c r="K4023">
        <v>286.6533</v>
      </c>
      <c r="L4023">
        <v>268.89359999999999</v>
      </c>
      <c r="M4023">
        <v>120.7589</v>
      </c>
      <c r="N4023">
        <v>125.4567</v>
      </c>
      <c r="O4023">
        <v>109.75879999999999</v>
      </c>
      <c r="P4023">
        <v>237</v>
      </c>
      <c r="Q4023" t="s">
        <v>8391</v>
      </c>
    </row>
    <row r="4024" spans="1:17" x14ac:dyDescent="0.3">
      <c r="A4024" t="s">
        <v>4664</v>
      </c>
      <c r="B4024" t="str">
        <f>"300268"</f>
        <v>300268</v>
      </c>
      <c r="C4024" t="s">
        <v>8392</v>
      </c>
      <c r="D4024" t="s">
        <v>445</v>
      </c>
      <c r="F4024">
        <v>267.32819999999998</v>
      </c>
      <c r="G4024">
        <v>284.40100000000001</v>
      </c>
      <c r="H4024">
        <v>311.40550000000002</v>
      </c>
      <c r="I4024">
        <v>181.4068</v>
      </c>
      <c r="J4024">
        <v>373.26859999999999</v>
      </c>
      <c r="K4024">
        <v>3939.5055000000002</v>
      </c>
      <c r="L4024">
        <v>763.77049999999997</v>
      </c>
      <c r="M4024">
        <v>237.09350000000001</v>
      </c>
      <c r="N4024">
        <v>381.60419999999999</v>
      </c>
      <c r="O4024">
        <v>683.49170000000004</v>
      </c>
      <c r="P4024">
        <v>87</v>
      </c>
      <c r="Q4024" t="s">
        <v>8393</v>
      </c>
    </row>
    <row r="4025" spans="1:17" x14ac:dyDescent="0.3">
      <c r="A4025" t="s">
        <v>4664</v>
      </c>
      <c r="B4025" t="str">
        <f>"300269"</f>
        <v>300269</v>
      </c>
      <c r="C4025" t="s">
        <v>8394</v>
      </c>
      <c r="D4025" t="s">
        <v>207</v>
      </c>
      <c r="F4025">
        <v>139.58369999999999</v>
      </c>
      <c r="G4025">
        <v>138.02869999999999</v>
      </c>
      <c r="H4025">
        <v>61.873699999999999</v>
      </c>
      <c r="I4025">
        <v>64.160799999999995</v>
      </c>
      <c r="J4025">
        <v>58.5929</v>
      </c>
      <c r="K4025">
        <v>54.341999999999999</v>
      </c>
      <c r="L4025">
        <v>74.697599999999994</v>
      </c>
      <c r="M4025">
        <v>122.4594</v>
      </c>
      <c r="N4025">
        <v>217.4496</v>
      </c>
      <c r="O4025">
        <v>205.51140000000001</v>
      </c>
      <c r="P4025">
        <v>125</v>
      </c>
      <c r="Q4025" t="s">
        <v>8395</v>
      </c>
    </row>
    <row r="4026" spans="1:17" x14ac:dyDescent="0.3">
      <c r="A4026" t="s">
        <v>4664</v>
      </c>
      <c r="B4026" t="str">
        <f>"300270"</f>
        <v>300270</v>
      </c>
      <c r="C4026" t="s">
        <v>8396</v>
      </c>
      <c r="D4026" t="s">
        <v>2953</v>
      </c>
      <c r="F4026">
        <v>187.82220000000001</v>
      </c>
      <c r="G4026">
        <v>293.67829999999998</v>
      </c>
      <c r="H4026">
        <v>342.67939999999999</v>
      </c>
      <c r="I4026">
        <v>282.30059999999997</v>
      </c>
      <c r="J4026">
        <v>279.01490000000001</v>
      </c>
      <c r="K4026">
        <v>294.30560000000003</v>
      </c>
      <c r="L4026">
        <v>198.02500000000001</v>
      </c>
      <c r="M4026">
        <v>173.59630000000001</v>
      </c>
      <c r="N4026">
        <v>289.19709999999998</v>
      </c>
      <c r="O4026">
        <v>194.87039999999999</v>
      </c>
      <c r="P4026">
        <v>136</v>
      </c>
      <c r="Q4026" t="s">
        <v>8397</v>
      </c>
    </row>
    <row r="4027" spans="1:17" x14ac:dyDescent="0.3">
      <c r="A4027" t="s">
        <v>4664</v>
      </c>
      <c r="B4027" t="str">
        <f>"300271"</f>
        <v>300271</v>
      </c>
      <c r="C4027" t="s">
        <v>8398</v>
      </c>
      <c r="D4027" t="s">
        <v>316</v>
      </c>
      <c r="F4027">
        <v>329.96100000000001</v>
      </c>
      <c r="G4027">
        <v>415.20949999999999</v>
      </c>
      <c r="H4027">
        <v>212.2902</v>
      </c>
      <c r="I4027">
        <v>238.44139999999999</v>
      </c>
      <c r="J4027">
        <v>254.68350000000001</v>
      </c>
      <c r="K4027">
        <v>319.30880000000002</v>
      </c>
      <c r="L4027">
        <v>402.5385</v>
      </c>
      <c r="M4027">
        <v>395.0847</v>
      </c>
      <c r="N4027">
        <v>286.32530000000003</v>
      </c>
      <c r="O4027">
        <v>190.6671</v>
      </c>
      <c r="P4027">
        <v>590</v>
      </c>
      <c r="Q4027" t="s">
        <v>8399</v>
      </c>
    </row>
    <row r="4028" spans="1:17" x14ac:dyDescent="0.3">
      <c r="A4028" t="s">
        <v>4664</v>
      </c>
      <c r="B4028" t="str">
        <f>"300272"</f>
        <v>300272</v>
      </c>
      <c r="C4028" t="s">
        <v>8400</v>
      </c>
      <c r="D4028" t="s">
        <v>5712</v>
      </c>
      <c r="F4028">
        <v>132.88249999999999</v>
      </c>
      <c r="G4028">
        <v>147.22720000000001</v>
      </c>
      <c r="H4028">
        <v>131.91829999999999</v>
      </c>
      <c r="I4028">
        <v>118.99469999999999</v>
      </c>
      <c r="J4028">
        <v>115.84910000000001</v>
      </c>
      <c r="K4028">
        <v>105.9838</v>
      </c>
      <c r="L4028">
        <v>110.694</v>
      </c>
      <c r="M4028">
        <v>122.3896</v>
      </c>
      <c r="N4028">
        <v>150.69069999999999</v>
      </c>
      <c r="O4028">
        <v>142.7715</v>
      </c>
      <c r="P4028">
        <v>131</v>
      </c>
      <c r="Q4028" t="s">
        <v>8401</v>
      </c>
    </row>
    <row r="4029" spans="1:17" x14ac:dyDescent="0.3">
      <c r="A4029" t="s">
        <v>4664</v>
      </c>
      <c r="B4029" t="str">
        <f>"300273"</f>
        <v>300273</v>
      </c>
      <c r="C4029" t="s">
        <v>8402</v>
      </c>
      <c r="D4029" t="s">
        <v>122</v>
      </c>
      <c r="F4029">
        <v>93.658500000000004</v>
      </c>
      <c r="G4029">
        <v>99.403300000000002</v>
      </c>
      <c r="H4029">
        <v>80.587900000000005</v>
      </c>
      <c r="I4029">
        <v>106.6705</v>
      </c>
      <c r="J4029">
        <v>115.2568</v>
      </c>
      <c r="K4029">
        <v>75.175299999999993</v>
      </c>
      <c r="L4029">
        <v>150.31870000000001</v>
      </c>
      <c r="M4029">
        <v>120.53870000000001</v>
      </c>
      <c r="N4029">
        <v>76.256699999999995</v>
      </c>
      <c r="O4029">
        <v>88.163300000000007</v>
      </c>
      <c r="P4029">
        <v>143</v>
      </c>
      <c r="Q4029" t="s">
        <v>8403</v>
      </c>
    </row>
    <row r="4030" spans="1:17" x14ac:dyDescent="0.3">
      <c r="A4030" t="s">
        <v>4664</v>
      </c>
      <c r="B4030" t="str">
        <f>"300274"</f>
        <v>300274</v>
      </c>
      <c r="C4030" t="s">
        <v>8404</v>
      </c>
      <c r="D4030" t="s">
        <v>3797</v>
      </c>
      <c r="F4030">
        <v>213.5376</v>
      </c>
      <c r="G4030">
        <v>146.60769999999999</v>
      </c>
      <c r="H4030">
        <v>192.6164</v>
      </c>
      <c r="I4030">
        <v>266.8596</v>
      </c>
      <c r="J4030">
        <v>120.193</v>
      </c>
      <c r="K4030">
        <v>204.8049</v>
      </c>
      <c r="L4030">
        <v>180.48089999999999</v>
      </c>
      <c r="M4030">
        <v>276.79469999999998</v>
      </c>
      <c r="N4030">
        <v>188.91849999999999</v>
      </c>
      <c r="O4030">
        <v>421.38499999999999</v>
      </c>
      <c r="P4030">
        <v>2195</v>
      </c>
      <c r="Q4030" t="s">
        <v>8405</v>
      </c>
    </row>
    <row r="4031" spans="1:17" x14ac:dyDescent="0.3">
      <c r="A4031" t="s">
        <v>4664</v>
      </c>
      <c r="B4031" t="str">
        <f>"300275"</f>
        <v>300275</v>
      </c>
      <c r="C4031" t="s">
        <v>8406</v>
      </c>
      <c r="D4031" t="s">
        <v>395</v>
      </c>
      <c r="F4031">
        <v>308.99239999999998</v>
      </c>
      <c r="G4031">
        <v>326.88049999999998</v>
      </c>
      <c r="H4031">
        <v>315.37099999999998</v>
      </c>
      <c r="I4031">
        <v>399.0034</v>
      </c>
      <c r="J4031">
        <v>216.06370000000001</v>
      </c>
      <c r="K4031">
        <v>403.54590000000002</v>
      </c>
      <c r="L4031">
        <v>468.20659999999998</v>
      </c>
      <c r="M4031">
        <v>190.22210000000001</v>
      </c>
      <c r="N4031">
        <v>171.60749999999999</v>
      </c>
      <c r="O4031">
        <v>200.07220000000001</v>
      </c>
      <c r="P4031">
        <v>89</v>
      </c>
      <c r="Q4031" t="s">
        <v>8407</v>
      </c>
    </row>
    <row r="4032" spans="1:17" x14ac:dyDescent="0.3">
      <c r="A4032" t="s">
        <v>4664</v>
      </c>
      <c r="B4032" t="str">
        <f>"300276"</f>
        <v>300276</v>
      </c>
      <c r="C4032" t="s">
        <v>8408</v>
      </c>
      <c r="D4032" t="s">
        <v>2911</v>
      </c>
      <c r="F4032">
        <v>555.25210000000004</v>
      </c>
      <c r="G4032">
        <v>651.17319999999995</v>
      </c>
      <c r="H4032">
        <v>529.06730000000005</v>
      </c>
      <c r="I4032">
        <v>466.41809999999998</v>
      </c>
      <c r="J4032">
        <v>555.70240000000001</v>
      </c>
      <c r="K4032">
        <v>461.60109999999997</v>
      </c>
      <c r="L4032">
        <v>373.13709999999998</v>
      </c>
      <c r="M4032">
        <v>335.74270000000001</v>
      </c>
      <c r="N4032">
        <v>374.06040000000002</v>
      </c>
      <c r="O4032">
        <v>314.66329999999999</v>
      </c>
      <c r="P4032">
        <v>138</v>
      </c>
      <c r="Q4032" t="s">
        <v>8409</v>
      </c>
    </row>
    <row r="4033" spans="1:17" x14ac:dyDescent="0.3">
      <c r="A4033" t="s">
        <v>4664</v>
      </c>
      <c r="B4033" t="str">
        <f>"300277"</f>
        <v>300277</v>
      </c>
      <c r="C4033" t="s">
        <v>8410</v>
      </c>
      <c r="D4033" t="s">
        <v>316</v>
      </c>
      <c r="F4033">
        <v>609.57240000000002</v>
      </c>
      <c r="G4033">
        <v>667.52850000000001</v>
      </c>
      <c r="H4033">
        <v>536.59500000000003</v>
      </c>
      <c r="I4033">
        <v>434.84199999999998</v>
      </c>
      <c r="J4033">
        <v>302.60899999999998</v>
      </c>
      <c r="K4033">
        <v>429.79739999999998</v>
      </c>
      <c r="L4033">
        <v>227.83519999999999</v>
      </c>
      <c r="M4033">
        <v>164.35499999999999</v>
      </c>
      <c r="N4033">
        <v>135.63929999999999</v>
      </c>
      <c r="O4033">
        <v>61.703899999999997</v>
      </c>
      <c r="P4033">
        <v>73</v>
      </c>
      <c r="Q4033" t="s">
        <v>8411</v>
      </c>
    </row>
    <row r="4034" spans="1:17" x14ac:dyDescent="0.3">
      <c r="A4034" t="s">
        <v>4664</v>
      </c>
      <c r="B4034" t="str">
        <f>"300278"</f>
        <v>300278</v>
      </c>
      <c r="C4034" t="s">
        <v>8412</v>
      </c>
      <c r="D4034" t="s">
        <v>2423</v>
      </c>
      <c r="F4034">
        <v>148.33269999999999</v>
      </c>
      <c r="G4034">
        <v>229.6934</v>
      </c>
      <c r="H4034">
        <v>427.72930000000002</v>
      </c>
      <c r="I4034">
        <v>241.74340000000001</v>
      </c>
      <c r="J4034">
        <v>136.31299999999999</v>
      </c>
      <c r="K4034">
        <v>162.98480000000001</v>
      </c>
      <c r="L4034">
        <v>158.83760000000001</v>
      </c>
      <c r="M4034">
        <v>626.45060000000001</v>
      </c>
      <c r="N4034">
        <v>664.93349999999998</v>
      </c>
      <c r="O4034">
        <v>342.93239999999997</v>
      </c>
      <c r="P4034">
        <v>98</v>
      </c>
      <c r="Q4034" t="s">
        <v>8413</v>
      </c>
    </row>
    <row r="4035" spans="1:17" x14ac:dyDescent="0.3">
      <c r="A4035" t="s">
        <v>4664</v>
      </c>
      <c r="B4035" t="str">
        <f>"300279"</f>
        <v>300279</v>
      </c>
      <c r="C4035" t="s">
        <v>8414</v>
      </c>
      <c r="D4035" t="s">
        <v>313</v>
      </c>
      <c r="F4035">
        <v>137.8749</v>
      </c>
      <c r="G4035">
        <v>138.1283</v>
      </c>
      <c r="H4035">
        <v>151.3595</v>
      </c>
      <c r="I4035">
        <v>191.8674</v>
      </c>
      <c r="J4035">
        <v>183.30119999999999</v>
      </c>
      <c r="K4035">
        <v>166.9785</v>
      </c>
      <c r="L4035">
        <v>185.47499999999999</v>
      </c>
      <c r="M4035">
        <v>148.53800000000001</v>
      </c>
      <c r="N4035">
        <v>156.482</v>
      </c>
      <c r="O4035">
        <v>216.32230000000001</v>
      </c>
      <c r="P4035">
        <v>166</v>
      </c>
      <c r="Q4035" t="s">
        <v>8415</v>
      </c>
    </row>
    <row r="4036" spans="1:17" x14ac:dyDescent="0.3">
      <c r="A4036" t="s">
        <v>4664</v>
      </c>
      <c r="B4036" t="str">
        <f>"300280"</f>
        <v>300280</v>
      </c>
      <c r="C4036" t="s">
        <v>8416</v>
      </c>
      <c r="D4036" t="s">
        <v>5063</v>
      </c>
      <c r="F4036">
        <v>0</v>
      </c>
      <c r="G4036">
        <v>43.0794</v>
      </c>
      <c r="H4036">
        <v>372.32159999999999</v>
      </c>
      <c r="I4036">
        <v>214.7294</v>
      </c>
      <c r="J4036">
        <v>314.91090000000003</v>
      </c>
      <c r="K4036">
        <v>338.64269999999999</v>
      </c>
      <c r="L4036">
        <v>383.16399999999999</v>
      </c>
      <c r="M4036">
        <v>279.79160000000002</v>
      </c>
      <c r="N4036">
        <v>287.66390000000001</v>
      </c>
      <c r="O4036">
        <v>239.3877</v>
      </c>
      <c r="P4036">
        <v>144</v>
      </c>
      <c r="Q4036" t="s">
        <v>8417</v>
      </c>
    </row>
    <row r="4037" spans="1:17" x14ac:dyDescent="0.3">
      <c r="A4037" t="s">
        <v>4664</v>
      </c>
      <c r="B4037" t="str">
        <f>"300281"</f>
        <v>300281</v>
      </c>
      <c r="C4037" t="s">
        <v>8418</v>
      </c>
      <c r="D4037" t="s">
        <v>741</v>
      </c>
      <c r="F4037">
        <v>304.19470000000001</v>
      </c>
      <c r="G4037">
        <v>421.51179999999999</v>
      </c>
      <c r="H4037">
        <v>698.48599999999999</v>
      </c>
      <c r="I4037">
        <v>448.81549999999999</v>
      </c>
      <c r="J4037">
        <v>528.43669999999997</v>
      </c>
      <c r="K4037">
        <v>479.3098</v>
      </c>
      <c r="L4037">
        <v>426.41930000000002</v>
      </c>
      <c r="M4037">
        <v>492.24259999999998</v>
      </c>
      <c r="N4037">
        <v>283.19150000000002</v>
      </c>
      <c r="O4037">
        <v>220.84520000000001</v>
      </c>
      <c r="P4037">
        <v>48</v>
      </c>
      <c r="Q4037" t="s">
        <v>8419</v>
      </c>
    </row>
    <row r="4038" spans="1:17" x14ac:dyDescent="0.3">
      <c r="A4038" t="s">
        <v>4664</v>
      </c>
      <c r="B4038" t="str">
        <f>"300282"</f>
        <v>300282</v>
      </c>
      <c r="C4038" t="s">
        <v>8420</v>
      </c>
      <c r="D4038" t="s">
        <v>1285</v>
      </c>
      <c r="F4038">
        <v>139.0301</v>
      </c>
      <c r="G4038">
        <v>139.83770000000001</v>
      </c>
      <c r="H4038">
        <v>91.008700000000005</v>
      </c>
      <c r="I4038">
        <v>56.581099999999999</v>
      </c>
      <c r="J4038">
        <v>150.5428</v>
      </c>
      <c r="K4038">
        <v>90.367099999999994</v>
      </c>
      <c r="L4038">
        <v>67.598299999999995</v>
      </c>
      <c r="M4038">
        <v>119.40260000000001</v>
      </c>
      <c r="N4038">
        <v>324.15570000000002</v>
      </c>
      <c r="O4038">
        <v>204.625</v>
      </c>
      <c r="P4038">
        <v>100</v>
      </c>
      <c r="Q4038" t="s">
        <v>8421</v>
      </c>
    </row>
    <row r="4039" spans="1:17" x14ac:dyDescent="0.3">
      <c r="A4039" t="s">
        <v>4664</v>
      </c>
      <c r="B4039" t="str">
        <f>"300283"</f>
        <v>300283</v>
      </c>
      <c r="C4039" t="s">
        <v>8422</v>
      </c>
      <c r="D4039" t="s">
        <v>657</v>
      </c>
      <c r="F4039">
        <v>113.6698</v>
      </c>
      <c r="G4039">
        <v>127.7838</v>
      </c>
      <c r="H4039">
        <v>108.31010000000001</v>
      </c>
      <c r="I4039">
        <v>176.8432</v>
      </c>
      <c r="J4039">
        <v>227.07830000000001</v>
      </c>
      <c r="K4039">
        <v>243.86660000000001</v>
      </c>
      <c r="L4039">
        <v>210.72210000000001</v>
      </c>
      <c r="M4039">
        <v>220.63339999999999</v>
      </c>
      <c r="N4039">
        <v>172.59399999999999</v>
      </c>
      <c r="O4039">
        <v>167.5463</v>
      </c>
      <c r="P4039">
        <v>58</v>
      </c>
      <c r="Q4039" t="s">
        <v>8423</v>
      </c>
    </row>
    <row r="4040" spans="1:17" x14ac:dyDescent="0.3">
      <c r="A4040" t="s">
        <v>4664</v>
      </c>
      <c r="B4040" t="str">
        <f>"300284"</f>
        <v>300284</v>
      </c>
      <c r="C4040" t="s">
        <v>8424</v>
      </c>
      <c r="D4040" t="s">
        <v>1272</v>
      </c>
      <c r="F4040">
        <v>12.8522</v>
      </c>
      <c r="G4040">
        <v>8.1521000000000008</v>
      </c>
      <c r="H4040">
        <v>12.572100000000001</v>
      </c>
      <c r="I4040">
        <v>12.197699999999999</v>
      </c>
      <c r="J4040">
        <v>10.398</v>
      </c>
      <c r="K4040">
        <v>7.1665000000000001</v>
      </c>
      <c r="L4040">
        <v>19.935300000000002</v>
      </c>
      <c r="M4040">
        <v>18.5365</v>
      </c>
      <c r="N4040">
        <v>8.5096000000000007</v>
      </c>
      <c r="O4040">
        <v>5.5537000000000001</v>
      </c>
      <c r="P4040">
        <v>274</v>
      </c>
      <c r="Q4040" t="s">
        <v>8425</v>
      </c>
    </row>
    <row r="4041" spans="1:17" x14ac:dyDescent="0.3">
      <c r="A4041" t="s">
        <v>4664</v>
      </c>
      <c r="B4041" t="str">
        <f>"300285"</f>
        <v>300285</v>
      </c>
      <c r="C4041" t="s">
        <v>8426</v>
      </c>
      <c r="D4041" t="s">
        <v>386</v>
      </c>
      <c r="F4041">
        <v>178.8871</v>
      </c>
      <c r="G4041">
        <v>205.84540000000001</v>
      </c>
      <c r="H4041">
        <v>237.04400000000001</v>
      </c>
      <c r="I4041">
        <v>197.1875</v>
      </c>
      <c r="J4041">
        <v>142.07409999999999</v>
      </c>
      <c r="K4041">
        <v>183.04740000000001</v>
      </c>
      <c r="L4041">
        <v>219.85040000000001</v>
      </c>
      <c r="M4041">
        <v>215.10069999999999</v>
      </c>
      <c r="N4041">
        <v>234.56309999999999</v>
      </c>
      <c r="O4041">
        <v>242.136</v>
      </c>
      <c r="P4041">
        <v>1537</v>
      </c>
      <c r="Q4041" t="s">
        <v>8427</v>
      </c>
    </row>
    <row r="4042" spans="1:17" x14ac:dyDescent="0.3">
      <c r="A4042" t="s">
        <v>4664</v>
      </c>
      <c r="B4042" t="str">
        <f>"300286"</f>
        <v>300286</v>
      </c>
      <c r="C4042" t="s">
        <v>8428</v>
      </c>
      <c r="D4042" t="s">
        <v>2171</v>
      </c>
      <c r="F4042">
        <v>201.94280000000001</v>
      </c>
      <c r="G4042">
        <v>212.8929</v>
      </c>
      <c r="H4042">
        <v>105.7895</v>
      </c>
      <c r="I4042">
        <v>166.9419</v>
      </c>
      <c r="J4042">
        <v>169.17179999999999</v>
      </c>
      <c r="K4042">
        <v>200.96440000000001</v>
      </c>
      <c r="L4042">
        <v>220.88749999999999</v>
      </c>
      <c r="M4042">
        <v>186.6893</v>
      </c>
      <c r="N4042">
        <v>184.79470000000001</v>
      </c>
      <c r="O4042">
        <v>185.07429999999999</v>
      </c>
      <c r="P4042">
        <v>272</v>
      </c>
      <c r="Q4042" t="s">
        <v>8429</v>
      </c>
    </row>
    <row r="4043" spans="1:17" x14ac:dyDescent="0.3">
      <c r="A4043" t="s">
        <v>4664</v>
      </c>
      <c r="B4043" t="str">
        <f>"300287"</f>
        <v>300287</v>
      </c>
      <c r="C4043" t="s">
        <v>8430</v>
      </c>
      <c r="D4043" t="s">
        <v>316</v>
      </c>
      <c r="F4043">
        <v>168.79239999999999</v>
      </c>
      <c r="G4043">
        <v>274.9246</v>
      </c>
      <c r="H4043">
        <v>178.6806</v>
      </c>
      <c r="I4043">
        <v>150.9203</v>
      </c>
      <c r="J4043">
        <v>157.94669999999999</v>
      </c>
      <c r="K4043">
        <v>152.87350000000001</v>
      </c>
      <c r="L4043">
        <v>246.4119</v>
      </c>
      <c r="M4043">
        <v>126.5676</v>
      </c>
      <c r="N4043">
        <v>128.89879999999999</v>
      </c>
      <c r="O4043">
        <v>129.9256</v>
      </c>
      <c r="P4043">
        <v>288</v>
      </c>
      <c r="Q4043" t="s">
        <v>8431</v>
      </c>
    </row>
    <row r="4044" spans="1:17" x14ac:dyDescent="0.3">
      <c r="A4044" t="s">
        <v>4664</v>
      </c>
      <c r="B4044" t="str">
        <f>"300288"</f>
        <v>300288</v>
      </c>
      <c r="C4044" t="s">
        <v>8432</v>
      </c>
      <c r="D4044" t="s">
        <v>316</v>
      </c>
      <c r="F4044">
        <v>17.856000000000002</v>
      </c>
      <c r="G4044">
        <v>16.358699999999999</v>
      </c>
      <c r="H4044">
        <v>20.084900000000001</v>
      </c>
      <c r="I4044">
        <v>17.7606</v>
      </c>
      <c r="J4044">
        <v>16.249099999999999</v>
      </c>
      <c r="K4044">
        <v>11.513</v>
      </c>
      <c r="L4044">
        <v>2.3123</v>
      </c>
      <c r="M4044">
        <v>0</v>
      </c>
      <c r="N4044">
        <v>0</v>
      </c>
      <c r="O4044">
        <v>0</v>
      </c>
      <c r="P4044">
        <v>221</v>
      </c>
      <c r="Q4044" t="s">
        <v>8433</v>
      </c>
    </row>
    <row r="4045" spans="1:17" x14ac:dyDescent="0.3">
      <c r="A4045" t="s">
        <v>4664</v>
      </c>
      <c r="B4045" t="str">
        <f>"300289"</f>
        <v>300289</v>
      </c>
      <c r="C4045" t="s">
        <v>8434</v>
      </c>
      <c r="D4045" t="s">
        <v>1305</v>
      </c>
      <c r="F4045">
        <v>166.87039999999999</v>
      </c>
      <c r="G4045">
        <v>196.85769999999999</v>
      </c>
      <c r="H4045">
        <v>207.5986</v>
      </c>
      <c r="I4045">
        <v>133.84219999999999</v>
      </c>
      <c r="J4045">
        <v>175.35390000000001</v>
      </c>
      <c r="K4045">
        <v>164.91489999999999</v>
      </c>
      <c r="L4045">
        <v>189.24119999999999</v>
      </c>
      <c r="M4045">
        <v>151.80279999999999</v>
      </c>
      <c r="N4045">
        <v>130.1103</v>
      </c>
      <c r="O4045">
        <v>103.99809999999999</v>
      </c>
      <c r="P4045">
        <v>132</v>
      </c>
      <c r="Q4045" t="s">
        <v>8435</v>
      </c>
    </row>
    <row r="4046" spans="1:17" x14ac:dyDescent="0.3">
      <c r="A4046" t="s">
        <v>4664</v>
      </c>
      <c r="B4046" t="str">
        <f>"300290"</f>
        <v>300290</v>
      </c>
      <c r="C4046" t="s">
        <v>8436</v>
      </c>
      <c r="D4046" t="s">
        <v>316</v>
      </c>
      <c r="F4046">
        <v>121.845</v>
      </c>
      <c r="G4046">
        <v>129.39439999999999</v>
      </c>
      <c r="H4046">
        <v>118.5162</v>
      </c>
      <c r="I4046">
        <v>87.412599999999998</v>
      </c>
      <c r="J4046">
        <v>90.980900000000005</v>
      </c>
      <c r="K4046">
        <v>85.369399999999999</v>
      </c>
      <c r="L4046">
        <v>86.888800000000003</v>
      </c>
      <c r="M4046">
        <v>109.9233</v>
      </c>
      <c r="N4046">
        <v>95.358999999999995</v>
      </c>
      <c r="O4046">
        <v>88.689700000000002</v>
      </c>
      <c r="P4046">
        <v>113</v>
      </c>
      <c r="Q4046" t="s">
        <v>8437</v>
      </c>
    </row>
    <row r="4047" spans="1:17" x14ac:dyDescent="0.3">
      <c r="A4047" t="s">
        <v>4664</v>
      </c>
      <c r="B4047" t="str">
        <f>"300291"</f>
        <v>300291</v>
      </c>
      <c r="C4047" t="s">
        <v>8438</v>
      </c>
      <c r="D4047" t="s">
        <v>113</v>
      </c>
      <c r="F4047">
        <v>307.82170000000002</v>
      </c>
      <c r="G4047">
        <v>1204.5902000000001</v>
      </c>
      <c r="H4047">
        <v>319.6764</v>
      </c>
      <c r="I4047">
        <v>130.42169999999999</v>
      </c>
      <c r="J4047">
        <v>74.972300000000004</v>
      </c>
      <c r="K4047">
        <v>75.074600000000004</v>
      </c>
      <c r="L4047">
        <v>100.9383</v>
      </c>
      <c r="M4047">
        <v>604.88890000000004</v>
      </c>
      <c r="N4047">
        <v>940.27440000000001</v>
      </c>
      <c r="O4047">
        <v>473.49889999999999</v>
      </c>
      <c r="P4047">
        <v>93</v>
      </c>
      <c r="Q4047" t="s">
        <v>8439</v>
      </c>
    </row>
    <row r="4048" spans="1:17" x14ac:dyDescent="0.3">
      <c r="A4048" t="s">
        <v>4664</v>
      </c>
      <c r="B4048" t="str">
        <f>"300292"</f>
        <v>300292</v>
      </c>
      <c r="C4048" t="s">
        <v>8440</v>
      </c>
      <c r="D4048" t="s">
        <v>5597</v>
      </c>
      <c r="F4048">
        <v>26.3857</v>
      </c>
      <c r="G4048">
        <v>30.373799999999999</v>
      </c>
      <c r="H4048">
        <v>26.530799999999999</v>
      </c>
      <c r="I4048">
        <v>32.278500000000001</v>
      </c>
      <c r="J4048">
        <v>34.325699999999998</v>
      </c>
      <c r="K4048">
        <v>42.308399999999999</v>
      </c>
      <c r="L4048">
        <v>52.811199999999999</v>
      </c>
      <c r="M4048">
        <v>126.1341</v>
      </c>
      <c r="N4048">
        <v>194.8433</v>
      </c>
      <c r="O4048">
        <v>169.70050000000001</v>
      </c>
      <c r="P4048">
        <v>205</v>
      </c>
      <c r="Q4048" t="s">
        <v>8441</v>
      </c>
    </row>
    <row r="4049" spans="1:17" x14ac:dyDescent="0.3">
      <c r="A4049" t="s">
        <v>4664</v>
      </c>
      <c r="B4049" t="str">
        <f>"300293"</f>
        <v>300293</v>
      </c>
      <c r="C4049" t="s">
        <v>8442</v>
      </c>
      <c r="D4049" t="s">
        <v>741</v>
      </c>
      <c r="F4049">
        <v>247.72409999999999</v>
      </c>
      <c r="G4049">
        <v>234.64279999999999</v>
      </c>
      <c r="H4049">
        <v>211.977</v>
      </c>
      <c r="I4049">
        <v>232.18600000000001</v>
      </c>
      <c r="J4049">
        <v>404.81040000000002</v>
      </c>
      <c r="K4049">
        <v>252.4034</v>
      </c>
      <c r="L4049">
        <v>175.9195</v>
      </c>
      <c r="M4049">
        <v>103.6039</v>
      </c>
      <c r="N4049">
        <v>62.105499999999999</v>
      </c>
      <c r="O4049">
        <v>152.4973</v>
      </c>
      <c r="P4049">
        <v>112</v>
      </c>
      <c r="Q4049" t="s">
        <v>8443</v>
      </c>
    </row>
    <row r="4050" spans="1:17" x14ac:dyDescent="0.3">
      <c r="A4050" t="s">
        <v>4664</v>
      </c>
      <c r="B4050" t="str">
        <f>"300294"</f>
        <v>300294</v>
      </c>
      <c r="C4050" t="s">
        <v>8444</v>
      </c>
      <c r="D4050" t="s">
        <v>378</v>
      </c>
      <c r="F4050">
        <v>270.21339999999998</v>
      </c>
      <c r="G4050">
        <v>264.72640000000001</v>
      </c>
      <c r="H4050">
        <v>272.93060000000003</v>
      </c>
      <c r="I4050">
        <v>306.13380000000001</v>
      </c>
      <c r="J4050">
        <v>479.60610000000003</v>
      </c>
      <c r="K4050">
        <v>342.74560000000002</v>
      </c>
      <c r="L4050">
        <v>402.33429999999998</v>
      </c>
      <c r="M4050">
        <v>392.59120000000001</v>
      </c>
      <c r="N4050">
        <v>446.88319999999999</v>
      </c>
      <c r="O4050">
        <v>457.33920000000001</v>
      </c>
      <c r="P4050">
        <v>495</v>
      </c>
      <c r="Q4050" t="s">
        <v>8445</v>
      </c>
    </row>
    <row r="4051" spans="1:17" x14ac:dyDescent="0.3">
      <c r="A4051" t="s">
        <v>4664</v>
      </c>
      <c r="B4051" t="str">
        <f>"300295"</f>
        <v>300295</v>
      </c>
      <c r="C4051" t="s">
        <v>8446</v>
      </c>
      <c r="D4051" t="s">
        <v>522</v>
      </c>
      <c r="F4051">
        <v>0</v>
      </c>
      <c r="G4051">
        <v>0</v>
      </c>
      <c r="H4051">
        <v>0</v>
      </c>
      <c r="I4051">
        <v>0</v>
      </c>
      <c r="J4051">
        <v>0.25190000000000001</v>
      </c>
      <c r="K4051">
        <v>9.0966000000000005</v>
      </c>
      <c r="L4051">
        <v>5.1426999999999996</v>
      </c>
      <c r="M4051">
        <v>0</v>
      </c>
      <c r="N4051">
        <v>0</v>
      </c>
      <c r="O4051">
        <v>0</v>
      </c>
      <c r="P4051">
        <v>100</v>
      </c>
      <c r="Q4051" t="s">
        <v>8447</v>
      </c>
    </row>
    <row r="4052" spans="1:17" x14ac:dyDescent="0.3">
      <c r="A4052" t="s">
        <v>4664</v>
      </c>
      <c r="B4052" t="str">
        <f>"300296"</f>
        <v>300296</v>
      </c>
      <c r="C4052" t="s">
        <v>8448</v>
      </c>
      <c r="D4052" t="s">
        <v>803</v>
      </c>
      <c r="F4052">
        <v>267.52620000000002</v>
      </c>
      <c r="G4052">
        <v>392.27429999999998</v>
      </c>
      <c r="H4052">
        <v>379.50119999999998</v>
      </c>
      <c r="I4052">
        <v>369.63799999999998</v>
      </c>
      <c r="J4052">
        <v>331.47410000000002</v>
      </c>
      <c r="K4052">
        <v>276.89850000000001</v>
      </c>
      <c r="L4052">
        <v>338.0711</v>
      </c>
      <c r="M4052">
        <v>278.59530000000001</v>
      </c>
      <c r="N4052">
        <v>360.85890000000001</v>
      </c>
      <c r="O4052">
        <v>288.33240000000001</v>
      </c>
      <c r="P4052">
        <v>1699</v>
      </c>
      <c r="Q4052" t="s">
        <v>8449</v>
      </c>
    </row>
    <row r="4053" spans="1:17" x14ac:dyDescent="0.3">
      <c r="A4053" t="s">
        <v>4664</v>
      </c>
      <c r="B4053" t="str">
        <f>"300297"</f>
        <v>300297</v>
      </c>
      <c r="C4053" t="s">
        <v>8450</v>
      </c>
      <c r="D4053" t="s">
        <v>316</v>
      </c>
      <c r="F4053">
        <v>187.60300000000001</v>
      </c>
      <c r="G4053">
        <v>200.59870000000001</v>
      </c>
      <c r="H4053">
        <v>193.18049999999999</v>
      </c>
      <c r="I4053">
        <v>202.35650000000001</v>
      </c>
      <c r="J4053">
        <v>86.541899999999998</v>
      </c>
      <c r="K4053">
        <v>128.7407</v>
      </c>
      <c r="L4053">
        <v>85.9876</v>
      </c>
      <c r="M4053">
        <v>38.691299999999998</v>
      </c>
      <c r="N4053">
        <v>66.311499999999995</v>
      </c>
      <c r="O4053">
        <v>49.499000000000002</v>
      </c>
      <c r="P4053">
        <v>342</v>
      </c>
      <c r="Q4053" t="s">
        <v>8451</v>
      </c>
    </row>
    <row r="4054" spans="1:17" x14ac:dyDescent="0.3">
      <c r="A4054" t="s">
        <v>4664</v>
      </c>
      <c r="B4054" t="str">
        <f>"300298"</f>
        <v>300298</v>
      </c>
      <c r="C4054" t="s">
        <v>8452</v>
      </c>
      <c r="D4054" t="s">
        <v>122</v>
      </c>
      <c r="F4054">
        <v>189.3115</v>
      </c>
      <c r="G4054">
        <v>191.33670000000001</v>
      </c>
      <c r="H4054">
        <v>207.94380000000001</v>
      </c>
      <c r="I4054">
        <v>127.09059999999999</v>
      </c>
      <c r="J4054">
        <v>85.062100000000001</v>
      </c>
      <c r="K4054">
        <v>80.801400000000001</v>
      </c>
      <c r="L4054">
        <v>106.6202</v>
      </c>
      <c r="M4054">
        <v>146.7783</v>
      </c>
      <c r="N4054">
        <v>142.42160000000001</v>
      </c>
      <c r="O4054">
        <v>122.49930000000001</v>
      </c>
      <c r="P4054">
        <v>619</v>
      </c>
      <c r="Q4054" t="s">
        <v>8453</v>
      </c>
    </row>
    <row r="4055" spans="1:17" x14ac:dyDescent="0.3">
      <c r="A4055" t="s">
        <v>4664</v>
      </c>
      <c r="B4055" t="str">
        <f>"300299"</f>
        <v>300299</v>
      </c>
      <c r="C4055" t="s">
        <v>8454</v>
      </c>
      <c r="D4055" t="s">
        <v>517</v>
      </c>
      <c r="F4055">
        <v>152.48099999999999</v>
      </c>
      <c r="G4055">
        <v>13.200200000000001</v>
      </c>
      <c r="H4055">
        <v>1.9282999999999999</v>
      </c>
      <c r="I4055">
        <v>7.5399999999999995E-2</v>
      </c>
      <c r="J4055">
        <v>0</v>
      </c>
      <c r="K4055">
        <v>0</v>
      </c>
      <c r="L4055">
        <v>0</v>
      </c>
      <c r="M4055">
        <v>1.4215</v>
      </c>
      <c r="N4055">
        <v>0</v>
      </c>
      <c r="O4055">
        <v>0</v>
      </c>
      <c r="P4055">
        <v>187</v>
      </c>
      <c r="Q4055" t="s">
        <v>8455</v>
      </c>
    </row>
    <row r="4056" spans="1:17" x14ac:dyDescent="0.3">
      <c r="A4056" t="s">
        <v>4664</v>
      </c>
      <c r="B4056" t="str">
        <f>"300300"</f>
        <v>300300</v>
      </c>
      <c r="C4056" t="s">
        <v>8456</v>
      </c>
      <c r="D4056" t="s">
        <v>316</v>
      </c>
      <c r="F4056">
        <v>124.0634</v>
      </c>
      <c r="G4056">
        <v>604.89350000000002</v>
      </c>
      <c r="H4056">
        <v>559.46079999999995</v>
      </c>
      <c r="I4056">
        <v>606.2645</v>
      </c>
      <c r="J4056">
        <v>871.02589999999998</v>
      </c>
      <c r="K4056">
        <v>585.31060000000002</v>
      </c>
      <c r="L4056">
        <v>374.9914</v>
      </c>
      <c r="M4056">
        <v>282.41480000000001</v>
      </c>
      <c r="N4056">
        <v>298.52690000000001</v>
      </c>
      <c r="O4056">
        <v>267.23099999999999</v>
      </c>
      <c r="P4056">
        <v>121</v>
      </c>
      <c r="Q4056" t="s">
        <v>8457</v>
      </c>
    </row>
    <row r="4057" spans="1:17" x14ac:dyDescent="0.3">
      <c r="A4057" t="s">
        <v>4664</v>
      </c>
      <c r="B4057" t="str">
        <f>"300301"</f>
        <v>300301</v>
      </c>
      <c r="C4057" t="s">
        <v>8458</v>
      </c>
      <c r="D4057" t="s">
        <v>803</v>
      </c>
      <c r="F4057">
        <v>68.782200000000003</v>
      </c>
      <c r="G4057">
        <v>109.2394</v>
      </c>
      <c r="H4057">
        <v>144.41759999999999</v>
      </c>
      <c r="I4057">
        <v>165.63499999999999</v>
      </c>
      <c r="J4057">
        <v>142.58189999999999</v>
      </c>
      <c r="K4057">
        <v>198.6397</v>
      </c>
      <c r="L4057">
        <v>163.32470000000001</v>
      </c>
      <c r="M4057">
        <v>180.02860000000001</v>
      </c>
      <c r="N4057">
        <v>183.68620000000001</v>
      </c>
      <c r="O4057">
        <v>110.7677</v>
      </c>
      <c r="P4057">
        <v>75</v>
      </c>
      <c r="Q4057" t="s">
        <v>8459</v>
      </c>
    </row>
    <row r="4058" spans="1:17" x14ac:dyDescent="0.3">
      <c r="A4058" t="s">
        <v>4664</v>
      </c>
      <c r="B4058" t="str">
        <f>"300302"</f>
        <v>300302</v>
      </c>
      <c r="C4058" t="s">
        <v>8460</v>
      </c>
      <c r="D4058" t="s">
        <v>236</v>
      </c>
      <c r="F4058">
        <v>354.33600000000001</v>
      </c>
      <c r="G4058">
        <v>436.20159999999998</v>
      </c>
      <c r="H4058">
        <v>207.5684</v>
      </c>
      <c r="I4058">
        <v>121.66119999999999</v>
      </c>
      <c r="J4058">
        <v>198.3398</v>
      </c>
      <c r="K4058">
        <v>177.8467</v>
      </c>
      <c r="L4058">
        <v>153.64500000000001</v>
      </c>
      <c r="M4058">
        <v>83.887600000000006</v>
      </c>
      <c r="N4058">
        <v>77.061300000000003</v>
      </c>
      <c r="O4058">
        <v>76.148099999999999</v>
      </c>
      <c r="P4058">
        <v>146</v>
      </c>
      <c r="Q4058" t="s">
        <v>8461</v>
      </c>
    </row>
    <row r="4059" spans="1:17" x14ac:dyDescent="0.3">
      <c r="A4059" t="s">
        <v>4664</v>
      </c>
      <c r="B4059" t="str">
        <f>"300303"</f>
        <v>300303</v>
      </c>
      <c r="C4059" t="s">
        <v>8462</v>
      </c>
      <c r="D4059" t="s">
        <v>803</v>
      </c>
      <c r="F4059">
        <v>72.242800000000003</v>
      </c>
      <c r="G4059">
        <v>72.953299999999999</v>
      </c>
      <c r="H4059">
        <v>56.551200000000001</v>
      </c>
      <c r="I4059">
        <v>56.124899999999997</v>
      </c>
      <c r="J4059">
        <v>61.408299999999997</v>
      </c>
      <c r="K4059">
        <v>62.7791</v>
      </c>
      <c r="L4059">
        <v>66.120699999999999</v>
      </c>
      <c r="M4059">
        <v>49.378599999999999</v>
      </c>
      <c r="N4059">
        <v>48.729799999999997</v>
      </c>
      <c r="O4059">
        <v>67.681600000000003</v>
      </c>
      <c r="P4059">
        <v>256</v>
      </c>
      <c r="Q4059" t="s">
        <v>8463</v>
      </c>
    </row>
    <row r="4060" spans="1:17" x14ac:dyDescent="0.3">
      <c r="A4060" t="s">
        <v>4664</v>
      </c>
      <c r="B4060" t="str">
        <f>"300304"</f>
        <v>300304</v>
      </c>
      <c r="C4060" t="s">
        <v>8464</v>
      </c>
      <c r="D4060" t="s">
        <v>1415</v>
      </c>
      <c r="F4060">
        <v>187.298</v>
      </c>
      <c r="G4060">
        <v>168.51820000000001</v>
      </c>
      <c r="H4060">
        <v>177.37299999999999</v>
      </c>
      <c r="I4060">
        <v>163.4546</v>
      </c>
      <c r="J4060">
        <v>160.73220000000001</v>
      </c>
      <c r="K4060">
        <v>170.535</v>
      </c>
      <c r="L4060">
        <v>194.61529999999999</v>
      </c>
      <c r="M4060">
        <v>202.96190000000001</v>
      </c>
      <c r="N4060">
        <v>162.03319999999999</v>
      </c>
      <c r="O4060">
        <v>145.17910000000001</v>
      </c>
      <c r="P4060">
        <v>114</v>
      </c>
      <c r="Q4060" t="s">
        <v>8465</v>
      </c>
    </row>
    <row r="4061" spans="1:17" x14ac:dyDescent="0.3">
      <c r="A4061" t="s">
        <v>4664</v>
      </c>
      <c r="B4061" t="str">
        <f>"300305"</f>
        <v>300305</v>
      </c>
      <c r="C4061" t="s">
        <v>8466</v>
      </c>
      <c r="D4061" t="s">
        <v>324</v>
      </c>
      <c r="F4061">
        <v>27.305299999999999</v>
      </c>
      <c r="G4061">
        <v>33.766399999999997</v>
      </c>
      <c r="H4061">
        <v>29.538499999999999</v>
      </c>
      <c r="I4061">
        <v>34.807400000000001</v>
      </c>
      <c r="J4061">
        <v>46.642299999999999</v>
      </c>
      <c r="K4061">
        <v>59.412100000000002</v>
      </c>
      <c r="L4061">
        <v>62.099200000000003</v>
      </c>
      <c r="M4061">
        <v>53.731400000000001</v>
      </c>
      <c r="N4061">
        <v>49.3476</v>
      </c>
      <c r="O4061">
        <v>46.2104</v>
      </c>
      <c r="P4061">
        <v>147</v>
      </c>
      <c r="Q4061" t="s">
        <v>8467</v>
      </c>
    </row>
    <row r="4062" spans="1:17" x14ac:dyDescent="0.3">
      <c r="A4062" t="s">
        <v>4664</v>
      </c>
      <c r="B4062" t="str">
        <f>"300306"</f>
        <v>300306</v>
      </c>
      <c r="C4062" t="s">
        <v>8468</v>
      </c>
      <c r="D4062" t="s">
        <v>2551</v>
      </c>
      <c r="F4062">
        <v>442.60930000000002</v>
      </c>
      <c r="G4062">
        <v>445.89170000000001</v>
      </c>
      <c r="H4062">
        <v>439.44760000000002</v>
      </c>
      <c r="I4062">
        <v>496.23689999999999</v>
      </c>
      <c r="J4062">
        <v>391.99720000000002</v>
      </c>
      <c r="K4062">
        <v>300.18029999999999</v>
      </c>
      <c r="L4062">
        <v>354.88670000000002</v>
      </c>
      <c r="M4062">
        <v>293.42180000000002</v>
      </c>
      <c r="N4062">
        <v>276.71089999999998</v>
      </c>
      <c r="O4062">
        <v>269.91989999999998</v>
      </c>
      <c r="P4062">
        <v>169</v>
      </c>
      <c r="Q4062" t="s">
        <v>8469</v>
      </c>
    </row>
    <row r="4063" spans="1:17" x14ac:dyDescent="0.3">
      <c r="A4063" t="s">
        <v>4664</v>
      </c>
      <c r="B4063" t="str">
        <f>"300307"</f>
        <v>300307</v>
      </c>
      <c r="C4063" t="s">
        <v>8470</v>
      </c>
      <c r="D4063" t="s">
        <v>534</v>
      </c>
      <c r="F4063">
        <v>217.72720000000001</v>
      </c>
      <c r="G4063">
        <v>307.46409999999997</v>
      </c>
      <c r="H4063">
        <v>292.1447</v>
      </c>
      <c r="I4063">
        <v>273.31420000000003</v>
      </c>
      <c r="J4063">
        <v>328.45650000000001</v>
      </c>
      <c r="K4063">
        <v>397.53230000000002</v>
      </c>
      <c r="L4063">
        <v>563.49850000000004</v>
      </c>
      <c r="M4063">
        <v>652.93870000000004</v>
      </c>
      <c r="N4063">
        <v>254.73349999999999</v>
      </c>
      <c r="O4063">
        <v>318.65620000000001</v>
      </c>
      <c r="P4063">
        <v>2981</v>
      </c>
      <c r="Q4063" t="s">
        <v>8471</v>
      </c>
    </row>
    <row r="4064" spans="1:17" x14ac:dyDescent="0.3">
      <c r="A4064" t="s">
        <v>4664</v>
      </c>
      <c r="B4064" t="str">
        <f>"300308"</f>
        <v>300308</v>
      </c>
      <c r="C4064" t="s">
        <v>8472</v>
      </c>
      <c r="D4064" t="s">
        <v>1019</v>
      </c>
      <c r="F4064">
        <v>349.39089999999999</v>
      </c>
      <c r="G4064">
        <v>285.22969999999998</v>
      </c>
      <c r="H4064">
        <v>338.60239999999999</v>
      </c>
      <c r="I4064">
        <v>231.1574</v>
      </c>
      <c r="J4064">
        <v>371.40440000000001</v>
      </c>
      <c r="K4064">
        <v>494.60449999999997</v>
      </c>
      <c r="L4064">
        <v>608.88070000000005</v>
      </c>
      <c r="M4064">
        <v>550.32860000000005</v>
      </c>
      <c r="N4064">
        <v>728.14679999999998</v>
      </c>
      <c r="O4064">
        <v>388.74419999999998</v>
      </c>
      <c r="P4064">
        <v>814</v>
      </c>
      <c r="Q4064" t="s">
        <v>8473</v>
      </c>
    </row>
    <row r="4065" spans="1:17" x14ac:dyDescent="0.3">
      <c r="A4065" t="s">
        <v>4664</v>
      </c>
      <c r="B4065" t="str">
        <f>"300309"</f>
        <v>300309</v>
      </c>
      <c r="C4065" t="s">
        <v>8474</v>
      </c>
      <c r="D4065" t="s">
        <v>116</v>
      </c>
      <c r="F4065">
        <v>1716.7212999999999</v>
      </c>
      <c r="G4065">
        <v>1890.5786000000001</v>
      </c>
      <c r="H4065">
        <v>1092.7252000000001</v>
      </c>
      <c r="I4065">
        <v>100.17610000000001</v>
      </c>
      <c r="J4065">
        <v>117.244</v>
      </c>
      <c r="K4065">
        <v>843.72519999999997</v>
      </c>
      <c r="L4065">
        <v>488.9117</v>
      </c>
      <c r="M4065">
        <v>385.55130000000003</v>
      </c>
      <c r="N4065">
        <v>420.26069999999999</v>
      </c>
      <c r="O4065">
        <v>1008.5167</v>
      </c>
      <c r="P4065">
        <v>108</v>
      </c>
      <c r="Q4065" t="s">
        <v>8475</v>
      </c>
    </row>
    <row r="4066" spans="1:17" x14ac:dyDescent="0.3">
      <c r="A4066" t="s">
        <v>4664</v>
      </c>
      <c r="B4066" t="str">
        <f>"300310"</f>
        <v>300310</v>
      </c>
      <c r="C4066" t="s">
        <v>8476</v>
      </c>
      <c r="D4066" t="s">
        <v>654</v>
      </c>
      <c r="F4066">
        <v>79.986000000000004</v>
      </c>
      <c r="G4066">
        <v>81.871200000000002</v>
      </c>
      <c r="H4066">
        <v>81.048400000000001</v>
      </c>
      <c r="I4066">
        <v>82.4846</v>
      </c>
      <c r="J4066">
        <v>97.796899999999994</v>
      </c>
      <c r="K4066">
        <v>88.779899999999998</v>
      </c>
      <c r="L4066">
        <v>93.606700000000004</v>
      </c>
      <c r="M4066">
        <v>128.59350000000001</v>
      </c>
      <c r="N4066">
        <v>136.55690000000001</v>
      </c>
      <c r="O4066">
        <v>90.740200000000002</v>
      </c>
      <c r="P4066">
        <v>257</v>
      </c>
      <c r="Q4066" t="s">
        <v>8477</v>
      </c>
    </row>
    <row r="4067" spans="1:17" x14ac:dyDescent="0.3">
      <c r="A4067" t="s">
        <v>4664</v>
      </c>
      <c r="B4067" t="str">
        <f>"300311"</f>
        <v>300311</v>
      </c>
      <c r="C4067" t="s">
        <v>8478</v>
      </c>
      <c r="D4067" t="s">
        <v>1189</v>
      </c>
      <c r="F4067">
        <v>410.73450000000003</v>
      </c>
      <c r="G4067">
        <v>348.08019999999999</v>
      </c>
      <c r="H4067">
        <v>289.57479999999998</v>
      </c>
      <c r="I4067">
        <v>142.05459999999999</v>
      </c>
      <c r="J4067">
        <v>112.0257</v>
      </c>
      <c r="K4067">
        <v>237.55250000000001</v>
      </c>
      <c r="L4067">
        <v>207.94139999999999</v>
      </c>
      <c r="M4067">
        <v>244.602</v>
      </c>
      <c r="N4067">
        <v>293.76830000000001</v>
      </c>
      <c r="O4067">
        <v>183.56970000000001</v>
      </c>
      <c r="P4067">
        <v>161</v>
      </c>
      <c r="Q4067" t="s">
        <v>8479</v>
      </c>
    </row>
    <row r="4068" spans="1:17" x14ac:dyDescent="0.3">
      <c r="A4068" t="s">
        <v>4664</v>
      </c>
      <c r="B4068" t="str">
        <f>"300312"</f>
        <v>300312</v>
      </c>
      <c r="C4068" t="s">
        <v>8480</v>
      </c>
      <c r="D4068" t="s">
        <v>1019</v>
      </c>
      <c r="F4068">
        <v>2764.2089000000001</v>
      </c>
      <c r="G4068">
        <v>1729.5610999999999</v>
      </c>
      <c r="H4068">
        <v>632.25480000000005</v>
      </c>
      <c r="I4068">
        <v>1121.0697</v>
      </c>
      <c r="J4068">
        <v>963.61220000000003</v>
      </c>
      <c r="K4068">
        <v>1057.3739</v>
      </c>
      <c r="L4068">
        <v>790.44349999999997</v>
      </c>
      <c r="M4068">
        <v>732.41449999999998</v>
      </c>
      <c r="N4068">
        <v>644.36530000000005</v>
      </c>
      <c r="O4068">
        <v>404.47</v>
      </c>
      <c r="P4068">
        <v>134</v>
      </c>
      <c r="Q4068" t="s">
        <v>8481</v>
      </c>
    </row>
    <row r="4069" spans="1:17" x14ac:dyDescent="0.3">
      <c r="A4069" t="s">
        <v>4664</v>
      </c>
      <c r="B4069" t="str">
        <f>"300313"</f>
        <v>300313</v>
      </c>
      <c r="C4069" t="s">
        <v>8482</v>
      </c>
      <c r="D4069" t="s">
        <v>1876</v>
      </c>
      <c r="F4069">
        <v>304.82440000000003</v>
      </c>
      <c r="G4069">
        <v>161.2313</v>
      </c>
      <c r="H4069">
        <v>575.10730000000001</v>
      </c>
      <c r="I4069">
        <v>384.58080000000001</v>
      </c>
      <c r="J4069">
        <v>306.01280000000003</v>
      </c>
      <c r="K4069">
        <v>178.74019999999999</v>
      </c>
      <c r="L4069">
        <v>298.69209999999998</v>
      </c>
      <c r="M4069">
        <v>539.59720000000004</v>
      </c>
      <c r="N4069">
        <v>615.07759999999996</v>
      </c>
      <c r="O4069">
        <v>433.66660000000002</v>
      </c>
      <c r="P4069">
        <v>85</v>
      </c>
      <c r="Q4069" t="s">
        <v>8483</v>
      </c>
    </row>
    <row r="4070" spans="1:17" x14ac:dyDescent="0.3">
      <c r="A4070" t="s">
        <v>4664</v>
      </c>
      <c r="B4070" t="str">
        <f>"300314"</f>
        <v>300314</v>
      </c>
      <c r="C4070" t="s">
        <v>8484</v>
      </c>
      <c r="D4070" t="s">
        <v>122</v>
      </c>
      <c r="F4070">
        <v>356.41149999999999</v>
      </c>
      <c r="G4070">
        <v>259.34390000000002</v>
      </c>
      <c r="H4070">
        <v>265.94009999999997</v>
      </c>
      <c r="I4070">
        <v>310.5009</v>
      </c>
      <c r="J4070">
        <v>279.53280000000001</v>
      </c>
      <c r="K4070">
        <v>270.00240000000002</v>
      </c>
      <c r="L4070">
        <v>252.80789999999999</v>
      </c>
      <c r="M4070">
        <v>263.55130000000003</v>
      </c>
      <c r="N4070">
        <v>281.68990000000002</v>
      </c>
      <c r="O4070">
        <v>222.41309999999999</v>
      </c>
      <c r="P4070">
        <v>196</v>
      </c>
      <c r="Q4070" t="s">
        <v>8485</v>
      </c>
    </row>
    <row r="4071" spans="1:17" x14ac:dyDescent="0.3">
      <c r="A4071" t="s">
        <v>4664</v>
      </c>
      <c r="B4071" t="str">
        <f>"300315"</f>
        <v>300315</v>
      </c>
      <c r="C4071" t="s">
        <v>8486</v>
      </c>
      <c r="D4071" t="s">
        <v>517</v>
      </c>
      <c r="F4071">
        <v>24.689699999999998</v>
      </c>
      <c r="G4071">
        <v>8.4230999999999998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456</v>
      </c>
      <c r="Q4071" t="s">
        <v>8487</v>
      </c>
    </row>
    <row r="4072" spans="1:17" x14ac:dyDescent="0.3">
      <c r="A4072" t="s">
        <v>4664</v>
      </c>
      <c r="B4072" t="str">
        <f>"300316"</f>
        <v>300316</v>
      </c>
      <c r="C4072" t="s">
        <v>8488</v>
      </c>
      <c r="D4072" t="s">
        <v>2654</v>
      </c>
      <c r="F4072">
        <v>536.98329999999999</v>
      </c>
      <c r="G4072">
        <v>361.01940000000002</v>
      </c>
      <c r="H4072">
        <v>403.49270000000001</v>
      </c>
      <c r="I4072">
        <v>408.24430000000001</v>
      </c>
      <c r="J4072">
        <v>268.7878</v>
      </c>
      <c r="K4072">
        <v>327.45159999999998</v>
      </c>
      <c r="L4072">
        <v>492.41860000000003</v>
      </c>
      <c r="M4072">
        <v>789.625</v>
      </c>
      <c r="N4072">
        <v>910.96190000000001</v>
      </c>
      <c r="O4072">
        <v>636.05619999999999</v>
      </c>
      <c r="P4072">
        <v>1072</v>
      </c>
      <c r="Q4072" t="s">
        <v>8489</v>
      </c>
    </row>
    <row r="4073" spans="1:17" x14ac:dyDescent="0.3">
      <c r="A4073" t="s">
        <v>4664</v>
      </c>
      <c r="B4073" t="str">
        <f>"300317"</f>
        <v>300317</v>
      </c>
      <c r="C4073" t="s">
        <v>8490</v>
      </c>
      <c r="D4073" t="s">
        <v>86</v>
      </c>
      <c r="F4073">
        <v>305.48009999999999</v>
      </c>
      <c r="G4073">
        <v>264.2269</v>
      </c>
      <c r="H4073">
        <v>339.48200000000003</v>
      </c>
      <c r="I4073">
        <v>258.31720000000001</v>
      </c>
      <c r="J4073">
        <v>162.80709999999999</v>
      </c>
      <c r="K4073">
        <v>194.14179999999999</v>
      </c>
      <c r="L4073">
        <v>290.50740000000002</v>
      </c>
      <c r="M4073">
        <v>381.25080000000003</v>
      </c>
      <c r="N4073">
        <v>324.56049999999999</v>
      </c>
      <c r="O4073">
        <v>414.96960000000001</v>
      </c>
      <c r="P4073">
        <v>142</v>
      </c>
      <c r="Q4073" t="s">
        <v>8491</v>
      </c>
    </row>
    <row r="4074" spans="1:17" x14ac:dyDescent="0.3">
      <c r="A4074" t="s">
        <v>4664</v>
      </c>
      <c r="B4074" t="str">
        <f>"300318"</f>
        <v>300318</v>
      </c>
      <c r="C4074" t="s">
        <v>8492</v>
      </c>
      <c r="D4074" t="s">
        <v>1305</v>
      </c>
      <c r="F4074">
        <v>949.22450000000003</v>
      </c>
      <c r="G4074">
        <v>1123.8019999999999</v>
      </c>
      <c r="H4074">
        <v>1087.3711000000001</v>
      </c>
      <c r="I4074">
        <v>1012.8382</v>
      </c>
      <c r="J4074">
        <v>1093.2972</v>
      </c>
      <c r="K4074">
        <v>884.94920000000002</v>
      </c>
      <c r="L4074">
        <v>1184.4005</v>
      </c>
      <c r="M4074">
        <v>275.30160000000001</v>
      </c>
      <c r="N4074">
        <v>237.4547</v>
      </c>
      <c r="O4074">
        <v>225.00139999999999</v>
      </c>
      <c r="P4074">
        <v>144</v>
      </c>
      <c r="Q4074" t="s">
        <v>8493</v>
      </c>
    </row>
    <row r="4075" spans="1:17" x14ac:dyDescent="0.3">
      <c r="A4075" t="s">
        <v>4664</v>
      </c>
      <c r="B4075" t="str">
        <f>"300319"</f>
        <v>300319</v>
      </c>
      <c r="C4075" t="s">
        <v>8494</v>
      </c>
      <c r="D4075" t="s">
        <v>546</v>
      </c>
      <c r="F4075">
        <v>105.47499999999999</v>
      </c>
      <c r="G4075">
        <v>166.63720000000001</v>
      </c>
      <c r="H4075">
        <v>244.6345</v>
      </c>
      <c r="I4075">
        <v>240.0463</v>
      </c>
      <c r="J4075">
        <v>242.40299999999999</v>
      </c>
      <c r="K4075">
        <v>239.08019999999999</v>
      </c>
      <c r="L4075">
        <v>408.3956</v>
      </c>
      <c r="M4075">
        <v>216.75149999999999</v>
      </c>
      <c r="N4075">
        <v>242.8312</v>
      </c>
      <c r="O4075">
        <v>222.06110000000001</v>
      </c>
      <c r="P4075">
        <v>3161</v>
      </c>
      <c r="Q4075" t="s">
        <v>8495</v>
      </c>
    </row>
    <row r="4076" spans="1:17" x14ac:dyDescent="0.3">
      <c r="A4076" t="s">
        <v>4664</v>
      </c>
      <c r="B4076" t="str">
        <f>"300320"</f>
        <v>300320</v>
      </c>
      <c r="C4076" t="s">
        <v>8496</v>
      </c>
      <c r="D4076" t="s">
        <v>2460</v>
      </c>
      <c r="F4076">
        <v>100.0596</v>
      </c>
      <c r="G4076">
        <v>121.0945</v>
      </c>
      <c r="H4076">
        <v>113.63509999999999</v>
      </c>
      <c r="I4076">
        <v>97.724000000000004</v>
      </c>
      <c r="J4076">
        <v>139.2381</v>
      </c>
      <c r="K4076">
        <v>124.7627</v>
      </c>
      <c r="L4076">
        <v>106.4132</v>
      </c>
      <c r="M4076">
        <v>94.648099999999999</v>
      </c>
      <c r="N4076">
        <v>92.132599999999996</v>
      </c>
      <c r="O4076">
        <v>88.371600000000001</v>
      </c>
      <c r="P4076">
        <v>151</v>
      </c>
      <c r="Q4076" t="s">
        <v>8497</v>
      </c>
    </row>
    <row r="4077" spans="1:17" x14ac:dyDescent="0.3">
      <c r="A4077" t="s">
        <v>4664</v>
      </c>
      <c r="B4077" t="str">
        <f>"300321"</f>
        <v>300321</v>
      </c>
      <c r="C4077" t="s">
        <v>8498</v>
      </c>
      <c r="D4077" t="s">
        <v>528</v>
      </c>
      <c r="F4077">
        <v>98.123999999999995</v>
      </c>
      <c r="G4077">
        <v>106.4084</v>
      </c>
      <c r="H4077">
        <v>104.92100000000001</v>
      </c>
      <c r="I4077">
        <v>124.99039999999999</v>
      </c>
      <c r="J4077">
        <v>112.1609</v>
      </c>
      <c r="K4077">
        <v>137.0728</v>
      </c>
      <c r="L4077">
        <v>138.1148</v>
      </c>
      <c r="M4077">
        <v>122.6228</v>
      </c>
      <c r="N4077">
        <v>125.0684</v>
      </c>
      <c r="O4077">
        <v>104.6331</v>
      </c>
      <c r="P4077">
        <v>45</v>
      </c>
      <c r="Q4077" t="s">
        <v>8499</v>
      </c>
    </row>
    <row r="4078" spans="1:17" x14ac:dyDescent="0.3">
      <c r="A4078" t="s">
        <v>4664</v>
      </c>
      <c r="B4078" t="str">
        <f>"300322"</f>
        <v>300322</v>
      </c>
      <c r="C4078" t="s">
        <v>8500</v>
      </c>
      <c r="D4078" t="s">
        <v>313</v>
      </c>
      <c r="F4078">
        <v>126.2174</v>
      </c>
      <c r="G4078">
        <v>98.733500000000006</v>
      </c>
      <c r="H4078">
        <v>84.132400000000004</v>
      </c>
      <c r="I4078">
        <v>85.393799999999999</v>
      </c>
      <c r="J4078">
        <v>118.18519999999999</v>
      </c>
      <c r="K4078">
        <v>79.474500000000006</v>
      </c>
      <c r="L4078">
        <v>99.3446</v>
      </c>
      <c r="M4078">
        <v>71.785799999999995</v>
      </c>
      <c r="N4078">
        <v>102.2777</v>
      </c>
      <c r="O4078">
        <v>111.1327</v>
      </c>
      <c r="P4078">
        <v>387</v>
      </c>
      <c r="Q4078" t="s">
        <v>8501</v>
      </c>
    </row>
    <row r="4079" spans="1:17" x14ac:dyDescent="0.3">
      <c r="A4079" t="s">
        <v>4664</v>
      </c>
      <c r="B4079" t="str">
        <f>"300323"</f>
        <v>300323</v>
      </c>
      <c r="C4079" t="s">
        <v>8502</v>
      </c>
      <c r="D4079" t="s">
        <v>803</v>
      </c>
      <c r="F4079">
        <v>176.23849999999999</v>
      </c>
      <c r="G4079">
        <v>222.8835</v>
      </c>
      <c r="H4079">
        <v>239.27950000000001</v>
      </c>
      <c r="I4079">
        <v>228.38229999999999</v>
      </c>
      <c r="J4079">
        <v>157.59129999999999</v>
      </c>
      <c r="K4079">
        <v>185.85239999999999</v>
      </c>
      <c r="L4079">
        <v>297.584</v>
      </c>
      <c r="M4079">
        <v>230.50470000000001</v>
      </c>
      <c r="N4079">
        <v>291.97050000000002</v>
      </c>
      <c r="O4079">
        <v>303.63170000000002</v>
      </c>
      <c r="P4079">
        <v>293</v>
      </c>
      <c r="Q4079" t="s">
        <v>8503</v>
      </c>
    </row>
    <row r="4080" spans="1:17" x14ac:dyDescent="0.3">
      <c r="A4080" t="s">
        <v>4664</v>
      </c>
      <c r="B4080" t="str">
        <f>"300324"</f>
        <v>300324</v>
      </c>
      <c r="C4080" t="s">
        <v>8504</v>
      </c>
      <c r="D4080" t="s">
        <v>236</v>
      </c>
      <c r="F4080">
        <v>69.9512</v>
      </c>
      <c r="G4080">
        <v>164.87950000000001</v>
      </c>
      <c r="H4080">
        <v>248.77</v>
      </c>
      <c r="I4080">
        <v>199.934</v>
      </c>
      <c r="J4080">
        <v>215.25919999999999</v>
      </c>
      <c r="K4080">
        <v>157.8724</v>
      </c>
      <c r="L4080">
        <v>111.1823</v>
      </c>
      <c r="M4080">
        <v>167.7946</v>
      </c>
      <c r="N4080">
        <v>178.74529999999999</v>
      </c>
      <c r="O4080">
        <v>94.283500000000004</v>
      </c>
      <c r="P4080">
        <v>235</v>
      </c>
      <c r="Q4080" t="s">
        <v>8505</v>
      </c>
    </row>
    <row r="4081" spans="1:17" x14ac:dyDescent="0.3">
      <c r="A4081" t="s">
        <v>4664</v>
      </c>
      <c r="B4081" t="str">
        <f>"300325"</f>
        <v>300325</v>
      </c>
      <c r="C4081" t="s">
        <v>8506</v>
      </c>
      <c r="D4081" t="s">
        <v>1192</v>
      </c>
      <c r="F4081">
        <v>107.1514</v>
      </c>
      <c r="G4081">
        <v>82.177700000000002</v>
      </c>
      <c r="H4081">
        <v>133.96680000000001</v>
      </c>
      <c r="I4081">
        <v>103.1759</v>
      </c>
      <c r="J4081">
        <v>104.69329999999999</v>
      </c>
      <c r="K4081">
        <v>82.875299999999996</v>
      </c>
      <c r="L4081">
        <v>82.284999999999997</v>
      </c>
      <c r="M4081">
        <v>72.073899999999995</v>
      </c>
      <c r="N4081">
        <v>81.960700000000003</v>
      </c>
      <c r="O4081">
        <v>95.473399999999998</v>
      </c>
      <c r="P4081">
        <v>81</v>
      </c>
      <c r="Q4081" t="s">
        <v>8507</v>
      </c>
    </row>
    <row r="4082" spans="1:17" x14ac:dyDescent="0.3">
      <c r="A4082" t="s">
        <v>4664</v>
      </c>
      <c r="B4082" t="str">
        <f>"300326"</f>
        <v>300326</v>
      </c>
      <c r="C4082" t="s">
        <v>8508</v>
      </c>
      <c r="D4082" t="s">
        <v>1077</v>
      </c>
      <c r="F4082">
        <v>229.7681</v>
      </c>
      <c r="G4082">
        <v>287.8349</v>
      </c>
      <c r="H4082">
        <v>218.89</v>
      </c>
      <c r="I4082">
        <v>200.90479999999999</v>
      </c>
      <c r="J4082">
        <v>180.16229999999999</v>
      </c>
      <c r="K4082">
        <v>261.62090000000001</v>
      </c>
      <c r="L4082">
        <v>220.9025</v>
      </c>
      <c r="M4082">
        <v>218.70699999999999</v>
      </c>
      <c r="N4082">
        <v>261.96809999999999</v>
      </c>
      <c r="O4082">
        <v>271.39420000000001</v>
      </c>
      <c r="P4082">
        <v>854</v>
      </c>
      <c r="Q4082" t="s">
        <v>8509</v>
      </c>
    </row>
    <row r="4083" spans="1:17" x14ac:dyDescent="0.3">
      <c r="A4083" t="s">
        <v>4664</v>
      </c>
      <c r="B4083" t="str">
        <f>"300327"</f>
        <v>300327</v>
      </c>
      <c r="C4083" t="s">
        <v>8510</v>
      </c>
      <c r="D4083" t="s">
        <v>461</v>
      </c>
      <c r="F4083">
        <v>88.909199999999998</v>
      </c>
      <c r="G4083">
        <v>92.860600000000005</v>
      </c>
      <c r="H4083">
        <v>162.67590000000001</v>
      </c>
      <c r="I4083">
        <v>162.12649999999999</v>
      </c>
      <c r="J4083">
        <v>114.4879</v>
      </c>
      <c r="K4083">
        <v>173.56649999999999</v>
      </c>
      <c r="L4083">
        <v>120.2657</v>
      </c>
      <c r="M4083">
        <v>142.21899999999999</v>
      </c>
      <c r="N4083">
        <v>161.61770000000001</v>
      </c>
      <c r="O4083">
        <v>173.31569999999999</v>
      </c>
      <c r="P4083">
        <v>4063</v>
      </c>
      <c r="Q4083" t="s">
        <v>8511</v>
      </c>
    </row>
    <row r="4084" spans="1:17" x14ac:dyDescent="0.3">
      <c r="A4084" t="s">
        <v>4664</v>
      </c>
      <c r="B4084" t="str">
        <f>"300328"</f>
        <v>300328</v>
      </c>
      <c r="C4084" t="s">
        <v>8512</v>
      </c>
      <c r="D4084" t="s">
        <v>636</v>
      </c>
      <c r="F4084">
        <v>121.1399</v>
      </c>
      <c r="G4084">
        <v>137.72710000000001</v>
      </c>
      <c r="H4084">
        <v>123.7294</v>
      </c>
      <c r="I4084">
        <v>109.21120000000001</v>
      </c>
      <c r="J4084">
        <v>115.2801</v>
      </c>
      <c r="K4084">
        <v>144.70529999999999</v>
      </c>
      <c r="L4084">
        <v>100.7115</v>
      </c>
      <c r="M4084">
        <v>101.11060000000001</v>
      </c>
      <c r="N4084">
        <v>88.271500000000003</v>
      </c>
      <c r="O4084">
        <v>120.9783</v>
      </c>
      <c r="P4084">
        <v>232</v>
      </c>
      <c r="Q4084" t="s">
        <v>8513</v>
      </c>
    </row>
    <row r="4085" spans="1:17" x14ac:dyDescent="0.3">
      <c r="A4085" t="s">
        <v>4664</v>
      </c>
      <c r="B4085" t="str">
        <f>"300329"</f>
        <v>300329</v>
      </c>
      <c r="C4085" t="s">
        <v>8514</v>
      </c>
      <c r="D4085" t="s">
        <v>2904</v>
      </c>
      <c r="F4085">
        <v>377.3888</v>
      </c>
      <c r="G4085">
        <v>429.56020000000001</v>
      </c>
      <c r="H4085">
        <v>319.99430000000001</v>
      </c>
      <c r="I4085">
        <v>264.4117</v>
      </c>
      <c r="J4085">
        <v>265.66489999999999</v>
      </c>
      <c r="K4085">
        <v>311.346</v>
      </c>
      <c r="L4085">
        <v>329.18419999999998</v>
      </c>
      <c r="M4085">
        <v>293.4853</v>
      </c>
      <c r="N4085">
        <v>254.43379999999999</v>
      </c>
      <c r="O4085">
        <v>242.86609999999999</v>
      </c>
      <c r="P4085">
        <v>96</v>
      </c>
      <c r="Q4085" t="s">
        <v>8515</v>
      </c>
    </row>
    <row r="4086" spans="1:17" x14ac:dyDescent="0.3">
      <c r="A4086" t="s">
        <v>4664</v>
      </c>
      <c r="B4086" t="str">
        <f>"300330"</f>
        <v>300330</v>
      </c>
      <c r="C4086" t="s">
        <v>8516</v>
      </c>
      <c r="D4086" t="s">
        <v>236</v>
      </c>
      <c r="F4086">
        <v>220.92519999999999</v>
      </c>
      <c r="G4086">
        <v>221.6414</v>
      </c>
      <c r="H4086">
        <v>155.935</v>
      </c>
      <c r="I4086">
        <v>192.37389999999999</v>
      </c>
      <c r="J4086">
        <v>117.80419999999999</v>
      </c>
      <c r="K4086">
        <v>1216.2034000000001</v>
      </c>
      <c r="L4086">
        <v>180.15729999999999</v>
      </c>
      <c r="M4086">
        <v>161.9299</v>
      </c>
      <c r="N4086">
        <v>101.4126</v>
      </c>
      <c r="O4086">
        <v>62.294400000000003</v>
      </c>
      <c r="P4086">
        <v>82</v>
      </c>
      <c r="Q4086" t="s">
        <v>8517</v>
      </c>
    </row>
    <row r="4087" spans="1:17" x14ac:dyDescent="0.3">
      <c r="A4087" t="s">
        <v>4664</v>
      </c>
      <c r="B4087" t="str">
        <f>"300331"</f>
        <v>300331</v>
      </c>
      <c r="C4087" t="s">
        <v>8518</v>
      </c>
      <c r="D4087" t="s">
        <v>1117</v>
      </c>
      <c r="F4087">
        <v>241.86330000000001</v>
      </c>
      <c r="G4087">
        <v>227.64789999999999</v>
      </c>
      <c r="H4087">
        <v>195.65289999999999</v>
      </c>
      <c r="I4087">
        <v>179.1447</v>
      </c>
      <c r="J4087">
        <v>176.43860000000001</v>
      </c>
      <c r="K4087">
        <v>154.57550000000001</v>
      </c>
      <c r="L4087">
        <v>130.40029999999999</v>
      </c>
      <c r="M4087">
        <v>111.485</v>
      </c>
      <c r="N4087">
        <v>117.89879999999999</v>
      </c>
      <c r="O4087">
        <v>118.6896</v>
      </c>
      <c r="P4087">
        <v>164</v>
      </c>
      <c r="Q4087" t="s">
        <v>8519</v>
      </c>
    </row>
    <row r="4088" spans="1:17" x14ac:dyDescent="0.3">
      <c r="A4088" t="s">
        <v>4664</v>
      </c>
      <c r="B4088" t="str">
        <f>"300332"</f>
        <v>300332</v>
      </c>
      <c r="C4088" t="s">
        <v>8520</v>
      </c>
      <c r="D4088" t="s">
        <v>749</v>
      </c>
      <c r="F4088">
        <v>36.4407</v>
      </c>
      <c r="G4088">
        <v>166.078</v>
      </c>
      <c r="H4088">
        <v>266.96260000000001</v>
      </c>
      <c r="I4088">
        <v>206.3099</v>
      </c>
      <c r="J4088">
        <v>167.5916</v>
      </c>
      <c r="K4088">
        <v>24.329899999999999</v>
      </c>
      <c r="L4088">
        <v>70.3018</v>
      </c>
      <c r="M4088">
        <v>101.08450000000001</v>
      </c>
      <c r="N4088">
        <v>71.137100000000004</v>
      </c>
      <c r="O4088">
        <v>15.7204</v>
      </c>
      <c r="P4088">
        <v>117</v>
      </c>
      <c r="Q4088" t="s">
        <v>8521</v>
      </c>
    </row>
    <row r="4089" spans="1:17" x14ac:dyDescent="0.3">
      <c r="A4089" t="s">
        <v>4664</v>
      </c>
      <c r="B4089" t="str">
        <f>"300333"</f>
        <v>300333</v>
      </c>
      <c r="C4089" t="s">
        <v>8522</v>
      </c>
      <c r="D4089" t="s">
        <v>236</v>
      </c>
      <c r="F4089">
        <v>414.976</v>
      </c>
      <c r="G4089">
        <v>357.31220000000002</v>
      </c>
      <c r="H4089">
        <v>386.35109999999997</v>
      </c>
      <c r="I4089">
        <v>310.05610000000001</v>
      </c>
      <c r="J4089">
        <v>293.56029999999998</v>
      </c>
      <c r="K4089">
        <v>319.42579999999998</v>
      </c>
      <c r="L4089">
        <v>278.92619999999999</v>
      </c>
      <c r="M4089">
        <v>310.58089999999999</v>
      </c>
      <c r="N4089">
        <v>343.90190000000001</v>
      </c>
      <c r="O4089">
        <v>392.44529999999997</v>
      </c>
      <c r="P4089">
        <v>94</v>
      </c>
      <c r="Q4089" t="s">
        <v>8523</v>
      </c>
    </row>
    <row r="4090" spans="1:17" x14ac:dyDescent="0.3">
      <c r="A4090" t="s">
        <v>4664</v>
      </c>
      <c r="B4090" t="str">
        <f>"300334"</f>
        <v>300334</v>
      </c>
      <c r="C4090" t="s">
        <v>8524</v>
      </c>
      <c r="D4090" t="s">
        <v>33</v>
      </c>
      <c r="F4090">
        <v>276.63499999999999</v>
      </c>
      <c r="G4090">
        <v>408.82729999999998</v>
      </c>
      <c r="H4090">
        <v>935.57420000000002</v>
      </c>
      <c r="I4090">
        <v>891.00670000000002</v>
      </c>
      <c r="J4090">
        <v>607.90440000000001</v>
      </c>
      <c r="K4090">
        <v>459.63650000000001</v>
      </c>
      <c r="L4090">
        <v>803.25980000000004</v>
      </c>
      <c r="M4090">
        <v>455.27010000000001</v>
      </c>
      <c r="N4090">
        <v>708.27210000000002</v>
      </c>
      <c r="O4090">
        <v>701.29250000000002</v>
      </c>
      <c r="P4090">
        <v>80</v>
      </c>
      <c r="Q4090" t="s">
        <v>8525</v>
      </c>
    </row>
    <row r="4091" spans="1:17" x14ac:dyDescent="0.3">
      <c r="A4091" t="s">
        <v>4664</v>
      </c>
      <c r="B4091" t="str">
        <f>"300335"</f>
        <v>300335</v>
      </c>
      <c r="C4091" t="s">
        <v>8526</v>
      </c>
      <c r="D4091" t="s">
        <v>351</v>
      </c>
      <c r="F4091">
        <v>98.138400000000004</v>
      </c>
      <c r="G4091">
        <v>149.13980000000001</v>
      </c>
      <c r="H4091">
        <v>118.39409999999999</v>
      </c>
      <c r="I4091">
        <v>127.22329999999999</v>
      </c>
      <c r="J4091">
        <v>82.884600000000006</v>
      </c>
      <c r="K4091">
        <v>65.629800000000003</v>
      </c>
      <c r="L4091">
        <v>73.560699999999997</v>
      </c>
      <c r="M4091">
        <v>50.141500000000001</v>
      </c>
      <c r="N4091">
        <v>69.040199999999999</v>
      </c>
      <c r="O4091">
        <v>88.015699999999995</v>
      </c>
      <c r="P4091">
        <v>231</v>
      </c>
      <c r="Q4091" t="s">
        <v>8527</v>
      </c>
    </row>
    <row r="4092" spans="1:17" x14ac:dyDescent="0.3">
      <c r="A4092" t="s">
        <v>4664</v>
      </c>
      <c r="B4092" t="str">
        <f>"300336"</f>
        <v>300336</v>
      </c>
      <c r="C4092" t="s">
        <v>8528</v>
      </c>
      <c r="D4092" t="s">
        <v>5063</v>
      </c>
      <c r="F4092">
        <v>267.94510000000002</v>
      </c>
      <c r="G4092">
        <v>331.6712</v>
      </c>
      <c r="H4092">
        <v>568.99680000000001</v>
      </c>
      <c r="I4092">
        <v>584.3374</v>
      </c>
      <c r="J4092">
        <v>353.18369999999999</v>
      </c>
      <c r="K4092">
        <v>460.41370000000001</v>
      </c>
      <c r="L4092">
        <v>510.68979999999999</v>
      </c>
      <c r="M4092">
        <v>632.34810000000004</v>
      </c>
      <c r="N4092">
        <v>692.19860000000006</v>
      </c>
      <c r="O4092">
        <v>630.30529999999999</v>
      </c>
      <c r="P4092">
        <v>98</v>
      </c>
      <c r="Q4092" t="s">
        <v>8529</v>
      </c>
    </row>
    <row r="4093" spans="1:17" x14ac:dyDescent="0.3">
      <c r="A4093" t="s">
        <v>4664</v>
      </c>
      <c r="B4093" t="str">
        <f>"300337"</f>
        <v>300337</v>
      </c>
      <c r="C4093" t="s">
        <v>8530</v>
      </c>
      <c r="D4093" t="s">
        <v>504</v>
      </c>
      <c r="F4093">
        <v>128.52549999999999</v>
      </c>
      <c r="G4093">
        <v>134.89189999999999</v>
      </c>
      <c r="H4093">
        <v>153.23740000000001</v>
      </c>
      <c r="I4093">
        <v>157.83920000000001</v>
      </c>
      <c r="J4093">
        <v>142.5025</v>
      </c>
      <c r="K4093">
        <v>153.5669</v>
      </c>
      <c r="L4093">
        <v>156.54910000000001</v>
      </c>
      <c r="M4093">
        <v>135.2876</v>
      </c>
      <c r="N4093">
        <v>97.974299999999999</v>
      </c>
      <c r="O4093">
        <v>87.543199999999999</v>
      </c>
      <c r="P4093">
        <v>142</v>
      </c>
      <c r="Q4093" t="s">
        <v>8531</v>
      </c>
    </row>
    <row r="4094" spans="1:17" x14ac:dyDescent="0.3">
      <c r="A4094" t="s">
        <v>4664</v>
      </c>
      <c r="B4094" t="str">
        <f>"300338"</f>
        <v>300338</v>
      </c>
      <c r="C4094" t="s">
        <v>8532</v>
      </c>
      <c r="D4094" t="s">
        <v>1336</v>
      </c>
      <c r="F4094">
        <v>10.4063</v>
      </c>
      <c r="G4094">
        <v>20.742100000000001</v>
      </c>
      <c r="H4094">
        <v>106.1276</v>
      </c>
      <c r="I4094">
        <v>156.51859999999999</v>
      </c>
      <c r="J4094">
        <v>241.8261</v>
      </c>
      <c r="K4094">
        <v>452.2987</v>
      </c>
      <c r="L4094">
        <v>671.71910000000003</v>
      </c>
      <c r="M4094">
        <v>324.05250000000001</v>
      </c>
      <c r="N4094">
        <v>367.90030000000002</v>
      </c>
      <c r="O4094">
        <v>324.73750000000001</v>
      </c>
      <c r="P4094">
        <v>118</v>
      </c>
      <c r="Q4094" t="s">
        <v>8533</v>
      </c>
    </row>
    <row r="4095" spans="1:17" x14ac:dyDescent="0.3">
      <c r="A4095" t="s">
        <v>4664</v>
      </c>
      <c r="B4095" t="str">
        <f>"300339"</f>
        <v>300339</v>
      </c>
      <c r="C4095" t="s">
        <v>8534</v>
      </c>
      <c r="D4095" t="s">
        <v>316</v>
      </c>
      <c r="F4095">
        <v>77.281300000000002</v>
      </c>
      <c r="G4095">
        <v>51.996899999999997</v>
      </c>
      <c r="H4095">
        <v>0</v>
      </c>
      <c r="I4095">
        <v>0</v>
      </c>
      <c r="J4095">
        <v>17.906400000000001</v>
      </c>
      <c r="K4095">
        <v>37.0702</v>
      </c>
      <c r="L4095">
        <v>77.099500000000006</v>
      </c>
      <c r="M4095">
        <v>56.287799999999997</v>
      </c>
      <c r="N4095">
        <v>55.9223</v>
      </c>
      <c r="O4095">
        <v>0</v>
      </c>
      <c r="P4095">
        <v>332</v>
      </c>
      <c r="Q4095" t="s">
        <v>8535</v>
      </c>
    </row>
    <row r="4096" spans="1:17" x14ac:dyDescent="0.3">
      <c r="A4096" t="s">
        <v>4664</v>
      </c>
      <c r="B4096" t="str">
        <f>"300340"</f>
        <v>300340</v>
      </c>
      <c r="C4096" t="s">
        <v>8536</v>
      </c>
      <c r="D4096" t="s">
        <v>1786</v>
      </c>
      <c r="F4096">
        <v>158.29660000000001</v>
      </c>
      <c r="G4096">
        <v>246.06909999999999</v>
      </c>
      <c r="H4096">
        <v>260.75400000000002</v>
      </c>
      <c r="I4096">
        <v>210.5968</v>
      </c>
      <c r="J4096">
        <v>234.24449999999999</v>
      </c>
      <c r="K4096">
        <v>100.5059</v>
      </c>
      <c r="L4096">
        <v>166.1944</v>
      </c>
      <c r="M4096">
        <v>220.5292</v>
      </c>
      <c r="N4096">
        <v>212.37</v>
      </c>
      <c r="O4096">
        <v>150.48089999999999</v>
      </c>
      <c r="P4096">
        <v>96</v>
      </c>
      <c r="Q4096" t="s">
        <v>8537</v>
      </c>
    </row>
    <row r="4097" spans="1:17" x14ac:dyDescent="0.3">
      <c r="A4097" t="s">
        <v>4664</v>
      </c>
      <c r="B4097" t="str">
        <f>"300341"</f>
        <v>300341</v>
      </c>
      <c r="C4097" t="s">
        <v>8538</v>
      </c>
      <c r="D4097" t="s">
        <v>210</v>
      </c>
      <c r="F4097">
        <v>193.95160000000001</v>
      </c>
      <c r="G4097">
        <v>215.74090000000001</v>
      </c>
      <c r="H4097">
        <v>204.0891</v>
      </c>
      <c r="I4097">
        <v>182.6233</v>
      </c>
      <c r="J4097">
        <v>192.2319</v>
      </c>
      <c r="K4097">
        <v>191.12909999999999</v>
      </c>
      <c r="L4097">
        <v>133.48220000000001</v>
      </c>
      <c r="M4097">
        <v>98.644499999999994</v>
      </c>
      <c r="N4097">
        <v>98.865300000000005</v>
      </c>
      <c r="O4097">
        <v>111.5295</v>
      </c>
      <c r="P4097">
        <v>142</v>
      </c>
      <c r="Q4097" t="s">
        <v>8539</v>
      </c>
    </row>
    <row r="4098" spans="1:17" x14ac:dyDescent="0.3">
      <c r="A4098" t="s">
        <v>4664</v>
      </c>
      <c r="B4098" t="str">
        <f>"300342"</f>
        <v>300342</v>
      </c>
      <c r="C4098" t="s">
        <v>8540</v>
      </c>
      <c r="D4098" t="s">
        <v>1253</v>
      </c>
      <c r="F4098">
        <v>367.89269999999999</v>
      </c>
      <c r="G4098">
        <v>309.87759999999997</v>
      </c>
      <c r="H4098">
        <v>224.64439999999999</v>
      </c>
      <c r="I4098">
        <v>174.49979999999999</v>
      </c>
      <c r="J4098">
        <v>123.5029</v>
      </c>
      <c r="K4098">
        <v>116.8413</v>
      </c>
      <c r="L4098">
        <v>93.943399999999997</v>
      </c>
      <c r="M4098">
        <v>88.883700000000005</v>
      </c>
      <c r="N4098">
        <v>90.787599999999998</v>
      </c>
      <c r="O4098">
        <v>87.421300000000002</v>
      </c>
      <c r="P4098">
        <v>181</v>
      </c>
      <c r="Q4098" t="s">
        <v>8541</v>
      </c>
    </row>
    <row r="4099" spans="1:17" x14ac:dyDescent="0.3">
      <c r="A4099" t="s">
        <v>4664</v>
      </c>
      <c r="B4099" t="str">
        <f>"300343"</f>
        <v>300343</v>
      </c>
      <c r="C4099" t="s">
        <v>8542</v>
      </c>
      <c r="D4099" t="s">
        <v>207</v>
      </c>
      <c r="F4099">
        <v>48.585099999999997</v>
      </c>
      <c r="G4099">
        <v>42.073</v>
      </c>
      <c r="H4099">
        <v>13.662000000000001</v>
      </c>
      <c r="I4099">
        <v>11.9674</v>
      </c>
      <c r="J4099">
        <v>14.831899999999999</v>
      </c>
      <c r="K4099">
        <v>18.5763</v>
      </c>
      <c r="L4099">
        <v>41.919199999999996</v>
      </c>
      <c r="M4099">
        <v>41.627899999999997</v>
      </c>
      <c r="N4099">
        <v>51.930999999999997</v>
      </c>
      <c r="O4099">
        <v>55.505899999999997</v>
      </c>
      <c r="P4099">
        <v>155</v>
      </c>
      <c r="Q4099" t="s">
        <v>8543</v>
      </c>
    </row>
    <row r="4100" spans="1:17" x14ac:dyDescent="0.3">
      <c r="A4100" t="s">
        <v>4664</v>
      </c>
      <c r="B4100" t="str">
        <f>"300344"</f>
        <v>300344</v>
      </c>
      <c r="C4100" t="s">
        <v>8544</v>
      </c>
      <c r="D4100" t="s">
        <v>945</v>
      </c>
      <c r="F4100">
        <v>60.237299999999998</v>
      </c>
      <c r="G4100">
        <v>281.64929999999998</v>
      </c>
      <c r="H4100">
        <v>206.26769999999999</v>
      </c>
      <c r="I4100">
        <v>209.7071</v>
      </c>
      <c r="J4100">
        <v>354.78789999999998</v>
      </c>
      <c r="K4100">
        <v>472.08789999999999</v>
      </c>
      <c r="L4100">
        <v>910.98119999999994</v>
      </c>
      <c r="M4100">
        <v>880.42849999999999</v>
      </c>
      <c r="N4100">
        <v>282.06200000000001</v>
      </c>
      <c r="O4100">
        <v>175.18960000000001</v>
      </c>
      <c r="P4100">
        <v>64</v>
      </c>
      <c r="Q4100" t="s">
        <v>8545</v>
      </c>
    </row>
    <row r="4101" spans="1:17" x14ac:dyDescent="0.3">
      <c r="A4101" t="s">
        <v>4664</v>
      </c>
      <c r="B4101" t="str">
        <f>"300345"</f>
        <v>300345</v>
      </c>
      <c r="C4101" t="s">
        <v>8546</v>
      </c>
      <c r="D4101" t="s">
        <v>404</v>
      </c>
      <c r="F4101">
        <v>169.16120000000001</v>
      </c>
      <c r="G4101">
        <v>209.06569999999999</v>
      </c>
      <c r="H4101">
        <v>313.22129999999999</v>
      </c>
      <c r="I4101">
        <v>847.84289999999999</v>
      </c>
      <c r="J4101">
        <v>649.60599999999999</v>
      </c>
      <c r="K4101">
        <v>420.45159999999998</v>
      </c>
      <c r="L4101">
        <v>205.61269999999999</v>
      </c>
      <c r="M4101">
        <v>294.24169999999998</v>
      </c>
      <c r="N4101">
        <v>303.89999999999998</v>
      </c>
      <c r="O4101">
        <v>119.4212</v>
      </c>
      <c r="P4101">
        <v>53</v>
      </c>
      <c r="Q4101" t="s">
        <v>8547</v>
      </c>
    </row>
    <row r="4102" spans="1:17" x14ac:dyDescent="0.3">
      <c r="A4102" t="s">
        <v>4664</v>
      </c>
      <c r="B4102" t="str">
        <f>"300346"</f>
        <v>300346</v>
      </c>
      <c r="C4102" t="s">
        <v>8548</v>
      </c>
      <c r="D4102" t="s">
        <v>2399</v>
      </c>
      <c r="F4102">
        <v>158.2133</v>
      </c>
      <c r="G4102">
        <v>177.8449</v>
      </c>
      <c r="H4102">
        <v>350.51569999999998</v>
      </c>
      <c r="I4102">
        <v>393.57929999999999</v>
      </c>
      <c r="J4102">
        <v>466.82380000000001</v>
      </c>
      <c r="K4102">
        <v>726.45230000000004</v>
      </c>
      <c r="L4102">
        <v>660.90480000000002</v>
      </c>
      <c r="M4102">
        <v>584.7106</v>
      </c>
      <c r="N4102">
        <v>800.55899999999997</v>
      </c>
      <c r="O4102">
        <v>639.03269999999998</v>
      </c>
      <c r="P4102">
        <v>447</v>
      </c>
      <c r="Q4102" t="s">
        <v>8549</v>
      </c>
    </row>
    <row r="4103" spans="1:17" x14ac:dyDescent="0.3">
      <c r="A4103" t="s">
        <v>4664</v>
      </c>
      <c r="B4103" t="str">
        <f>"300347"</f>
        <v>300347</v>
      </c>
      <c r="C4103" t="s">
        <v>8550</v>
      </c>
      <c r="D4103" t="s">
        <v>1461</v>
      </c>
      <c r="F4103">
        <v>1.0566</v>
      </c>
      <c r="G4103">
        <v>0.41889999999999999</v>
      </c>
      <c r="H4103">
        <v>0.20169999999999999</v>
      </c>
      <c r="I4103">
        <v>7.0400000000000004E-2</v>
      </c>
      <c r="J4103">
        <v>3.2800000000000003E-2</v>
      </c>
      <c r="K4103">
        <v>0.27279999999999999</v>
      </c>
      <c r="L4103">
        <v>0.40510000000000002</v>
      </c>
      <c r="M4103">
        <v>0.49390000000000001</v>
      </c>
      <c r="N4103">
        <v>0.50839999999999996</v>
      </c>
      <c r="O4103">
        <v>0.63639999999999997</v>
      </c>
      <c r="P4103">
        <v>3109</v>
      </c>
      <c r="Q4103" t="s">
        <v>8551</v>
      </c>
    </row>
    <row r="4104" spans="1:17" x14ac:dyDescent="0.3">
      <c r="A4104" t="s">
        <v>4664</v>
      </c>
      <c r="B4104" t="str">
        <f>"300348"</f>
        <v>300348</v>
      </c>
      <c r="C4104" t="s">
        <v>8552</v>
      </c>
      <c r="D4104" t="s">
        <v>945</v>
      </c>
      <c r="F4104">
        <v>417.66770000000002</v>
      </c>
      <c r="G4104">
        <v>332.93009999999998</v>
      </c>
      <c r="H4104">
        <v>1.1567000000000001</v>
      </c>
      <c r="I4104">
        <v>0.90620000000000001</v>
      </c>
      <c r="J4104">
        <v>2.3289</v>
      </c>
      <c r="K4104">
        <v>3.9296000000000002</v>
      </c>
      <c r="L4104">
        <v>2.3222999999999998</v>
      </c>
      <c r="M4104">
        <v>7.1851000000000003</v>
      </c>
      <c r="N4104">
        <v>26.011199999999999</v>
      </c>
      <c r="O4104">
        <v>33.907600000000002</v>
      </c>
      <c r="P4104">
        <v>364</v>
      </c>
      <c r="Q4104" t="s">
        <v>8553</v>
      </c>
    </row>
    <row r="4105" spans="1:17" x14ac:dyDescent="0.3">
      <c r="A4105" t="s">
        <v>4664</v>
      </c>
      <c r="B4105" t="str">
        <f>"300349"</f>
        <v>300349</v>
      </c>
      <c r="C4105" t="s">
        <v>8554</v>
      </c>
      <c r="D4105" t="s">
        <v>2551</v>
      </c>
      <c r="F4105">
        <v>176.45140000000001</v>
      </c>
      <c r="G4105">
        <v>181.45359999999999</v>
      </c>
      <c r="H4105">
        <v>124.6493</v>
      </c>
      <c r="I4105">
        <v>180.4674</v>
      </c>
      <c r="J4105">
        <v>194.3673</v>
      </c>
      <c r="K4105">
        <v>66.276799999999994</v>
      </c>
      <c r="L4105">
        <v>55.725499999999997</v>
      </c>
      <c r="M4105">
        <v>52.284399999999998</v>
      </c>
      <c r="N4105">
        <v>88.017899999999997</v>
      </c>
      <c r="O4105">
        <v>96.548699999999997</v>
      </c>
      <c r="P4105">
        <v>395</v>
      </c>
      <c r="Q4105" t="s">
        <v>8555</v>
      </c>
    </row>
    <row r="4106" spans="1:17" x14ac:dyDescent="0.3">
      <c r="A4106" t="s">
        <v>4664</v>
      </c>
      <c r="B4106" t="str">
        <f>"300350"</f>
        <v>300350</v>
      </c>
      <c r="C4106" t="s">
        <v>8556</v>
      </c>
      <c r="D4106" t="s">
        <v>3098</v>
      </c>
      <c r="F4106">
        <v>482.46969999999999</v>
      </c>
      <c r="G4106">
        <v>430.44229999999999</v>
      </c>
      <c r="H4106">
        <v>369.78870000000001</v>
      </c>
      <c r="I4106">
        <v>386.86840000000001</v>
      </c>
      <c r="J4106">
        <v>247.16370000000001</v>
      </c>
      <c r="K4106">
        <v>59.601900000000001</v>
      </c>
      <c r="L4106">
        <v>32.406599999999997</v>
      </c>
      <c r="M4106">
        <v>31.918199999999999</v>
      </c>
      <c r="N4106">
        <v>24.779</v>
      </c>
      <c r="O4106">
        <v>0</v>
      </c>
      <c r="P4106">
        <v>106</v>
      </c>
      <c r="Q4106" t="s">
        <v>8557</v>
      </c>
    </row>
    <row r="4107" spans="1:17" x14ac:dyDescent="0.3">
      <c r="A4107" t="s">
        <v>4664</v>
      </c>
      <c r="B4107" t="str">
        <f>"300351"</f>
        <v>300351</v>
      </c>
      <c r="C4107" t="s">
        <v>8558</v>
      </c>
      <c r="D4107" t="s">
        <v>1012</v>
      </c>
      <c r="F4107">
        <v>250.34979999999999</v>
      </c>
      <c r="G4107">
        <v>237.2226</v>
      </c>
      <c r="H4107">
        <v>220.74359999999999</v>
      </c>
      <c r="I4107">
        <v>204.40049999999999</v>
      </c>
      <c r="J4107">
        <v>191.3492</v>
      </c>
      <c r="K4107">
        <v>215.02379999999999</v>
      </c>
      <c r="L4107">
        <v>218.35659999999999</v>
      </c>
      <c r="M4107">
        <v>270.12740000000002</v>
      </c>
      <c r="N4107">
        <v>416.64920000000001</v>
      </c>
      <c r="O4107">
        <v>373.10090000000002</v>
      </c>
      <c r="P4107">
        <v>234</v>
      </c>
      <c r="Q4107" t="s">
        <v>8559</v>
      </c>
    </row>
    <row r="4108" spans="1:17" x14ac:dyDescent="0.3">
      <c r="A4108" t="s">
        <v>4664</v>
      </c>
      <c r="B4108" t="str">
        <f>"300352"</f>
        <v>300352</v>
      </c>
      <c r="C4108" t="s">
        <v>8560</v>
      </c>
      <c r="D4108" t="s">
        <v>945</v>
      </c>
      <c r="F4108">
        <v>743.10329999999999</v>
      </c>
      <c r="G4108">
        <v>612.47569999999996</v>
      </c>
      <c r="H4108">
        <v>203.8305</v>
      </c>
      <c r="I4108">
        <v>638.8972</v>
      </c>
      <c r="J4108">
        <v>213.7259</v>
      </c>
      <c r="K4108">
        <v>92.854399999999998</v>
      </c>
      <c r="L4108">
        <v>113.19329999999999</v>
      </c>
      <c r="M4108">
        <v>187.06979999999999</v>
      </c>
      <c r="N4108">
        <v>246.98939999999999</v>
      </c>
      <c r="O4108">
        <v>127.0385</v>
      </c>
      <c r="P4108">
        <v>255</v>
      </c>
      <c r="Q4108" t="s">
        <v>8561</v>
      </c>
    </row>
    <row r="4109" spans="1:17" x14ac:dyDescent="0.3">
      <c r="A4109" t="s">
        <v>4664</v>
      </c>
      <c r="B4109" t="str">
        <f>"300353"</f>
        <v>300353</v>
      </c>
      <c r="C4109" t="s">
        <v>8562</v>
      </c>
      <c r="D4109" t="s">
        <v>595</v>
      </c>
      <c r="F4109">
        <v>259.572</v>
      </c>
      <c r="G4109">
        <v>332.59699999999998</v>
      </c>
      <c r="H4109">
        <v>238.6575</v>
      </c>
      <c r="I4109">
        <v>196.21379999999999</v>
      </c>
      <c r="J4109">
        <v>190.1671</v>
      </c>
      <c r="K4109">
        <v>142.02500000000001</v>
      </c>
      <c r="L4109">
        <v>170.8056</v>
      </c>
      <c r="M4109">
        <v>188.9992</v>
      </c>
      <c r="N4109">
        <v>199.3903</v>
      </c>
      <c r="O4109">
        <v>206.5376</v>
      </c>
      <c r="P4109">
        <v>3033</v>
      </c>
      <c r="Q4109" t="s">
        <v>8563</v>
      </c>
    </row>
    <row r="4110" spans="1:17" x14ac:dyDescent="0.3">
      <c r="A4110" t="s">
        <v>4664</v>
      </c>
      <c r="B4110" t="str">
        <f>"300354"</f>
        <v>300354</v>
      </c>
      <c r="C4110" t="s">
        <v>8564</v>
      </c>
      <c r="D4110" t="s">
        <v>2551</v>
      </c>
      <c r="F4110">
        <v>785.40499999999997</v>
      </c>
      <c r="G4110">
        <v>748.88109999999995</v>
      </c>
      <c r="H4110">
        <v>680.71709999999996</v>
      </c>
      <c r="I4110">
        <v>580.10709999999995</v>
      </c>
      <c r="J4110">
        <v>543.78700000000003</v>
      </c>
      <c r="K4110">
        <v>539.79560000000004</v>
      </c>
      <c r="L4110">
        <v>613.66989999999998</v>
      </c>
      <c r="M4110">
        <v>778.79920000000004</v>
      </c>
      <c r="N4110">
        <v>683.55250000000001</v>
      </c>
      <c r="O4110">
        <v>524.47270000000003</v>
      </c>
      <c r="P4110">
        <v>139</v>
      </c>
      <c r="Q4110" t="s">
        <v>8565</v>
      </c>
    </row>
    <row r="4111" spans="1:17" x14ac:dyDescent="0.3">
      <c r="A4111" t="s">
        <v>4664</v>
      </c>
      <c r="B4111" t="str">
        <f>"300355"</f>
        <v>300355</v>
      </c>
      <c r="C4111" t="s">
        <v>8566</v>
      </c>
      <c r="D4111" t="s">
        <v>2408</v>
      </c>
      <c r="F4111">
        <v>62.540500000000002</v>
      </c>
      <c r="G4111">
        <v>192.726</v>
      </c>
      <c r="H4111">
        <v>210.0043</v>
      </c>
      <c r="I4111">
        <v>185.08699999999999</v>
      </c>
      <c r="J4111">
        <v>81.984999999999999</v>
      </c>
      <c r="K4111">
        <v>164.09649999999999</v>
      </c>
      <c r="L4111">
        <v>149.08850000000001</v>
      </c>
      <c r="M4111">
        <v>97.1066</v>
      </c>
      <c r="N4111">
        <v>141.16720000000001</v>
      </c>
      <c r="O4111">
        <v>69.995199999999997</v>
      </c>
      <c r="P4111">
        <v>406</v>
      </c>
      <c r="Q4111" t="s">
        <v>8567</v>
      </c>
    </row>
    <row r="4112" spans="1:17" x14ac:dyDescent="0.3">
      <c r="A4112" t="s">
        <v>4664</v>
      </c>
      <c r="B4112" t="str">
        <f>"300356"</f>
        <v>300356</v>
      </c>
      <c r="C4112" t="s">
        <v>8568</v>
      </c>
      <c r="D4112" t="s">
        <v>2171</v>
      </c>
      <c r="F4112">
        <v>251.07509999999999</v>
      </c>
      <c r="G4112">
        <v>267.20510000000002</v>
      </c>
      <c r="H4112">
        <v>279.6533</v>
      </c>
      <c r="I4112">
        <v>240.58850000000001</v>
      </c>
      <c r="J4112">
        <v>166.98509999999999</v>
      </c>
      <c r="K4112">
        <v>116.63679999999999</v>
      </c>
      <c r="L4112">
        <v>109.6784</v>
      </c>
      <c r="M4112">
        <v>219.8295</v>
      </c>
      <c r="N4112">
        <v>66.047499999999999</v>
      </c>
      <c r="O4112">
        <v>155.4975</v>
      </c>
      <c r="P4112">
        <v>67</v>
      </c>
      <c r="Q4112" t="s">
        <v>8569</v>
      </c>
    </row>
    <row r="4113" spans="1:17" x14ac:dyDescent="0.3">
      <c r="A4113" t="s">
        <v>4664</v>
      </c>
      <c r="B4113" t="str">
        <f>"300357"</f>
        <v>300357</v>
      </c>
      <c r="C4113" t="s">
        <v>8570</v>
      </c>
      <c r="D4113" t="s">
        <v>1379</v>
      </c>
      <c r="F4113">
        <v>704.38990000000001</v>
      </c>
      <c r="G4113">
        <v>591.98249999999996</v>
      </c>
      <c r="H4113">
        <v>560.26729999999998</v>
      </c>
      <c r="I4113">
        <v>263.73009999999999</v>
      </c>
      <c r="J4113">
        <v>703.59230000000002</v>
      </c>
      <c r="K4113">
        <v>388.77760000000001</v>
      </c>
      <c r="L4113">
        <v>377.7869</v>
      </c>
      <c r="M4113">
        <v>455.96550000000002</v>
      </c>
      <c r="N4113">
        <v>163.74039999999999</v>
      </c>
      <c r="P4113">
        <v>31270</v>
      </c>
      <c r="Q4113" t="s">
        <v>8571</v>
      </c>
    </row>
    <row r="4114" spans="1:17" x14ac:dyDescent="0.3">
      <c r="A4114" t="s">
        <v>4664</v>
      </c>
      <c r="B4114" t="str">
        <f>"300358"</f>
        <v>300358</v>
      </c>
      <c r="C4114" t="s">
        <v>8572</v>
      </c>
      <c r="D4114" t="s">
        <v>122</v>
      </c>
      <c r="F4114">
        <v>318.15809999999999</v>
      </c>
      <c r="G4114">
        <v>451.09910000000002</v>
      </c>
      <c r="H4114">
        <v>411.60899999999998</v>
      </c>
      <c r="I4114">
        <v>496.63600000000002</v>
      </c>
      <c r="J4114">
        <v>586.79579999999999</v>
      </c>
      <c r="K4114">
        <v>492.89659999999998</v>
      </c>
      <c r="L4114">
        <v>377.91180000000003</v>
      </c>
      <c r="M4114">
        <v>328.56</v>
      </c>
      <c r="N4114">
        <v>115.7321</v>
      </c>
      <c r="P4114">
        <v>185</v>
      </c>
      <c r="Q4114" t="s">
        <v>8573</v>
      </c>
    </row>
    <row r="4115" spans="1:17" x14ac:dyDescent="0.3">
      <c r="A4115" t="s">
        <v>4664</v>
      </c>
      <c r="B4115" t="str">
        <f>"300359"</f>
        <v>300359</v>
      </c>
      <c r="C4115" t="s">
        <v>8574</v>
      </c>
      <c r="D4115" t="s">
        <v>1336</v>
      </c>
      <c r="F4115">
        <v>14.2013</v>
      </c>
      <c r="G4115">
        <v>23.045200000000001</v>
      </c>
      <c r="H4115">
        <v>25.753499999999999</v>
      </c>
      <c r="I4115">
        <v>46.344799999999999</v>
      </c>
      <c r="J4115">
        <v>18.1282</v>
      </c>
      <c r="K4115">
        <v>12.7408</v>
      </c>
      <c r="L4115">
        <v>9.6365999999999996</v>
      </c>
      <c r="M4115">
        <v>12.644299999999999</v>
      </c>
      <c r="N4115">
        <v>2.2884000000000002</v>
      </c>
      <c r="P4115">
        <v>166</v>
      </c>
      <c r="Q4115" t="s">
        <v>8575</v>
      </c>
    </row>
    <row r="4116" spans="1:17" x14ac:dyDescent="0.3">
      <c r="A4116" t="s">
        <v>4664</v>
      </c>
      <c r="B4116" t="str">
        <f>"300360"</f>
        <v>300360</v>
      </c>
      <c r="C4116" t="s">
        <v>8576</v>
      </c>
      <c r="D4116" t="s">
        <v>2171</v>
      </c>
      <c r="F4116">
        <v>197.69409999999999</v>
      </c>
      <c r="G4116">
        <v>205.7732</v>
      </c>
      <c r="H4116">
        <v>180.71279999999999</v>
      </c>
      <c r="I4116">
        <v>153.56209999999999</v>
      </c>
      <c r="J4116">
        <v>148.5478</v>
      </c>
      <c r="K4116">
        <v>173.02279999999999</v>
      </c>
      <c r="L4116">
        <v>244.5857</v>
      </c>
      <c r="M4116">
        <v>200.15379999999999</v>
      </c>
      <c r="N4116">
        <v>98.529300000000006</v>
      </c>
      <c r="P4116">
        <v>958</v>
      </c>
      <c r="Q4116" t="s">
        <v>8577</v>
      </c>
    </row>
    <row r="4117" spans="1:17" x14ac:dyDescent="0.3">
      <c r="A4117" t="s">
        <v>4664</v>
      </c>
      <c r="B4117" t="str">
        <f>"300361"</f>
        <v>300361</v>
      </c>
      <c r="C4117" t="s">
        <v>7211</v>
      </c>
      <c r="D4117" t="s">
        <v>143</v>
      </c>
      <c r="P4117">
        <v>8</v>
      </c>
      <c r="Q4117" t="s">
        <v>8578</v>
      </c>
    </row>
    <row r="4118" spans="1:17" x14ac:dyDescent="0.3">
      <c r="A4118" t="s">
        <v>4664</v>
      </c>
      <c r="B4118" t="str">
        <f>"300362"</f>
        <v>300362</v>
      </c>
      <c r="C4118" t="s">
        <v>8579</v>
      </c>
      <c r="G4118">
        <v>434.39690000000002</v>
      </c>
      <c r="H4118">
        <v>726.0634</v>
      </c>
      <c r="I4118">
        <v>809.16899999999998</v>
      </c>
      <c r="J4118">
        <v>428.39389999999997</v>
      </c>
      <c r="K4118">
        <v>707.93209999999999</v>
      </c>
      <c r="L4118">
        <v>1080.2624000000001</v>
      </c>
      <c r="M4118">
        <v>751.88300000000004</v>
      </c>
      <c r="N4118">
        <v>692.43290000000002</v>
      </c>
      <c r="O4118">
        <v>506.5788</v>
      </c>
      <c r="P4118">
        <v>87</v>
      </c>
      <c r="Q4118" t="s">
        <v>8580</v>
      </c>
    </row>
    <row r="4119" spans="1:17" x14ac:dyDescent="0.3">
      <c r="A4119" t="s">
        <v>4664</v>
      </c>
      <c r="B4119" t="str">
        <f>"300363"</f>
        <v>300363</v>
      </c>
      <c r="C4119" t="s">
        <v>8581</v>
      </c>
      <c r="D4119" t="s">
        <v>1461</v>
      </c>
      <c r="F4119">
        <v>166.3931</v>
      </c>
      <c r="G4119">
        <v>154.73990000000001</v>
      </c>
      <c r="H4119">
        <v>170.30520000000001</v>
      </c>
      <c r="I4119">
        <v>182.03110000000001</v>
      </c>
      <c r="J4119">
        <v>223.5163</v>
      </c>
      <c r="K4119">
        <v>195.28290000000001</v>
      </c>
      <c r="L4119">
        <v>142.547</v>
      </c>
      <c r="M4119">
        <v>187.46789999999999</v>
      </c>
      <c r="N4119">
        <v>64.883899999999997</v>
      </c>
      <c r="P4119">
        <v>542</v>
      </c>
      <c r="Q4119" t="s">
        <v>8582</v>
      </c>
    </row>
    <row r="4120" spans="1:17" x14ac:dyDescent="0.3">
      <c r="A4120" t="s">
        <v>4664</v>
      </c>
      <c r="B4120" t="str">
        <f>"300364"</f>
        <v>300364</v>
      </c>
      <c r="C4120" t="s">
        <v>8583</v>
      </c>
      <c r="D4120" t="s">
        <v>525</v>
      </c>
      <c r="F4120">
        <v>9.7613000000000003</v>
      </c>
      <c r="G4120">
        <v>19.0883</v>
      </c>
      <c r="H4120">
        <v>27.514500000000002</v>
      </c>
      <c r="I4120">
        <v>12.561400000000001</v>
      </c>
      <c r="J4120">
        <v>16.132300000000001</v>
      </c>
      <c r="K4120">
        <v>17.078199999999999</v>
      </c>
      <c r="L4120">
        <v>9.3903999999999996</v>
      </c>
      <c r="M4120">
        <v>0</v>
      </c>
      <c r="P4120">
        <v>153</v>
      </c>
      <c r="Q4120" t="s">
        <v>8584</v>
      </c>
    </row>
    <row r="4121" spans="1:17" x14ac:dyDescent="0.3">
      <c r="A4121" t="s">
        <v>4664</v>
      </c>
      <c r="B4121" t="str">
        <f>"300365"</f>
        <v>300365</v>
      </c>
      <c r="C4121" t="s">
        <v>8585</v>
      </c>
      <c r="D4121" t="s">
        <v>945</v>
      </c>
      <c r="F4121">
        <v>646.33019999999999</v>
      </c>
      <c r="G4121">
        <v>323.34059999999999</v>
      </c>
      <c r="H4121">
        <v>148.1508</v>
      </c>
      <c r="I4121">
        <v>114.3035</v>
      </c>
      <c r="J4121">
        <v>136.19139999999999</v>
      </c>
      <c r="K4121">
        <v>245.50790000000001</v>
      </c>
      <c r="L4121">
        <v>391.69400000000002</v>
      </c>
      <c r="M4121">
        <v>440.5505</v>
      </c>
      <c r="N4121">
        <v>91.678200000000004</v>
      </c>
      <c r="P4121">
        <v>334</v>
      </c>
      <c r="Q4121" t="s">
        <v>8586</v>
      </c>
    </row>
    <row r="4122" spans="1:17" x14ac:dyDescent="0.3">
      <c r="A4122" t="s">
        <v>4664</v>
      </c>
      <c r="B4122" t="str">
        <f>"300366"</f>
        <v>300366</v>
      </c>
      <c r="C4122" t="s">
        <v>8587</v>
      </c>
      <c r="D4122" t="s">
        <v>945</v>
      </c>
      <c r="F4122">
        <v>275.62650000000002</v>
      </c>
      <c r="G4122">
        <v>289.03250000000003</v>
      </c>
      <c r="H4122">
        <v>306.74360000000001</v>
      </c>
      <c r="I4122">
        <v>250.41419999999999</v>
      </c>
      <c r="J4122">
        <v>189.53530000000001</v>
      </c>
      <c r="K4122">
        <v>95.979900000000001</v>
      </c>
      <c r="L4122">
        <v>136.143</v>
      </c>
      <c r="M4122">
        <v>44.381900000000002</v>
      </c>
      <c r="N4122">
        <v>55.557299999999998</v>
      </c>
      <c r="O4122">
        <v>47.494</v>
      </c>
      <c r="P4122">
        <v>222</v>
      </c>
      <c r="Q4122" t="s">
        <v>8588</v>
      </c>
    </row>
    <row r="4123" spans="1:17" x14ac:dyDescent="0.3">
      <c r="A4123" t="s">
        <v>4664</v>
      </c>
      <c r="B4123" t="str">
        <f>"300367"</f>
        <v>300367</v>
      </c>
      <c r="C4123" t="s">
        <v>8589</v>
      </c>
      <c r="D4123" t="s">
        <v>2953</v>
      </c>
      <c r="F4123">
        <v>601.84939999999995</v>
      </c>
      <c r="G4123">
        <v>618.47739999999999</v>
      </c>
      <c r="H4123">
        <v>594.60260000000005</v>
      </c>
      <c r="I4123">
        <v>234.64279999999999</v>
      </c>
      <c r="J4123">
        <v>194.2756</v>
      </c>
      <c r="K4123">
        <v>219.8322</v>
      </c>
      <c r="L4123">
        <v>161.23310000000001</v>
      </c>
      <c r="M4123">
        <v>273.01479999999998</v>
      </c>
      <c r="N4123">
        <v>260.28609999999998</v>
      </c>
      <c r="O4123">
        <v>95.135900000000007</v>
      </c>
      <c r="P4123">
        <v>196</v>
      </c>
      <c r="Q4123" t="s">
        <v>8590</v>
      </c>
    </row>
    <row r="4124" spans="1:17" x14ac:dyDescent="0.3">
      <c r="A4124" t="s">
        <v>4664</v>
      </c>
      <c r="B4124" t="str">
        <f>"300368"</f>
        <v>300368</v>
      </c>
      <c r="C4124" t="s">
        <v>8591</v>
      </c>
      <c r="D4124" t="s">
        <v>236</v>
      </c>
      <c r="F4124">
        <v>160.63409999999999</v>
      </c>
      <c r="G4124">
        <v>144.1156</v>
      </c>
      <c r="H4124">
        <v>202.65710000000001</v>
      </c>
      <c r="I4124">
        <v>189.87700000000001</v>
      </c>
      <c r="J4124">
        <v>274.67630000000003</v>
      </c>
      <c r="K4124">
        <v>231.20140000000001</v>
      </c>
      <c r="L4124">
        <v>201.99029999999999</v>
      </c>
      <c r="M4124">
        <v>219.0668</v>
      </c>
      <c r="N4124">
        <v>64.618399999999994</v>
      </c>
      <c r="P4124">
        <v>119</v>
      </c>
      <c r="Q4124" t="s">
        <v>8592</v>
      </c>
    </row>
    <row r="4125" spans="1:17" x14ac:dyDescent="0.3">
      <c r="A4125" t="s">
        <v>4664</v>
      </c>
      <c r="B4125" t="str">
        <f>"300369"</f>
        <v>300369</v>
      </c>
      <c r="C4125" t="s">
        <v>8593</v>
      </c>
      <c r="D4125" t="s">
        <v>1189</v>
      </c>
      <c r="F4125">
        <v>86.355500000000006</v>
      </c>
      <c r="G4125">
        <v>119.5819</v>
      </c>
      <c r="H4125">
        <v>108.5857</v>
      </c>
      <c r="I4125">
        <v>120.9676</v>
      </c>
      <c r="J4125">
        <v>163.36099999999999</v>
      </c>
      <c r="K4125">
        <v>180.29570000000001</v>
      </c>
      <c r="L4125">
        <v>180.7226</v>
      </c>
      <c r="M4125">
        <v>142.97309999999999</v>
      </c>
      <c r="N4125">
        <v>36.2059</v>
      </c>
      <c r="P4125">
        <v>418</v>
      </c>
      <c r="Q4125" t="s">
        <v>8594</v>
      </c>
    </row>
    <row r="4126" spans="1:17" x14ac:dyDescent="0.3">
      <c r="A4126" t="s">
        <v>4664</v>
      </c>
      <c r="B4126" t="str">
        <f>"300370"</f>
        <v>300370</v>
      </c>
      <c r="C4126" t="s">
        <v>8595</v>
      </c>
      <c r="D4126" t="s">
        <v>2551</v>
      </c>
      <c r="F4126">
        <v>424.89370000000002</v>
      </c>
      <c r="G4126">
        <v>704.96939999999995</v>
      </c>
      <c r="H4126">
        <v>531.36879999999996</v>
      </c>
      <c r="I4126">
        <v>438.74509999999998</v>
      </c>
      <c r="J4126">
        <v>274.1397</v>
      </c>
      <c r="K4126">
        <v>527.85770000000002</v>
      </c>
      <c r="L4126">
        <v>454.90469999999999</v>
      </c>
      <c r="M4126">
        <v>377.66460000000001</v>
      </c>
      <c r="N4126">
        <v>394.13589999999999</v>
      </c>
      <c r="O4126">
        <v>171.12010000000001</v>
      </c>
      <c r="P4126">
        <v>103</v>
      </c>
      <c r="Q4126" t="s">
        <v>8596</v>
      </c>
    </row>
    <row r="4127" spans="1:17" x14ac:dyDescent="0.3">
      <c r="A4127" t="s">
        <v>4664</v>
      </c>
      <c r="B4127" t="str">
        <f>"300371"</f>
        <v>300371</v>
      </c>
      <c r="C4127" t="s">
        <v>8597</v>
      </c>
      <c r="D4127" t="s">
        <v>2551</v>
      </c>
      <c r="F4127">
        <v>320.68450000000001</v>
      </c>
      <c r="G4127">
        <v>221.64869999999999</v>
      </c>
      <c r="H4127">
        <v>246.26480000000001</v>
      </c>
      <c r="I4127">
        <v>352.05450000000002</v>
      </c>
      <c r="J4127">
        <v>372.36020000000002</v>
      </c>
      <c r="K4127">
        <v>360.60739999999998</v>
      </c>
      <c r="L4127">
        <v>395.18110000000001</v>
      </c>
      <c r="M4127">
        <v>430.60669999999999</v>
      </c>
      <c r="N4127">
        <v>347.91399999999999</v>
      </c>
      <c r="P4127">
        <v>288</v>
      </c>
      <c r="Q4127" t="s">
        <v>8598</v>
      </c>
    </row>
    <row r="4128" spans="1:17" x14ac:dyDescent="0.3">
      <c r="A4128" t="s">
        <v>4664</v>
      </c>
      <c r="B4128" t="str">
        <f>"300372"</f>
        <v>300372</v>
      </c>
      <c r="C4128" t="s">
        <v>8599</v>
      </c>
      <c r="K4128">
        <v>395.44560000000001</v>
      </c>
      <c r="L4128">
        <v>199.3117</v>
      </c>
      <c r="M4128">
        <v>124.0051</v>
      </c>
      <c r="N4128">
        <v>129.0428</v>
      </c>
      <c r="O4128">
        <v>84.849699999999999</v>
      </c>
      <c r="P4128">
        <v>5</v>
      </c>
      <c r="Q4128" t="s">
        <v>8600</v>
      </c>
    </row>
    <row r="4129" spans="1:17" x14ac:dyDescent="0.3">
      <c r="A4129" t="s">
        <v>4664</v>
      </c>
      <c r="B4129" t="str">
        <f>"300373"</f>
        <v>300373</v>
      </c>
      <c r="C4129" t="s">
        <v>8601</v>
      </c>
      <c r="D4129" t="s">
        <v>795</v>
      </c>
      <c r="F4129">
        <v>106.27030000000001</v>
      </c>
      <c r="G4129">
        <v>108.0106</v>
      </c>
      <c r="H4129">
        <v>114.2698</v>
      </c>
      <c r="I4129">
        <v>100.8116</v>
      </c>
      <c r="J4129">
        <v>70.758899999999997</v>
      </c>
      <c r="K4129">
        <v>76.467299999999994</v>
      </c>
      <c r="L4129">
        <v>98.9893</v>
      </c>
      <c r="M4129">
        <v>86.971299999999999</v>
      </c>
      <c r="N4129">
        <v>78.508700000000005</v>
      </c>
      <c r="O4129">
        <v>40.6999</v>
      </c>
      <c r="P4129">
        <v>4305</v>
      </c>
      <c r="Q4129" t="s">
        <v>8602</v>
      </c>
    </row>
    <row r="4130" spans="1:17" x14ac:dyDescent="0.3">
      <c r="A4130" t="s">
        <v>4664</v>
      </c>
      <c r="B4130" t="str">
        <f>"300374"</f>
        <v>300374</v>
      </c>
      <c r="C4130" t="s">
        <v>8603</v>
      </c>
      <c r="D4130" t="s">
        <v>5835</v>
      </c>
      <c r="F4130">
        <v>80.976500000000001</v>
      </c>
      <c r="G4130">
        <v>104.9363</v>
      </c>
      <c r="H4130">
        <v>224.5446</v>
      </c>
      <c r="I4130">
        <v>167.41120000000001</v>
      </c>
      <c r="J4130">
        <v>104.6987</v>
      </c>
      <c r="K4130">
        <v>141.43389999999999</v>
      </c>
      <c r="L4130">
        <v>177.1387</v>
      </c>
      <c r="M4130">
        <v>355.97</v>
      </c>
      <c r="P4130">
        <v>61</v>
      </c>
      <c r="Q4130" t="s">
        <v>8604</v>
      </c>
    </row>
    <row r="4131" spans="1:17" x14ac:dyDescent="0.3">
      <c r="A4131" t="s">
        <v>4664</v>
      </c>
      <c r="B4131" t="str">
        <f>"300375"</f>
        <v>300375</v>
      </c>
      <c r="C4131" t="s">
        <v>8605</v>
      </c>
      <c r="D4131" t="s">
        <v>348</v>
      </c>
      <c r="F4131">
        <v>154.6232</v>
      </c>
      <c r="G4131">
        <v>164.39150000000001</v>
      </c>
      <c r="H4131">
        <v>147.96459999999999</v>
      </c>
      <c r="I4131">
        <v>154.99770000000001</v>
      </c>
      <c r="J4131">
        <v>135.7927</v>
      </c>
      <c r="K4131">
        <v>116.985</v>
      </c>
      <c r="L4131">
        <v>115.301</v>
      </c>
      <c r="M4131">
        <v>102.86150000000001</v>
      </c>
      <c r="N4131">
        <v>63.1813</v>
      </c>
      <c r="P4131">
        <v>99</v>
      </c>
      <c r="Q4131" t="s">
        <v>8606</v>
      </c>
    </row>
    <row r="4132" spans="1:17" x14ac:dyDescent="0.3">
      <c r="A4132" t="s">
        <v>4664</v>
      </c>
      <c r="B4132" t="str">
        <f>"300376"</f>
        <v>300376</v>
      </c>
      <c r="C4132" t="s">
        <v>8607</v>
      </c>
      <c r="D4132" t="s">
        <v>880</v>
      </c>
      <c r="F4132">
        <v>149.55699999999999</v>
      </c>
      <c r="G4132">
        <v>71.227999999999994</v>
      </c>
      <c r="H4132">
        <v>93.127200000000002</v>
      </c>
      <c r="I4132">
        <v>75.062899999999999</v>
      </c>
      <c r="J4132">
        <v>41.171999999999997</v>
      </c>
      <c r="K4132">
        <v>49.832099999999997</v>
      </c>
      <c r="L4132">
        <v>76.857900000000001</v>
      </c>
      <c r="M4132">
        <v>121.35550000000001</v>
      </c>
      <c r="P4132">
        <v>849</v>
      </c>
      <c r="Q4132" t="s">
        <v>8608</v>
      </c>
    </row>
    <row r="4133" spans="1:17" x14ac:dyDescent="0.3">
      <c r="A4133" t="s">
        <v>4664</v>
      </c>
      <c r="B4133" t="str">
        <f>"300377"</f>
        <v>300377</v>
      </c>
      <c r="C4133" t="s">
        <v>8609</v>
      </c>
      <c r="D4133" t="s">
        <v>945</v>
      </c>
      <c r="F4133">
        <v>33.8215</v>
      </c>
      <c r="G4133">
        <v>0.16389999999999999</v>
      </c>
      <c r="H4133">
        <v>2.8571</v>
      </c>
      <c r="I4133">
        <v>8.2946000000000009</v>
      </c>
      <c r="J4133">
        <v>13.1991</v>
      </c>
      <c r="K4133">
        <v>5.3814000000000002</v>
      </c>
      <c r="L4133">
        <v>0</v>
      </c>
      <c r="M4133">
        <v>0</v>
      </c>
      <c r="N4133">
        <v>0</v>
      </c>
      <c r="P4133">
        <v>3125</v>
      </c>
      <c r="Q4133" t="s">
        <v>8610</v>
      </c>
    </row>
    <row r="4134" spans="1:17" x14ac:dyDescent="0.3">
      <c r="A4134" t="s">
        <v>4664</v>
      </c>
      <c r="B4134" t="str">
        <f>"300378"</f>
        <v>300378</v>
      </c>
      <c r="C4134" t="s">
        <v>8611</v>
      </c>
      <c r="D4134" t="s">
        <v>1189</v>
      </c>
      <c r="F4134">
        <v>32.0169</v>
      </c>
      <c r="G4134">
        <v>28.388999999999999</v>
      </c>
      <c r="H4134">
        <v>23.8139</v>
      </c>
      <c r="I4134">
        <v>23.094200000000001</v>
      </c>
      <c r="J4134">
        <v>26.702999999999999</v>
      </c>
      <c r="K4134">
        <v>23.2409</v>
      </c>
      <c r="L4134">
        <v>20.309000000000001</v>
      </c>
      <c r="M4134">
        <v>17.674900000000001</v>
      </c>
      <c r="N4134">
        <v>9.4756999999999998</v>
      </c>
      <c r="P4134">
        <v>195</v>
      </c>
      <c r="Q4134" t="s">
        <v>8612</v>
      </c>
    </row>
    <row r="4135" spans="1:17" x14ac:dyDescent="0.3">
      <c r="A4135" t="s">
        <v>4664</v>
      </c>
      <c r="B4135" t="str">
        <f>"300379"</f>
        <v>300379</v>
      </c>
      <c r="C4135" t="s">
        <v>8613</v>
      </c>
      <c r="D4135" t="s">
        <v>945</v>
      </c>
      <c r="F4135">
        <v>626.79960000000005</v>
      </c>
      <c r="G4135">
        <v>288.47919999999999</v>
      </c>
      <c r="H4135">
        <v>244.29239999999999</v>
      </c>
      <c r="I4135">
        <v>312.2294</v>
      </c>
      <c r="J4135">
        <v>251.11170000000001</v>
      </c>
      <c r="K4135">
        <v>48.150500000000001</v>
      </c>
      <c r="L4135">
        <v>126.8691</v>
      </c>
      <c r="M4135">
        <v>1.9376</v>
      </c>
      <c r="N4135">
        <v>0</v>
      </c>
      <c r="P4135">
        <v>395</v>
      </c>
      <c r="Q4135" t="s">
        <v>8614</v>
      </c>
    </row>
    <row r="4136" spans="1:17" x14ac:dyDescent="0.3">
      <c r="A4136" t="s">
        <v>4664</v>
      </c>
      <c r="B4136" t="str">
        <f>"300380"</f>
        <v>300380</v>
      </c>
      <c r="C4136" t="s">
        <v>8615</v>
      </c>
      <c r="D4136" t="s">
        <v>945</v>
      </c>
      <c r="F4136">
        <v>495.7955</v>
      </c>
      <c r="G4136">
        <v>337.81659999999999</v>
      </c>
      <c r="H4136">
        <v>266.13549999999998</v>
      </c>
      <c r="I4136">
        <v>261.83</v>
      </c>
      <c r="J4136">
        <v>268.37860000000001</v>
      </c>
      <c r="K4136">
        <v>204.0608</v>
      </c>
      <c r="L4136">
        <v>246.70609999999999</v>
      </c>
      <c r="M4136">
        <v>298.83710000000002</v>
      </c>
      <c r="N4136">
        <v>264.9751</v>
      </c>
      <c r="O4136">
        <v>45.405799999999999</v>
      </c>
      <c r="P4136">
        <v>85</v>
      </c>
      <c r="Q4136" t="s">
        <v>8616</v>
      </c>
    </row>
    <row r="4137" spans="1:17" x14ac:dyDescent="0.3">
      <c r="A4137" t="s">
        <v>4664</v>
      </c>
      <c r="B4137" t="str">
        <f>"300381"</f>
        <v>300381</v>
      </c>
      <c r="C4137" t="s">
        <v>8617</v>
      </c>
      <c r="D4137" t="s">
        <v>496</v>
      </c>
      <c r="F4137">
        <v>525.11680000000001</v>
      </c>
      <c r="G4137">
        <v>431.20569999999998</v>
      </c>
      <c r="H4137">
        <v>419.32549999999998</v>
      </c>
      <c r="I4137">
        <v>399.65769999999998</v>
      </c>
      <c r="J4137">
        <v>181.90870000000001</v>
      </c>
      <c r="K4137">
        <v>310.69139999999999</v>
      </c>
      <c r="L4137">
        <v>202.6447</v>
      </c>
      <c r="M4137">
        <v>168.00319999999999</v>
      </c>
      <c r="N4137">
        <v>56.667499999999997</v>
      </c>
      <c r="P4137">
        <v>160</v>
      </c>
      <c r="Q4137" t="s">
        <v>8618</v>
      </c>
    </row>
    <row r="4138" spans="1:17" x14ac:dyDescent="0.3">
      <c r="A4138" t="s">
        <v>4664</v>
      </c>
      <c r="B4138" t="str">
        <f>"300382"</f>
        <v>300382</v>
      </c>
      <c r="C4138" t="s">
        <v>8619</v>
      </c>
      <c r="D4138" t="s">
        <v>741</v>
      </c>
      <c r="F4138">
        <v>650.15480000000002</v>
      </c>
      <c r="G4138">
        <v>595.95489999999995</v>
      </c>
      <c r="H4138">
        <v>623.12509999999997</v>
      </c>
      <c r="I4138">
        <v>779.62</v>
      </c>
      <c r="J4138">
        <v>844.67309999999998</v>
      </c>
      <c r="K4138">
        <v>893.02080000000001</v>
      </c>
      <c r="L4138">
        <v>934.67370000000005</v>
      </c>
      <c r="M4138">
        <v>948.03779999999995</v>
      </c>
      <c r="N4138">
        <v>267.16399999999999</v>
      </c>
      <c r="P4138">
        <v>182</v>
      </c>
      <c r="Q4138" t="s">
        <v>8620</v>
      </c>
    </row>
    <row r="4139" spans="1:17" x14ac:dyDescent="0.3">
      <c r="A4139" t="s">
        <v>4664</v>
      </c>
      <c r="B4139" t="str">
        <f>"300383"</f>
        <v>300383</v>
      </c>
      <c r="C4139" t="s">
        <v>8621</v>
      </c>
      <c r="D4139" t="s">
        <v>316</v>
      </c>
      <c r="F4139">
        <v>0.90780000000000005</v>
      </c>
      <c r="G4139">
        <v>0.69779999999999998</v>
      </c>
      <c r="H4139">
        <v>0.80269999999999997</v>
      </c>
      <c r="I4139">
        <v>0.67410000000000003</v>
      </c>
      <c r="J4139">
        <v>0.51370000000000005</v>
      </c>
      <c r="K4139">
        <v>0.56469999999999998</v>
      </c>
      <c r="L4139">
        <v>1.8448</v>
      </c>
      <c r="M4139">
        <v>1.6867000000000001</v>
      </c>
      <c r="N4139">
        <v>0.41</v>
      </c>
      <c r="P4139">
        <v>2115</v>
      </c>
      <c r="Q4139" t="s">
        <v>8622</v>
      </c>
    </row>
    <row r="4140" spans="1:17" x14ac:dyDescent="0.3">
      <c r="A4140" t="s">
        <v>4664</v>
      </c>
      <c r="B4140" t="str">
        <f>"300384"</f>
        <v>300384</v>
      </c>
      <c r="C4140" t="s">
        <v>8623</v>
      </c>
      <c r="D4140" t="s">
        <v>2019</v>
      </c>
      <c r="F4140">
        <v>167.3021</v>
      </c>
      <c r="G4140">
        <v>178.2139</v>
      </c>
      <c r="H4140">
        <v>135.8158</v>
      </c>
      <c r="I4140">
        <v>104.75</v>
      </c>
      <c r="J4140">
        <v>141.5754</v>
      </c>
      <c r="K4140">
        <v>255.47110000000001</v>
      </c>
      <c r="L4140">
        <v>361.5856</v>
      </c>
      <c r="M4140">
        <v>257.09589999999997</v>
      </c>
      <c r="N4140">
        <v>80.840100000000007</v>
      </c>
      <c r="P4140">
        <v>164</v>
      </c>
      <c r="Q4140" t="s">
        <v>8624</v>
      </c>
    </row>
    <row r="4141" spans="1:17" x14ac:dyDescent="0.3">
      <c r="A4141" t="s">
        <v>4664</v>
      </c>
      <c r="B4141" t="str">
        <f>"300385"</f>
        <v>300385</v>
      </c>
      <c r="C4141" t="s">
        <v>8625</v>
      </c>
      <c r="D4141" t="s">
        <v>663</v>
      </c>
      <c r="F4141">
        <v>333.94909999999999</v>
      </c>
      <c r="G4141">
        <v>442.6046</v>
      </c>
      <c r="H4141">
        <v>253.13159999999999</v>
      </c>
      <c r="I4141">
        <v>276.3741</v>
      </c>
      <c r="J4141">
        <v>206.57929999999999</v>
      </c>
      <c r="K4141">
        <v>176.90369999999999</v>
      </c>
      <c r="L4141">
        <v>201.33199999999999</v>
      </c>
      <c r="M4141">
        <v>182.34209999999999</v>
      </c>
      <c r="N4141">
        <v>83.651499999999999</v>
      </c>
      <c r="P4141">
        <v>92</v>
      </c>
      <c r="Q4141" t="s">
        <v>8626</v>
      </c>
    </row>
    <row r="4142" spans="1:17" x14ac:dyDescent="0.3">
      <c r="A4142" t="s">
        <v>4664</v>
      </c>
      <c r="B4142" t="str">
        <f>"300386"</f>
        <v>300386</v>
      </c>
      <c r="C4142" t="s">
        <v>8627</v>
      </c>
      <c r="D4142" t="s">
        <v>236</v>
      </c>
      <c r="F4142">
        <v>434.16289999999998</v>
      </c>
      <c r="G4142">
        <v>419.07740000000001</v>
      </c>
      <c r="H4142">
        <v>404.44389999999999</v>
      </c>
      <c r="I4142">
        <v>388.22379999999998</v>
      </c>
      <c r="J4142">
        <v>362.07069999999999</v>
      </c>
      <c r="K4142">
        <v>368.68349999999998</v>
      </c>
      <c r="L4142">
        <v>255.2723</v>
      </c>
      <c r="M4142">
        <v>210.24549999999999</v>
      </c>
      <c r="N4142">
        <v>53.057400000000001</v>
      </c>
      <c r="P4142">
        <v>188</v>
      </c>
      <c r="Q4142" t="s">
        <v>8628</v>
      </c>
    </row>
    <row r="4143" spans="1:17" x14ac:dyDescent="0.3">
      <c r="A4143" t="s">
        <v>4664</v>
      </c>
      <c r="B4143" t="str">
        <f>"300387"</f>
        <v>300387</v>
      </c>
      <c r="C4143" t="s">
        <v>8629</v>
      </c>
      <c r="D4143" t="s">
        <v>5489</v>
      </c>
      <c r="F4143">
        <v>117.2841</v>
      </c>
      <c r="G4143">
        <v>130.602</v>
      </c>
      <c r="H4143">
        <v>119.033</v>
      </c>
      <c r="I4143">
        <v>103.5707</v>
      </c>
      <c r="J4143">
        <v>140.1328</v>
      </c>
      <c r="K4143">
        <v>113.5938</v>
      </c>
      <c r="L4143">
        <v>147.1977</v>
      </c>
      <c r="M4143">
        <v>135.6507</v>
      </c>
      <c r="N4143">
        <v>46.649700000000003</v>
      </c>
      <c r="P4143">
        <v>89</v>
      </c>
      <c r="Q4143" t="s">
        <v>8630</v>
      </c>
    </row>
    <row r="4144" spans="1:17" x14ac:dyDescent="0.3">
      <c r="A4144" t="s">
        <v>4664</v>
      </c>
      <c r="B4144" t="str">
        <f>"300388"</f>
        <v>300388</v>
      </c>
      <c r="C4144" t="s">
        <v>8631</v>
      </c>
      <c r="D4144" t="s">
        <v>33</v>
      </c>
      <c r="F4144">
        <v>44.6751</v>
      </c>
      <c r="G4144">
        <v>137.12729999999999</v>
      </c>
      <c r="H4144">
        <v>126.3167</v>
      </c>
      <c r="I4144">
        <v>93.608500000000006</v>
      </c>
      <c r="J4144">
        <v>113.5591</v>
      </c>
      <c r="K4144">
        <v>75.090699999999998</v>
      </c>
      <c r="L4144">
        <v>33.79</v>
      </c>
      <c r="M4144">
        <v>16.1098</v>
      </c>
      <c r="N4144">
        <v>10.2531</v>
      </c>
      <c r="P4144">
        <v>225</v>
      </c>
      <c r="Q4144" t="s">
        <v>8632</v>
      </c>
    </row>
    <row r="4145" spans="1:17" x14ac:dyDescent="0.3">
      <c r="A4145" t="s">
        <v>4664</v>
      </c>
      <c r="B4145" t="str">
        <f>"300389"</f>
        <v>300389</v>
      </c>
      <c r="C4145" t="s">
        <v>8633</v>
      </c>
      <c r="D4145" t="s">
        <v>803</v>
      </c>
      <c r="F4145">
        <v>171.04570000000001</v>
      </c>
      <c r="G4145">
        <v>203.5941</v>
      </c>
      <c r="H4145">
        <v>138.4973</v>
      </c>
      <c r="I4145">
        <v>148.11070000000001</v>
      </c>
      <c r="J4145">
        <v>166.27350000000001</v>
      </c>
      <c r="K4145">
        <v>127.2625</v>
      </c>
      <c r="L4145">
        <v>127.48909999999999</v>
      </c>
      <c r="M4145">
        <v>93.056700000000006</v>
      </c>
      <c r="N4145">
        <v>48.113599999999998</v>
      </c>
      <c r="P4145">
        <v>198</v>
      </c>
      <c r="Q4145" t="s">
        <v>8634</v>
      </c>
    </row>
    <row r="4146" spans="1:17" x14ac:dyDescent="0.3">
      <c r="A4146" t="s">
        <v>4664</v>
      </c>
      <c r="B4146" t="str">
        <f>"300390"</f>
        <v>300390</v>
      </c>
      <c r="C4146" t="s">
        <v>8635</v>
      </c>
      <c r="D4146" t="s">
        <v>651</v>
      </c>
      <c r="F4146">
        <v>201.0881</v>
      </c>
      <c r="G4146">
        <v>67.240300000000005</v>
      </c>
      <c r="H4146">
        <v>106.6292</v>
      </c>
      <c r="I4146">
        <v>89.215199999999996</v>
      </c>
      <c r="J4146">
        <v>88.193200000000004</v>
      </c>
      <c r="K4146">
        <v>105.92100000000001</v>
      </c>
      <c r="L4146">
        <v>72.759200000000007</v>
      </c>
      <c r="M4146">
        <v>72.944900000000004</v>
      </c>
      <c r="N4146">
        <v>34.512799999999999</v>
      </c>
      <c r="P4146">
        <v>460</v>
      </c>
      <c r="Q4146" t="s">
        <v>8636</v>
      </c>
    </row>
    <row r="4147" spans="1:17" x14ac:dyDescent="0.3">
      <c r="A4147" t="s">
        <v>4664</v>
      </c>
      <c r="B4147" t="str">
        <f>"300391"</f>
        <v>300391</v>
      </c>
      <c r="C4147" t="s">
        <v>8637</v>
      </c>
      <c r="D4147" t="s">
        <v>348</v>
      </c>
      <c r="F4147">
        <v>57.712299999999999</v>
      </c>
      <c r="G4147">
        <v>146.56549999999999</v>
      </c>
      <c r="H4147">
        <v>175.3023</v>
      </c>
      <c r="I4147">
        <v>159.6557</v>
      </c>
      <c r="J4147">
        <v>130.67920000000001</v>
      </c>
      <c r="K4147">
        <v>227.62989999999999</v>
      </c>
      <c r="L4147">
        <v>220.5188</v>
      </c>
      <c r="M4147">
        <v>161.4435</v>
      </c>
      <c r="N4147">
        <v>60.679699999999997</v>
      </c>
      <c r="P4147">
        <v>80</v>
      </c>
      <c r="Q4147" t="s">
        <v>8638</v>
      </c>
    </row>
    <row r="4148" spans="1:17" x14ac:dyDescent="0.3">
      <c r="A4148" t="s">
        <v>4664</v>
      </c>
      <c r="B4148" t="str">
        <f>"300392"</f>
        <v>300392</v>
      </c>
      <c r="C4148" t="s">
        <v>8639</v>
      </c>
      <c r="D4148" t="s">
        <v>207</v>
      </c>
      <c r="F4148">
        <v>0</v>
      </c>
      <c r="G4148">
        <v>0</v>
      </c>
      <c r="H4148">
        <v>0</v>
      </c>
      <c r="I4148">
        <v>0</v>
      </c>
      <c r="J4148">
        <v>0</v>
      </c>
      <c r="K4148">
        <v>0</v>
      </c>
      <c r="L4148">
        <v>0</v>
      </c>
      <c r="M4148">
        <v>0</v>
      </c>
      <c r="N4148">
        <v>0</v>
      </c>
      <c r="P4148">
        <v>66</v>
      </c>
      <c r="Q4148" t="s">
        <v>8640</v>
      </c>
    </row>
    <row r="4149" spans="1:17" x14ac:dyDescent="0.3">
      <c r="A4149" t="s">
        <v>4664</v>
      </c>
      <c r="B4149" t="str">
        <f>"300393"</f>
        <v>300393</v>
      </c>
      <c r="C4149" t="s">
        <v>8641</v>
      </c>
      <c r="D4149" t="s">
        <v>356</v>
      </c>
      <c r="F4149">
        <v>88.042900000000003</v>
      </c>
      <c r="G4149">
        <v>91.800600000000003</v>
      </c>
      <c r="H4149">
        <v>122.2949</v>
      </c>
      <c r="I4149">
        <v>161.6121</v>
      </c>
      <c r="J4149">
        <v>69.974599999999995</v>
      </c>
      <c r="K4149">
        <v>103.7873</v>
      </c>
      <c r="L4149">
        <v>144.4288</v>
      </c>
      <c r="M4149">
        <v>91.841800000000006</v>
      </c>
      <c r="N4149">
        <v>52.3658</v>
      </c>
      <c r="P4149">
        <v>304</v>
      </c>
      <c r="Q4149" t="s">
        <v>8642</v>
      </c>
    </row>
    <row r="4150" spans="1:17" x14ac:dyDescent="0.3">
      <c r="A4150" t="s">
        <v>4664</v>
      </c>
      <c r="B4150" t="str">
        <f>"300394"</f>
        <v>300394</v>
      </c>
      <c r="C4150" t="s">
        <v>8643</v>
      </c>
      <c r="D4150" t="s">
        <v>1019</v>
      </c>
      <c r="F4150">
        <v>163.226</v>
      </c>
      <c r="G4150">
        <v>140.1139</v>
      </c>
      <c r="H4150">
        <v>129.3364</v>
      </c>
      <c r="I4150">
        <v>126.22150000000001</v>
      </c>
      <c r="J4150">
        <v>169.3116</v>
      </c>
      <c r="K4150">
        <v>163.2748</v>
      </c>
      <c r="L4150">
        <v>197.07480000000001</v>
      </c>
      <c r="M4150">
        <v>69.038799999999995</v>
      </c>
      <c r="P4150">
        <v>802</v>
      </c>
      <c r="Q4150" t="s">
        <v>8644</v>
      </c>
    </row>
    <row r="4151" spans="1:17" x14ac:dyDescent="0.3">
      <c r="A4151" t="s">
        <v>4664</v>
      </c>
      <c r="B4151" t="str">
        <f>"300395"</f>
        <v>300395</v>
      </c>
      <c r="C4151" t="s">
        <v>8645</v>
      </c>
      <c r="D4151" t="s">
        <v>98</v>
      </c>
      <c r="F4151">
        <v>209.06549999999999</v>
      </c>
      <c r="G4151">
        <v>185.62200000000001</v>
      </c>
      <c r="H4151">
        <v>171.78729999999999</v>
      </c>
      <c r="I4151">
        <v>116.16930000000001</v>
      </c>
      <c r="J4151">
        <v>105.4619</v>
      </c>
      <c r="K4151">
        <v>98.331699999999998</v>
      </c>
      <c r="L4151">
        <v>143.8526</v>
      </c>
      <c r="M4151">
        <v>196.47219999999999</v>
      </c>
      <c r="N4151">
        <v>99.029899999999998</v>
      </c>
      <c r="P4151">
        <v>553</v>
      </c>
      <c r="Q4151" t="s">
        <v>8646</v>
      </c>
    </row>
    <row r="4152" spans="1:17" x14ac:dyDescent="0.3">
      <c r="A4152" t="s">
        <v>4664</v>
      </c>
      <c r="B4152" t="str">
        <f>"300396"</f>
        <v>300396</v>
      </c>
      <c r="C4152" t="s">
        <v>8647</v>
      </c>
      <c r="D4152" t="s">
        <v>1305</v>
      </c>
      <c r="F4152">
        <v>284.89109999999999</v>
      </c>
      <c r="G4152">
        <v>282.16430000000003</v>
      </c>
      <c r="H4152">
        <v>348.15460000000002</v>
      </c>
      <c r="I4152">
        <v>356.50130000000001</v>
      </c>
      <c r="J4152">
        <v>279.82900000000001</v>
      </c>
      <c r="K4152">
        <v>283.85430000000002</v>
      </c>
      <c r="L4152">
        <v>301.71530000000001</v>
      </c>
      <c r="M4152">
        <v>384.72449999999998</v>
      </c>
      <c r="N4152">
        <v>174.33189999999999</v>
      </c>
      <c r="P4152">
        <v>360</v>
      </c>
      <c r="Q4152" t="s">
        <v>8648</v>
      </c>
    </row>
    <row r="4153" spans="1:17" x14ac:dyDescent="0.3">
      <c r="A4153" t="s">
        <v>4664</v>
      </c>
      <c r="B4153" t="str">
        <f>"300397"</f>
        <v>300397</v>
      </c>
      <c r="C4153" t="s">
        <v>8649</v>
      </c>
      <c r="D4153" t="s">
        <v>98</v>
      </c>
      <c r="F4153">
        <v>338.72750000000002</v>
      </c>
      <c r="G4153">
        <v>196.83690000000001</v>
      </c>
      <c r="H4153">
        <v>232.83359999999999</v>
      </c>
      <c r="I4153">
        <v>780.06089999999995</v>
      </c>
      <c r="J4153">
        <v>485.23219999999998</v>
      </c>
      <c r="K4153">
        <v>786.33109999999999</v>
      </c>
      <c r="L4153">
        <v>2144.5046000000002</v>
      </c>
      <c r="M4153">
        <v>925.54700000000003</v>
      </c>
      <c r="N4153">
        <v>459.32859999999999</v>
      </c>
      <c r="P4153">
        <v>232</v>
      </c>
      <c r="Q4153" t="s">
        <v>8650</v>
      </c>
    </row>
    <row r="4154" spans="1:17" x14ac:dyDescent="0.3">
      <c r="A4154" t="s">
        <v>4664</v>
      </c>
      <c r="B4154" t="str">
        <f>"300398"</f>
        <v>300398</v>
      </c>
      <c r="C4154" t="s">
        <v>8651</v>
      </c>
      <c r="D4154" t="s">
        <v>2399</v>
      </c>
      <c r="F4154">
        <v>175.49170000000001</v>
      </c>
      <c r="G4154">
        <v>211.29169999999999</v>
      </c>
      <c r="H4154">
        <v>221.17429999999999</v>
      </c>
      <c r="I4154">
        <v>158.72880000000001</v>
      </c>
      <c r="J4154">
        <v>139.35990000000001</v>
      </c>
      <c r="K4154">
        <v>110.2953</v>
      </c>
      <c r="L4154">
        <v>80.289900000000003</v>
      </c>
      <c r="M4154">
        <v>97.103999999999999</v>
      </c>
      <c r="N4154">
        <v>45.764099999999999</v>
      </c>
      <c r="P4154">
        <v>244</v>
      </c>
      <c r="Q4154" t="s">
        <v>8652</v>
      </c>
    </row>
    <row r="4155" spans="1:17" x14ac:dyDescent="0.3">
      <c r="A4155" t="s">
        <v>4664</v>
      </c>
      <c r="B4155" t="str">
        <f>"300399"</f>
        <v>300399</v>
      </c>
      <c r="C4155" t="s">
        <v>8653</v>
      </c>
      <c r="D4155" t="s">
        <v>316</v>
      </c>
      <c r="F4155">
        <v>1.2339</v>
      </c>
      <c r="G4155">
        <v>2.3138999999999998</v>
      </c>
      <c r="H4155">
        <v>1.1425000000000001</v>
      </c>
      <c r="I4155">
        <v>0</v>
      </c>
      <c r="J4155">
        <v>5.5551000000000004</v>
      </c>
      <c r="K4155">
        <v>18.098800000000001</v>
      </c>
      <c r="L4155">
        <v>15.982699999999999</v>
      </c>
      <c r="M4155">
        <v>21.545200000000001</v>
      </c>
      <c r="N4155">
        <v>11.029299999999999</v>
      </c>
      <c r="P4155">
        <v>80</v>
      </c>
      <c r="Q4155" t="s">
        <v>8654</v>
      </c>
    </row>
    <row r="4156" spans="1:17" x14ac:dyDescent="0.3">
      <c r="A4156" t="s">
        <v>4664</v>
      </c>
      <c r="B4156" t="str">
        <f>"300400"</f>
        <v>300400</v>
      </c>
      <c r="C4156" t="s">
        <v>8655</v>
      </c>
      <c r="D4156" t="s">
        <v>3450</v>
      </c>
      <c r="F4156">
        <v>229.68790000000001</v>
      </c>
      <c r="G4156">
        <v>237.4897</v>
      </c>
      <c r="H4156">
        <v>287.53919999999999</v>
      </c>
      <c r="I4156">
        <v>206.03829999999999</v>
      </c>
      <c r="J4156">
        <v>241.5446</v>
      </c>
      <c r="K4156">
        <v>221.6737</v>
      </c>
      <c r="L4156">
        <v>222.61529999999999</v>
      </c>
      <c r="M4156">
        <v>253.00479999999999</v>
      </c>
      <c r="N4156">
        <v>102.6443</v>
      </c>
      <c r="P4156">
        <v>273</v>
      </c>
      <c r="Q4156" t="s">
        <v>8656</v>
      </c>
    </row>
    <row r="4157" spans="1:17" x14ac:dyDescent="0.3">
      <c r="A4157" t="s">
        <v>4664</v>
      </c>
      <c r="B4157" t="str">
        <f>"300401"</f>
        <v>300401</v>
      </c>
      <c r="C4157" t="s">
        <v>8657</v>
      </c>
      <c r="D4157" t="s">
        <v>496</v>
      </c>
      <c r="F4157">
        <v>660.21950000000004</v>
      </c>
      <c r="G4157">
        <v>574.05679999999995</v>
      </c>
      <c r="H4157">
        <v>659.54240000000004</v>
      </c>
      <c r="I4157">
        <v>502.1336</v>
      </c>
      <c r="J4157">
        <v>460.97230000000002</v>
      </c>
      <c r="K4157">
        <v>434.97089999999997</v>
      </c>
      <c r="L4157">
        <v>1276.3676</v>
      </c>
      <c r="M4157">
        <v>1284.9496999999999</v>
      </c>
      <c r="N4157">
        <v>383.94459999999998</v>
      </c>
      <c r="P4157">
        <v>476</v>
      </c>
      <c r="Q4157" t="s">
        <v>8658</v>
      </c>
    </row>
    <row r="4158" spans="1:17" x14ac:dyDescent="0.3">
      <c r="A4158" t="s">
        <v>4664</v>
      </c>
      <c r="B4158" t="str">
        <f>"300402"</f>
        <v>300402</v>
      </c>
      <c r="C4158" t="s">
        <v>8659</v>
      </c>
      <c r="D4158" t="s">
        <v>274</v>
      </c>
      <c r="F4158">
        <v>289.8888</v>
      </c>
      <c r="G4158">
        <v>302.15320000000003</v>
      </c>
      <c r="H4158">
        <v>408.161</v>
      </c>
      <c r="I4158">
        <v>360.3768</v>
      </c>
      <c r="J4158">
        <v>456.04759999999999</v>
      </c>
      <c r="K4158">
        <v>761.74950000000001</v>
      </c>
      <c r="L4158">
        <v>342.74149999999997</v>
      </c>
      <c r="M4158">
        <v>282.19830000000002</v>
      </c>
      <c r="N4158">
        <v>133.29249999999999</v>
      </c>
      <c r="P4158">
        <v>101</v>
      </c>
      <c r="Q4158" t="s">
        <v>8660</v>
      </c>
    </row>
    <row r="4159" spans="1:17" x14ac:dyDescent="0.3">
      <c r="A4159" t="s">
        <v>4664</v>
      </c>
      <c r="B4159" t="str">
        <f>"300403"</f>
        <v>300403</v>
      </c>
      <c r="C4159" t="s">
        <v>8661</v>
      </c>
      <c r="D4159" t="s">
        <v>1253</v>
      </c>
      <c r="F4159">
        <v>169.56190000000001</v>
      </c>
      <c r="G4159">
        <v>159.22460000000001</v>
      </c>
      <c r="H4159">
        <v>152.2337</v>
      </c>
      <c r="I4159">
        <v>135.84829999999999</v>
      </c>
      <c r="J4159">
        <v>129.72479999999999</v>
      </c>
      <c r="K4159">
        <v>118.5993</v>
      </c>
      <c r="L4159">
        <v>112.9482</v>
      </c>
      <c r="M4159">
        <v>98.189099999999996</v>
      </c>
      <c r="N4159">
        <v>37.7273</v>
      </c>
      <c r="P4159">
        <v>253</v>
      </c>
      <c r="Q4159" t="s">
        <v>8662</v>
      </c>
    </row>
    <row r="4160" spans="1:17" x14ac:dyDescent="0.3">
      <c r="A4160" t="s">
        <v>4664</v>
      </c>
      <c r="B4160" t="str">
        <f>"300404"</f>
        <v>300404</v>
      </c>
      <c r="C4160" t="s">
        <v>8663</v>
      </c>
      <c r="D4160" t="s">
        <v>1461</v>
      </c>
      <c r="F4160">
        <v>379.21839999999997</v>
      </c>
      <c r="G4160">
        <v>382.04520000000002</v>
      </c>
      <c r="H4160">
        <v>421.16</v>
      </c>
      <c r="I4160">
        <v>487.14600000000002</v>
      </c>
      <c r="J4160">
        <v>441.02249999999998</v>
      </c>
      <c r="K4160">
        <v>984.06410000000005</v>
      </c>
      <c r="L4160">
        <v>329.40859999999998</v>
      </c>
      <c r="M4160">
        <v>100.13339999999999</v>
      </c>
      <c r="P4160">
        <v>150</v>
      </c>
      <c r="Q4160" t="s">
        <v>8664</v>
      </c>
    </row>
    <row r="4161" spans="1:17" x14ac:dyDescent="0.3">
      <c r="A4161" t="s">
        <v>4664</v>
      </c>
      <c r="B4161" t="str">
        <f>"300405"</f>
        <v>300405</v>
      </c>
      <c r="C4161" t="s">
        <v>8665</v>
      </c>
      <c r="D4161" t="s">
        <v>386</v>
      </c>
      <c r="F4161">
        <v>90.782799999999995</v>
      </c>
      <c r="G4161">
        <v>112.0558</v>
      </c>
      <c r="H4161">
        <v>108.24509999999999</v>
      </c>
      <c r="I4161">
        <v>90.795199999999994</v>
      </c>
      <c r="J4161">
        <v>98.453199999999995</v>
      </c>
      <c r="K4161">
        <v>126.5254</v>
      </c>
      <c r="L4161">
        <v>92.384799999999998</v>
      </c>
      <c r="M4161">
        <v>67.319199999999995</v>
      </c>
      <c r="N4161">
        <v>26.949200000000001</v>
      </c>
      <c r="P4161">
        <v>59</v>
      </c>
      <c r="Q4161" t="s">
        <v>8666</v>
      </c>
    </row>
    <row r="4162" spans="1:17" x14ac:dyDescent="0.3">
      <c r="A4162" t="s">
        <v>4664</v>
      </c>
      <c r="B4162" t="str">
        <f>"300406"</f>
        <v>300406</v>
      </c>
      <c r="C4162" t="s">
        <v>8667</v>
      </c>
      <c r="D4162" t="s">
        <v>1305</v>
      </c>
      <c r="F4162">
        <v>257.32619999999997</v>
      </c>
      <c r="G4162">
        <v>350.9067</v>
      </c>
      <c r="H4162">
        <v>266.61500000000001</v>
      </c>
      <c r="I4162">
        <v>269.38420000000002</v>
      </c>
      <c r="J4162">
        <v>313.21460000000002</v>
      </c>
      <c r="K4162">
        <v>221.33250000000001</v>
      </c>
      <c r="L4162">
        <v>290.28359999999998</v>
      </c>
      <c r="M4162">
        <v>286.43849999999998</v>
      </c>
      <c r="N4162">
        <v>89.958799999999997</v>
      </c>
      <c r="P4162">
        <v>14630</v>
      </c>
      <c r="Q4162" t="s">
        <v>8668</v>
      </c>
    </row>
    <row r="4163" spans="1:17" x14ac:dyDescent="0.3">
      <c r="A4163" t="s">
        <v>4664</v>
      </c>
      <c r="B4163" t="str">
        <f>"300407"</f>
        <v>300407</v>
      </c>
      <c r="C4163" t="s">
        <v>8669</v>
      </c>
      <c r="D4163" t="s">
        <v>610</v>
      </c>
      <c r="F4163">
        <v>260.46370000000002</v>
      </c>
      <c r="G4163">
        <v>289.80700000000002</v>
      </c>
      <c r="H4163">
        <v>268.02519999999998</v>
      </c>
      <c r="I4163">
        <v>277.74009999999998</v>
      </c>
      <c r="J4163">
        <v>264.97719999999998</v>
      </c>
      <c r="K4163">
        <v>596.27949999999998</v>
      </c>
      <c r="L4163">
        <v>342.738</v>
      </c>
      <c r="M4163">
        <v>564.04570000000001</v>
      </c>
      <c r="N4163">
        <v>198.95580000000001</v>
      </c>
      <c r="P4163">
        <v>132</v>
      </c>
      <c r="Q4163" t="s">
        <v>8670</v>
      </c>
    </row>
    <row r="4164" spans="1:17" x14ac:dyDescent="0.3">
      <c r="A4164" t="s">
        <v>4664</v>
      </c>
      <c r="B4164" t="str">
        <f>"300408"</f>
        <v>300408</v>
      </c>
      <c r="C4164" t="s">
        <v>8671</v>
      </c>
      <c r="D4164" t="s">
        <v>546</v>
      </c>
      <c r="F4164">
        <v>207.77010000000001</v>
      </c>
      <c r="G4164">
        <v>192.62719999999999</v>
      </c>
      <c r="H4164">
        <v>246.32</v>
      </c>
      <c r="I4164">
        <v>188.75909999999999</v>
      </c>
      <c r="J4164">
        <v>163.11070000000001</v>
      </c>
      <c r="K4164">
        <v>102.3541</v>
      </c>
      <c r="L4164">
        <v>95.670699999999997</v>
      </c>
      <c r="M4164">
        <v>39.606099999999998</v>
      </c>
      <c r="P4164">
        <v>1510</v>
      </c>
      <c r="Q4164" t="s">
        <v>8672</v>
      </c>
    </row>
    <row r="4165" spans="1:17" x14ac:dyDescent="0.3">
      <c r="A4165" t="s">
        <v>4664</v>
      </c>
      <c r="B4165" t="str">
        <f>"300409"</f>
        <v>300409</v>
      </c>
      <c r="C4165" t="s">
        <v>8673</v>
      </c>
      <c r="D4165" t="s">
        <v>1786</v>
      </c>
      <c r="F4165">
        <v>129.1497</v>
      </c>
      <c r="G4165">
        <v>193.17</v>
      </c>
      <c r="H4165">
        <v>207.68600000000001</v>
      </c>
      <c r="I4165">
        <v>240.06890000000001</v>
      </c>
      <c r="J4165">
        <v>223.19390000000001</v>
      </c>
      <c r="K4165">
        <v>254.7424</v>
      </c>
      <c r="L4165">
        <v>236.07329999999999</v>
      </c>
      <c r="M4165">
        <v>216.19040000000001</v>
      </c>
      <c r="P4165">
        <v>240</v>
      </c>
      <c r="Q4165" t="s">
        <v>8674</v>
      </c>
    </row>
    <row r="4166" spans="1:17" x14ac:dyDescent="0.3">
      <c r="A4166" t="s">
        <v>4664</v>
      </c>
      <c r="B4166" t="str">
        <f>"300410"</f>
        <v>300410</v>
      </c>
      <c r="C4166" t="s">
        <v>8675</v>
      </c>
      <c r="D4166" t="s">
        <v>2551</v>
      </c>
      <c r="F4166">
        <v>155.5164</v>
      </c>
      <c r="G4166">
        <v>204.38069999999999</v>
      </c>
      <c r="H4166">
        <v>262.63709999999998</v>
      </c>
      <c r="I4166">
        <v>241.43989999999999</v>
      </c>
      <c r="J4166">
        <v>206.43860000000001</v>
      </c>
      <c r="K4166">
        <v>199.44139999999999</v>
      </c>
      <c r="L4166">
        <v>160.21449999999999</v>
      </c>
      <c r="M4166">
        <v>136.15199999999999</v>
      </c>
      <c r="N4166">
        <v>55.197899999999997</v>
      </c>
      <c r="P4166">
        <v>215</v>
      </c>
      <c r="Q4166" t="s">
        <v>8676</v>
      </c>
    </row>
    <row r="4167" spans="1:17" x14ac:dyDescent="0.3">
      <c r="A4167" t="s">
        <v>4664</v>
      </c>
      <c r="B4167" t="str">
        <f>"300411"</f>
        <v>300411</v>
      </c>
      <c r="C4167" t="s">
        <v>8677</v>
      </c>
      <c r="D4167" t="s">
        <v>741</v>
      </c>
      <c r="F4167">
        <v>278.99160000000001</v>
      </c>
      <c r="G4167">
        <v>347.70780000000002</v>
      </c>
      <c r="H4167">
        <v>298.76479999999998</v>
      </c>
      <c r="I4167">
        <v>247.47329999999999</v>
      </c>
      <c r="J4167">
        <v>116.0943</v>
      </c>
      <c r="K4167">
        <v>73.684700000000007</v>
      </c>
      <c r="L4167">
        <v>54.659599999999998</v>
      </c>
      <c r="M4167">
        <v>49.156300000000002</v>
      </c>
      <c r="P4167">
        <v>73</v>
      </c>
      <c r="Q4167" t="s">
        <v>8678</v>
      </c>
    </row>
    <row r="4168" spans="1:17" x14ac:dyDescent="0.3">
      <c r="A4168" t="s">
        <v>4664</v>
      </c>
      <c r="B4168" t="str">
        <f>"300412"</f>
        <v>300412</v>
      </c>
      <c r="C4168" t="s">
        <v>8679</v>
      </c>
      <c r="D4168" t="s">
        <v>741</v>
      </c>
      <c r="F4168">
        <v>432.65530000000001</v>
      </c>
      <c r="G4168">
        <v>472.56760000000003</v>
      </c>
      <c r="H4168">
        <v>752.60159999999996</v>
      </c>
      <c r="I4168">
        <v>567.35050000000001</v>
      </c>
      <c r="J4168">
        <v>450.91919999999999</v>
      </c>
      <c r="K4168">
        <v>448.30720000000002</v>
      </c>
      <c r="L4168">
        <v>329.39580000000001</v>
      </c>
      <c r="M4168">
        <v>278.14569999999998</v>
      </c>
      <c r="N4168">
        <v>69.470100000000002</v>
      </c>
      <c r="P4168">
        <v>96</v>
      </c>
      <c r="Q4168" t="s">
        <v>8680</v>
      </c>
    </row>
    <row r="4169" spans="1:17" x14ac:dyDescent="0.3">
      <c r="A4169" t="s">
        <v>4664</v>
      </c>
      <c r="B4169" t="str">
        <f>"300413"</f>
        <v>300413</v>
      </c>
      <c r="C4169" t="s">
        <v>8681</v>
      </c>
      <c r="D4169" t="s">
        <v>1294</v>
      </c>
      <c r="F4169">
        <v>78.774100000000004</v>
      </c>
      <c r="G4169">
        <v>119.94880000000001</v>
      </c>
      <c r="H4169">
        <v>163.47790000000001</v>
      </c>
      <c r="I4169">
        <v>69.675299999999993</v>
      </c>
      <c r="J4169">
        <v>26.046299999999999</v>
      </c>
      <c r="K4169">
        <v>35.823799999999999</v>
      </c>
      <c r="L4169">
        <v>14.652200000000001</v>
      </c>
      <c r="M4169">
        <v>12.4932</v>
      </c>
      <c r="P4169">
        <v>1145</v>
      </c>
      <c r="Q4169" t="s">
        <v>8682</v>
      </c>
    </row>
    <row r="4170" spans="1:17" x14ac:dyDescent="0.3">
      <c r="A4170" t="s">
        <v>4664</v>
      </c>
      <c r="B4170" t="str">
        <f>"300414"</f>
        <v>300414</v>
      </c>
      <c r="C4170" t="s">
        <v>8683</v>
      </c>
      <c r="D4170" t="s">
        <v>595</v>
      </c>
      <c r="F4170">
        <v>188.9879</v>
      </c>
      <c r="G4170">
        <v>197.69370000000001</v>
      </c>
      <c r="H4170">
        <v>165.9589</v>
      </c>
      <c r="I4170">
        <v>181.3879</v>
      </c>
      <c r="J4170">
        <v>118.5568</v>
      </c>
      <c r="K4170">
        <v>112.3486</v>
      </c>
      <c r="L4170">
        <v>126.9426</v>
      </c>
      <c r="M4170">
        <v>37.008099999999999</v>
      </c>
      <c r="P4170">
        <v>219</v>
      </c>
      <c r="Q4170" t="s">
        <v>8684</v>
      </c>
    </row>
    <row r="4171" spans="1:17" x14ac:dyDescent="0.3">
      <c r="A4171" t="s">
        <v>4664</v>
      </c>
      <c r="B4171" t="str">
        <f>"300415"</f>
        <v>300415</v>
      </c>
      <c r="C4171" t="s">
        <v>8685</v>
      </c>
      <c r="D4171" t="s">
        <v>741</v>
      </c>
      <c r="F4171">
        <v>222.2593</v>
      </c>
      <c r="G4171">
        <v>245.21170000000001</v>
      </c>
      <c r="H4171">
        <v>277.08120000000002</v>
      </c>
      <c r="I4171">
        <v>262.12889999999999</v>
      </c>
      <c r="J4171">
        <v>209.65819999999999</v>
      </c>
      <c r="K4171">
        <v>199.96010000000001</v>
      </c>
      <c r="L4171">
        <v>224.24019999999999</v>
      </c>
      <c r="M4171">
        <v>197.69460000000001</v>
      </c>
      <c r="P4171">
        <v>547</v>
      </c>
      <c r="Q4171" t="s">
        <v>8686</v>
      </c>
    </row>
    <row r="4172" spans="1:17" x14ac:dyDescent="0.3">
      <c r="A4172" t="s">
        <v>4664</v>
      </c>
      <c r="B4172" t="str">
        <f>"300416"</f>
        <v>300416</v>
      </c>
      <c r="C4172" t="s">
        <v>8687</v>
      </c>
      <c r="D4172" t="s">
        <v>2551</v>
      </c>
      <c r="F4172">
        <v>198.46100000000001</v>
      </c>
      <c r="G4172">
        <v>227.209</v>
      </c>
      <c r="H4172">
        <v>328.4896</v>
      </c>
      <c r="I4172">
        <v>329.59359999999998</v>
      </c>
      <c r="J4172">
        <v>289.07639999999998</v>
      </c>
      <c r="K4172">
        <v>330.02409999999998</v>
      </c>
      <c r="L4172">
        <v>308.05669999999998</v>
      </c>
      <c r="M4172">
        <v>273.09949999999998</v>
      </c>
      <c r="P4172">
        <v>305</v>
      </c>
      <c r="Q4172" t="s">
        <v>8688</v>
      </c>
    </row>
    <row r="4173" spans="1:17" x14ac:dyDescent="0.3">
      <c r="A4173" t="s">
        <v>4664</v>
      </c>
      <c r="B4173" t="str">
        <f>"300417"</f>
        <v>300417</v>
      </c>
      <c r="C4173" t="s">
        <v>8689</v>
      </c>
      <c r="D4173" t="s">
        <v>2551</v>
      </c>
      <c r="F4173">
        <v>596.8021</v>
      </c>
      <c r="G4173">
        <v>460.4939</v>
      </c>
      <c r="H4173">
        <v>253.90809999999999</v>
      </c>
      <c r="I4173">
        <v>416.03339999999997</v>
      </c>
      <c r="J4173">
        <v>290.74889999999999</v>
      </c>
      <c r="K4173">
        <v>286.72809999999998</v>
      </c>
      <c r="L4173">
        <v>278.44130000000001</v>
      </c>
      <c r="M4173">
        <v>292.44150000000002</v>
      </c>
      <c r="P4173">
        <v>196</v>
      </c>
      <c r="Q4173" t="s">
        <v>8690</v>
      </c>
    </row>
    <row r="4174" spans="1:17" x14ac:dyDescent="0.3">
      <c r="A4174" t="s">
        <v>4664</v>
      </c>
      <c r="B4174" t="str">
        <f>"300418"</f>
        <v>300418</v>
      </c>
      <c r="C4174" t="s">
        <v>8691</v>
      </c>
      <c r="D4174" t="s">
        <v>517</v>
      </c>
      <c r="F4174">
        <v>2.29E-2</v>
      </c>
      <c r="G4174">
        <v>0</v>
      </c>
      <c r="H4174">
        <v>0</v>
      </c>
      <c r="I4174">
        <v>0</v>
      </c>
      <c r="J4174">
        <v>0</v>
      </c>
      <c r="K4174">
        <v>0</v>
      </c>
      <c r="L4174">
        <v>0</v>
      </c>
      <c r="M4174">
        <v>0</v>
      </c>
      <c r="P4174">
        <v>17528</v>
      </c>
      <c r="Q4174" t="s">
        <v>8692</v>
      </c>
    </row>
    <row r="4175" spans="1:17" x14ac:dyDescent="0.3">
      <c r="A4175" t="s">
        <v>4664</v>
      </c>
      <c r="B4175" t="str">
        <f>"300419"</f>
        <v>300419</v>
      </c>
      <c r="C4175" t="s">
        <v>8693</v>
      </c>
      <c r="D4175" t="s">
        <v>316</v>
      </c>
      <c r="F4175">
        <v>439.04919999999998</v>
      </c>
      <c r="G4175">
        <v>394.4307</v>
      </c>
      <c r="H4175">
        <v>250.47370000000001</v>
      </c>
      <c r="I4175">
        <v>361.82830000000001</v>
      </c>
      <c r="J4175">
        <v>389.86770000000001</v>
      </c>
      <c r="K4175">
        <v>320.4896</v>
      </c>
      <c r="L4175">
        <v>223.9639</v>
      </c>
      <c r="M4175">
        <v>238.46770000000001</v>
      </c>
      <c r="P4175">
        <v>89</v>
      </c>
      <c r="Q4175" t="s">
        <v>8694</v>
      </c>
    </row>
    <row r="4176" spans="1:17" x14ac:dyDescent="0.3">
      <c r="A4176" t="s">
        <v>4664</v>
      </c>
      <c r="B4176" t="str">
        <f>"300420"</f>
        <v>300420</v>
      </c>
      <c r="C4176" t="s">
        <v>8695</v>
      </c>
      <c r="D4176" t="s">
        <v>560</v>
      </c>
      <c r="F4176">
        <v>326.67750000000001</v>
      </c>
      <c r="G4176">
        <v>280.68239999999997</v>
      </c>
      <c r="H4176">
        <v>220.6002</v>
      </c>
      <c r="I4176">
        <v>245.98</v>
      </c>
      <c r="J4176">
        <v>225.41120000000001</v>
      </c>
      <c r="K4176">
        <v>268.86009999999999</v>
      </c>
      <c r="L4176">
        <v>237.21270000000001</v>
      </c>
      <c r="M4176">
        <v>235.09739999999999</v>
      </c>
      <c r="P4176">
        <v>146</v>
      </c>
      <c r="Q4176" t="s">
        <v>8696</v>
      </c>
    </row>
    <row r="4177" spans="1:17" x14ac:dyDescent="0.3">
      <c r="A4177" t="s">
        <v>4664</v>
      </c>
      <c r="B4177" t="str">
        <f>"300421"</f>
        <v>300421</v>
      </c>
      <c r="C4177" t="s">
        <v>8697</v>
      </c>
      <c r="D4177" t="s">
        <v>274</v>
      </c>
      <c r="F4177">
        <v>132.6412</v>
      </c>
      <c r="G4177">
        <v>177.94640000000001</v>
      </c>
      <c r="H4177">
        <v>167.11269999999999</v>
      </c>
      <c r="I4177">
        <v>141.2748</v>
      </c>
      <c r="J4177">
        <v>133.01509999999999</v>
      </c>
      <c r="K4177">
        <v>142.35499999999999</v>
      </c>
      <c r="L4177">
        <v>160.89269999999999</v>
      </c>
      <c r="M4177">
        <v>152.28360000000001</v>
      </c>
      <c r="P4177">
        <v>108</v>
      </c>
      <c r="Q4177" t="s">
        <v>8698</v>
      </c>
    </row>
    <row r="4178" spans="1:17" x14ac:dyDescent="0.3">
      <c r="A4178" t="s">
        <v>4664</v>
      </c>
      <c r="B4178" t="str">
        <f>"300422"</f>
        <v>300422</v>
      </c>
      <c r="C4178" t="s">
        <v>8699</v>
      </c>
      <c r="D4178" t="s">
        <v>33</v>
      </c>
      <c r="F4178">
        <v>76.952600000000004</v>
      </c>
      <c r="G4178">
        <v>58.327300000000001</v>
      </c>
      <c r="H4178">
        <v>39.768599999999999</v>
      </c>
      <c r="I4178">
        <v>32.207000000000001</v>
      </c>
      <c r="J4178">
        <v>59.6706</v>
      </c>
      <c r="K4178">
        <v>59.309699999999999</v>
      </c>
      <c r="L4178">
        <v>167.00200000000001</v>
      </c>
      <c r="M4178">
        <v>91.399000000000001</v>
      </c>
      <c r="P4178">
        <v>331</v>
      </c>
      <c r="Q4178" t="s">
        <v>8700</v>
      </c>
    </row>
    <row r="4179" spans="1:17" x14ac:dyDescent="0.3">
      <c r="A4179" t="s">
        <v>4664</v>
      </c>
      <c r="B4179" t="str">
        <f>"300423"</f>
        <v>300423</v>
      </c>
      <c r="C4179" t="s">
        <v>8701</v>
      </c>
      <c r="D4179" t="s">
        <v>210</v>
      </c>
      <c r="F4179">
        <v>235.18219999999999</v>
      </c>
      <c r="G4179">
        <v>206.26949999999999</v>
      </c>
      <c r="H4179">
        <v>251.4879</v>
      </c>
      <c r="I4179">
        <v>146.37690000000001</v>
      </c>
      <c r="J4179">
        <v>52.882599999999996</v>
      </c>
      <c r="K4179">
        <v>66.149000000000001</v>
      </c>
      <c r="L4179">
        <v>63.292999999999999</v>
      </c>
      <c r="M4179">
        <v>43.200800000000001</v>
      </c>
      <c r="P4179">
        <v>156</v>
      </c>
      <c r="Q4179" t="s">
        <v>8702</v>
      </c>
    </row>
    <row r="4180" spans="1:17" x14ac:dyDescent="0.3">
      <c r="A4180" t="s">
        <v>4664</v>
      </c>
      <c r="B4180" t="str">
        <f>"300424"</f>
        <v>300424</v>
      </c>
      <c r="C4180" t="s">
        <v>8703</v>
      </c>
      <c r="D4180" t="s">
        <v>98</v>
      </c>
      <c r="F4180">
        <v>260.99380000000002</v>
      </c>
      <c r="G4180">
        <v>246.31639999999999</v>
      </c>
      <c r="H4180">
        <v>224.4504</v>
      </c>
      <c r="I4180">
        <v>330.76769999999999</v>
      </c>
      <c r="J4180">
        <v>459.9332</v>
      </c>
      <c r="K4180">
        <v>408.23020000000002</v>
      </c>
      <c r="L4180">
        <v>427.65620000000001</v>
      </c>
      <c r="M4180">
        <v>336.30369999999999</v>
      </c>
      <c r="P4180">
        <v>133</v>
      </c>
      <c r="Q4180" t="s">
        <v>8704</v>
      </c>
    </row>
    <row r="4181" spans="1:17" x14ac:dyDescent="0.3">
      <c r="A4181" t="s">
        <v>4664</v>
      </c>
      <c r="B4181" t="str">
        <f>"300425"</f>
        <v>300425</v>
      </c>
      <c r="C4181" t="s">
        <v>8705</v>
      </c>
      <c r="D4181" t="s">
        <v>33</v>
      </c>
      <c r="F4181">
        <v>282.38369999999998</v>
      </c>
      <c r="G4181">
        <v>376.49489999999997</v>
      </c>
      <c r="H4181">
        <v>457.08580000000001</v>
      </c>
      <c r="I4181">
        <v>451.7217</v>
      </c>
      <c r="J4181">
        <v>367.51319999999998</v>
      </c>
      <c r="K4181">
        <v>448.21010000000001</v>
      </c>
      <c r="L4181">
        <v>473.25470000000001</v>
      </c>
      <c r="M4181">
        <v>425.52</v>
      </c>
      <c r="P4181">
        <v>121</v>
      </c>
      <c r="Q4181" t="s">
        <v>8706</v>
      </c>
    </row>
    <row r="4182" spans="1:17" x14ac:dyDescent="0.3">
      <c r="A4182" t="s">
        <v>4664</v>
      </c>
      <c r="B4182" t="str">
        <f>"300426"</f>
        <v>300426</v>
      </c>
      <c r="C4182" t="s">
        <v>8707</v>
      </c>
      <c r="D4182" t="s">
        <v>113</v>
      </c>
      <c r="F4182">
        <v>3501.5947999999999</v>
      </c>
      <c r="G4182">
        <v>3018.5978</v>
      </c>
      <c r="H4182">
        <v>-5497.2239</v>
      </c>
      <c r="I4182">
        <v>1325.7646999999999</v>
      </c>
      <c r="J4182">
        <v>1554.9956999999999</v>
      </c>
      <c r="K4182">
        <v>1271.7632000000001</v>
      </c>
      <c r="L4182">
        <v>762.89509999999996</v>
      </c>
      <c r="M4182">
        <v>896.60140000000001</v>
      </c>
      <c r="P4182">
        <v>130</v>
      </c>
      <c r="Q4182" t="s">
        <v>8708</v>
      </c>
    </row>
    <row r="4183" spans="1:17" x14ac:dyDescent="0.3">
      <c r="A4183" t="s">
        <v>4664</v>
      </c>
      <c r="B4183" t="str">
        <f>"300427"</f>
        <v>300427</v>
      </c>
      <c r="C4183" t="s">
        <v>8709</v>
      </c>
      <c r="D4183" t="s">
        <v>610</v>
      </c>
      <c r="F4183">
        <v>277.17930000000001</v>
      </c>
      <c r="G4183">
        <v>194.53710000000001</v>
      </c>
      <c r="H4183">
        <v>163.92179999999999</v>
      </c>
      <c r="I4183">
        <v>137.77010000000001</v>
      </c>
      <c r="J4183">
        <v>369.94220000000001</v>
      </c>
      <c r="K4183">
        <v>227.29140000000001</v>
      </c>
      <c r="L4183">
        <v>116.99120000000001</v>
      </c>
      <c r="M4183">
        <v>53.077800000000003</v>
      </c>
      <c r="P4183">
        <v>249</v>
      </c>
      <c r="Q4183" t="s">
        <v>8710</v>
      </c>
    </row>
    <row r="4184" spans="1:17" x14ac:dyDescent="0.3">
      <c r="A4184" t="s">
        <v>4664</v>
      </c>
      <c r="B4184" t="str">
        <f>"300428"</f>
        <v>300428</v>
      </c>
      <c r="C4184" t="s">
        <v>8711</v>
      </c>
      <c r="D4184" t="s">
        <v>422</v>
      </c>
      <c r="F4184">
        <v>80.101900000000001</v>
      </c>
      <c r="G4184">
        <v>68.559100000000001</v>
      </c>
      <c r="H4184">
        <v>109.9599</v>
      </c>
      <c r="I4184">
        <v>52.448300000000003</v>
      </c>
      <c r="J4184">
        <v>50.724600000000002</v>
      </c>
      <c r="K4184">
        <v>55.505800000000001</v>
      </c>
      <c r="L4184">
        <v>55.459699999999998</v>
      </c>
      <c r="M4184">
        <v>20.880199999999999</v>
      </c>
      <c r="P4184">
        <v>171</v>
      </c>
      <c r="Q4184" t="s">
        <v>8712</v>
      </c>
    </row>
    <row r="4185" spans="1:17" x14ac:dyDescent="0.3">
      <c r="A4185" t="s">
        <v>4664</v>
      </c>
      <c r="B4185" t="str">
        <f>"300429"</f>
        <v>300429</v>
      </c>
      <c r="C4185" t="s">
        <v>8713</v>
      </c>
      <c r="D4185" t="s">
        <v>2399</v>
      </c>
      <c r="F4185">
        <v>219.62520000000001</v>
      </c>
      <c r="G4185">
        <v>278.17540000000002</v>
      </c>
      <c r="H4185">
        <v>238.13849999999999</v>
      </c>
      <c r="I4185">
        <v>214.95760000000001</v>
      </c>
      <c r="J4185">
        <v>168.6018</v>
      </c>
      <c r="K4185">
        <v>168.69839999999999</v>
      </c>
      <c r="L4185">
        <v>148.02199999999999</v>
      </c>
      <c r="M4185">
        <v>125.24299999999999</v>
      </c>
      <c r="P4185">
        <v>261</v>
      </c>
      <c r="Q4185" t="s">
        <v>8714</v>
      </c>
    </row>
    <row r="4186" spans="1:17" x14ac:dyDescent="0.3">
      <c r="A4186" t="s">
        <v>4664</v>
      </c>
      <c r="B4186" t="str">
        <f>"300430"</f>
        <v>300430</v>
      </c>
      <c r="C4186" t="s">
        <v>8715</v>
      </c>
      <c r="D4186" t="s">
        <v>560</v>
      </c>
      <c r="F4186">
        <v>558.14599999999996</v>
      </c>
      <c r="G4186">
        <v>646.3777</v>
      </c>
      <c r="H4186">
        <v>545.87109999999996</v>
      </c>
      <c r="I4186">
        <v>520.06349999999998</v>
      </c>
      <c r="J4186">
        <v>505.17160000000001</v>
      </c>
      <c r="K4186">
        <v>576.6626</v>
      </c>
      <c r="L4186">
        <v>495.49790000000002</v>
      </c>
      <c r="M4186">
        <v>241.209</v>
      </c>
      <c r="P4186">
        <v>95</v>
      </c>
      <c r="Q4186" t="s">
        <v>8716</v>
      </c>
    </row>
    <row r="4187" spans="1:17" x14ac:dyDescent="0.3">
      <c r="A4187" t="s">
        <v>4664</v>
      </c>
      <c r="B4187" t="str">
        <f>"300431"</f>
        <v>300431</v>
      </c>
      <c r="C4187" t="s">
        <v>8717</v>
      </c>
      <c r="H4187">
        <v>116.0185</v>
      </c>
      <c r="I4187">
        <v>132.2124</v>
      </c>
      <c r="J4187">
        <v>149.22659999999999</v>
      </c>
      <c r="K4187">
        <v>104.4573</v>
      </c>
      <c r="L4187">
        <v>5.9501999999999997</v>
      </c>
      <c r="M4187">
        <v>0</v>
      </c>
      <c r="P4187">
        <v>145</v>
      </c>
      <c r="Q4187" t="s">
        <v>8718</v>
      </c>
    </row>
    <row r="4188" spans="1:17" x14ac:dyDescent="0.3">
      <c r="A4188" t="s">
        <v>4664</v>
      </c>
      <c r="B4188" t="str">
        <f>"300432"</f>
        <v>300432</v>
      </c>
      <c r="C4188" t="s">
        <v>8719</v>
      </c>
      <c r="D4188" t="s">
        <v>348</v>
      </c>
      <c r="F4188">
        <v>141.5189</v>
      </c>
      <c r="G4188">
        <v>147.37219999999999</v>
      </c>
      <c r="H4188">
        <v>165.9145</v>
      </c>
      <c r="I4188">
        <v>185.4734</v>
      </c>
      <c r="J4188">
        <v>87.122799999999998</v>
      </c>
      <c r="K4188">
        <v>100.0595</v>
      </c>
      <c r="L4188">
        <v>106.34059999999999</v>
      </c>
      <c r="M4188">
        <v>47.654200000000003</v>
      </c>
      <c r="P4188">
        <v>304</v>
      </c>
      <c r="Q4188" t="s">
        <v>8720</v>
      </c>
    </row>
    <row r="4189" spans="1:17" x14ac:dyDescent="0.3">
      <c r="A4189" t="s">
        <v>4664</v>
      </c>
      <c r="B4189" t="str">
        <f>"300433"</f>
        <v>300433</v>
      </c>
      <c r="C4189" t="s">
        <v>8721</v>
      </c>
      <c r="D4189" t="s">
        <v>313</v>
      </c>
      <c r="F4189">
        <v>92.824200000000005</v>
      </c>
      <c r="G4189">
        <v>77.986599999999996</v>
      </c>
      <c r="H4189">
        <v>69.224299999999999</v>
      </c>
      <c r="I4189">
        <v>76.268500000000003</v>
      </c>
      <c r="J4189">
        <v>73.939400000000006</v>
      </c>
      <c r="K4189">
        <v>88.012</v>
      </c>
      <c r="L4189">
        <v>79.857500000000002</v>
      </c>
      <c r="M4189">
        <v>28.784400000000002</v>
      </c>
      <c r="P4189">
        <v>1652</v>
      </c>
      <c r="Q4189" t="s">
        <v>8722</v>
      </c>
    </row>
    <row r="4190" spans="1:17" x14ac:dyDescent="0.3">
      <c r="A4190" t="s">
        <v>4664</v>
      </c>
      <c r="B4190" t="str">
        <f>"300434"</f>
        <v>300434</v>
      </c>
      <c r="C4190" t="s">
        <v>8723</v>
      </c>
      <c r="D4190" t="s">
        <v>143</v>
      </c>
      <c r="F4190">
        <v>230.59899999999999</v>
      </c>
      <c r="G4190">
        <v>272.10700000000003</v>
      </c>
      <c r="H4190">
        <v>254.7825</v>
      </c>
      <c r="I4190">
        <v>206.78280000000001</v>
      </c>
      <c r="J4190">
        <v>215.32499999999999</v>
      </c>
      <c r="K4190">
        <v>252.559</v>
      </c>
      <c r="L4190">
        <v>331.2362</v>
      </c>
      <c r="M4190">
        <v>138.137</v>
      </c>
      <c r="P4190">
        <v>96</v>
      </c>
      <c r="Q4190" t="s">
        <v>8724</v>
      </c>
    </row>
    <row r="4191" spans="1:17" x14ac:dyDescent="0.3">
      <c r="A4191" t="s">
        <v>4664</v>
      </c>
      <c r="B4191" t="str">
        <f>"300435"</f>
        <v>300435</v>
      </c>
      <c r="C4191" t="s">
        <v>8725</v>
      </c>
      <c r="D4191" t="s">
        <v>749</v>
      </c>
      <c r="F4191">
        <v>63.900700000000001</v>
      </c>
      <c r="G4191">
        <v>67.671300000000002</v>
      </c>
      <c r="H4191">
        <v>297.36989999999997</v>
      </c>
      <c r="I4191">
        <v>279.91199999999998</v>
      </c>
      <c r="J4191">
        <v>228.92359999999999</v>
      </c>
      <c r="K4191">
        <v>338.9837</v>
      </c>
      <c r="L4191">
        <v>277.38229999999999</v>
      </c>
      <c r="M4191">
        <v>213.14660000000001</v>
      </c>
      <c r="P4191">
        <v>111</v>
      </c>
      <c r="Q4191" t="s">
        <v>8726</v>
      </c>
    </row>
    <row r="4192" spans="1:17" x14ac:dyDescent="0.3">
      <c r="A4192" t="s">
        <v>4664</v>
      </c>
      <c r="B4192" t="str">
        <f>"300436"</f>
        <v>300436</v>
      </c>
      <c r="C4192" t="s">
        <v>8727</v>
      </c>
      <c r="D4192" t="s">
        <v>143</v>
      </c>
      <c r="F4192">
        <v>203.49709999999999</v>
      </c>
      <c r="G4192">
        <v>149.7647</v>
      </c>
      <c r="H4192">
        <v>186.6019</v>
      </c>
      <c r="I4192">
        <v>227.1173</v>
      </c>
      <c r="J4192">
        <v>227.33330000000001</v>
      </c>
      <c r="K4192">
        <v>182.48910000000001</v>
      </c>
      <c r="L4192">
        <v>152.4897</v>
      </c>
      <c r="M4192">
        <v>89.1965</v>
      </c>
      <c r="P4192">
        <v>135</v>
      </c>
      <c r="Q4192" t="s">
        <v>8728</v>
      </c>
    </row>
    <row r="4193" spans="1:17" x14ac:dyDescent="0.3">
      <c r="A4193" t="s">
        <v>4664</v>
      </c>
      <c r="B4193" t="str">
        <f>"300437"</f>
        <v>300437</v>
      </c>
      <c r="C4193" t="s">
        <v>8729</v>
      </c>
      <c r="D4193" t="s">
        <v>33</v>
      </c>
      <c r="F4193">
        <v>53.557099999999998</v>
      </c>
      <c r="G4193">
        <v>306.1121</v>
      </c>
      <c r="H4193">
        <v>318.10149999999999</v>
      </c>
      <c r="I4193">
        <v>279.89870000000002</v>
      </c>
      <c r="J4193">
        <v>246.30950000000001</v>
      </c>
      <c r="K4193">
        <v>142.3219</v>
      </c>
      <c r="L4193">
        <v>76.795199999999994</v>
      </c>
      <c r="M4193">
        <v>67.181700000000006</v>
      </c>
      <c r="P4193">
        <v>143</v>
      </c>
      <c r="Q4193" t="s">
        <v>8730</v>
      </c>
    </row>
    <row r="4194" spans="1:17" x14ac:dyDescent="0.3">
      <c r="A4194" t="s">
        <v>4664</v>
      </c>
      <c r="B4194" t="str">
        <f>"300438"</f>
        <v>300438</v>
      </c>
      <c r="C4194" t="s">
        <v>8731</v>
      </c>
      <c r="D4194" t="s">
        <v>359</v>
      </c>
      <c r="F4194">
        <v>120.43219999999999</v>
      </c>
      <c r="G4194">
        <v>162.90870000000001</v>
      </c>
      <c r="H4194">
        <v>182.637</v>
      </c>
      <c r="I4194">
        <v>190.7852</v>
      </c>
      <c r="J4194">
        <v>159.64189999999999</v>
      </c>
      <c r="K4194">
        <v>168.54830000000001</v>
      </c>
      <c r="L4194">
        <v>173.43770000000001</v>
      </c>
      <c r="M4194">
        <v>76.5214</v>
      </c>
      <c r="P4194">
        <v>394</v>
      </c>
      <c r="Q4194" t="s">
        <v>8732</v>
      </c>
    </row>
    <row r="4195" spans="1:17" x14ac:dyDescent="0.3">
      <c r="A4195" t="s">
        <v>4664</v>
      </c>
      <c r="B4195" t="str">
        <f>"300439"</f>
        <v>300439</v>
      </c>
      <c r="C4195" t="s">
        <v>8733</v>
      </c>
      <c r="D4195" t="s">
        <v>1305</v>
      </c>
      <c r="F4195">
        <v>84.555599999999998</v>
      </c>
      <c r="G4195">
        <v>122.14319999999999</v>
      </c>
      <c r="H4195">
        <v>95.793700000000001</v>
      </c>
      <c r="I4195">
        <v>94.533900000000003</v>
      </c>
      <c r="J4195">
        <v>195.79640000000001</v>
      </c>
      <c r="K4195">
        <v>210.24680000000001</v>
      </c>
      <c r="L4195">
        <v>195.25450000000001</v>
      </c>
      <c r="M4195">
        <v>48.0443</v>
      </c>
      <c r="P4195">
        <v>209</v>
      </c>
      <c r="Q4195" t="s">
        <v>8734</v>
      </c>
    </row>
    <row r="4196" spans="1:17" x14ac:dyDescent="0.3">
      <c r="A4196" t="s">
        <v>4664</v>
      </c>
      <c r="B4196" t="str">
        <f>"300440"</f>
        <v>300440</v>
      </c>
      <c r="C4196" t="s">
        <v>8735</v>
      </c>
      <c r="D4196" t="s">
        <v>316</v>
      </c>
      <c r="F4196">
        <v>645.89670000000001</v>
      </c>
      <c r="G4196">
        <v>648.71540000000005</v>
      </c>
      <c r="H4196">
        <v>683.31399999999996</v>
      </c>
      <c r="I4196">
        <v>582.11850000000004</v>
      </c>
      <c r="J4196">
        <v>353.46809999999999</v>
      </c>
      <c r="K4196">
        <v>580.33270000000005</v>
      </c>
      <c r="L4196">
        <v>556.37300000000005</v>
      </c>
      <c r="M4196">
        <v>42.822600000000001</v>
      </c>
      <c r="P4196">
        <v>151</v>
      </c>
      <c r="Q4196" t="s">
        <v>8736</v>
      </c>
    </row>
    <row r="4197" spans="1:17" x14ac:dyDescent="0.3">
      <c r="A4197" t="s">
        <v>4664</v>
      </c>
      <c r="B4197" t="str">
        <f>"300441"</f>
        <v>300441</v>
      </c>
      <c r="C4197" t="s">
        <v>8737</v>
      </c>
      <c r="D4197" t="s">
        <v>560</v>
      </c>
      <c r="F4197">
        <v>182.2492</v>
      </c>
      <c r="G4197">
        <v>186.36590000000001</v>
      </c>
      <c r="H4197">
        <v>213.64959999999999</v>
      </c>
      <c r="I4197">
        <v>201.96360000000001</v>
      </c>
      <c r="J4197">
        <v>221.11109999999999</v>
      </c>
      <c r="K4197">
        <v>254.881</v>
      </c>
      <c r="L4197">
        <v>283.6737</v>
      </c>
      <c r="M4197">
        <v>139.85550000000001</v>
      </c>
      <c r="P4197">
        <v>96</v>
      </c>
      <c r="Q4197" t="s">
        <v>8738</v>
      </c>
    </row>
    <row r="4198" spans="1:17" x14ac:dyDescent="0.3">
      <c r="A4198" t="s">
        <v>4664</v>
      </c>
      <c r="B4198" t="str">
        <f>"300442"</f>
        <v>300442</v>
      </c>
      <c r="C4198" t="s">
        <v>8739</v>
      </c>
      <c r="D4198" t="s">
        <v>3388</v>
      </c>
      <c r="F4198">
        <v>475.29669999999999</v>
      </c>
      <c r="G4198">
        <v>941.81880000000001</v>
      </c>
      <c r="H4198">
        <v>674.14260000000002</v>
      </c>
      <c r="I4198">
        <v>537.92819999999995</v>
      </c>
      <c r="J4198">
        <v>372.34859999999998</v>
      </c>
      <c r="K4198">
        <v>358.1592</v>
      </c>
      <c r="L4198">
        <v>317.22449999999998</v>
      </c>
      <c r="M4198">
        <v>303.2423</v>
      </c>
      <c r="P4198">
        <v>66</v>
      </c>
      <c r="Q4198" t="s">
        <v>8740</v>
      </c>
    </row>
    <row r="4199" spans="1:17" x14ac:dyDescent="0.3">
      <c r="A4199" t="s">
        <v>4664</v>
      </c>
      <c r="B4199" t="str">
        <f>"300443"</f>
        <v>300443</v>
      </c>
      <c r="C4199" t="s">
        <v>8741</v>
      </c>
      <c r="D4199" t="s">
        <v>950</v>
      </c>
      <c r="F4199">
        <v>183.31489999999999</v>
      </c>
      <c r="G4199">
        <v>195.7773</v>
      </c>
      <c r="H4199">
        <v>178.63570000000001</v>
      </c>
      <c r="I4199">
        <v>245.41650000000001</v>
      </c>
      <c r="J4199">
        <v>210.0908</v>
      </c>
      <c r="K4199">
        <v>249.19159999999999</v>
      </c>
      <c r="L4199">
        <v>165.3536</v>
      </c>
      <c r="M4199">
        <v>83.535300000000007</v>
      </c>
      <c r="P4199">
        <v>357</v>
      </c>
      <c r="Q4199" t="s">
        <v>8742</v>
      </c>
    </row>
    <row r="4200" spans="1:17" x14ac:dyDescent="0.3">
      <c r="A4200" t="s">
        <v>4664</v>
      </c>
      <c r="B4200" t="str">
        <f>"300444"</f>
        <v>300444</v>
      </c>
      <c r="C4200" t="s">
        <v>8743</v>
      </c>
      <c r="D4200" t="s">
        <v>210</v>
      </c>
      <c r="F4200">
        <v>217.24250000000001</v>
      </c>
      <c r="G4200">
        <v>183.9408</v>
      </c>
      <c r="H4200">
        <v>189.28579999999999</v>
      </c>
      <c r="I4200">
        <v>153.42660000000001</v>
      </c>
      <c r="J4200">
        <v>99.764799999999994</v>
      </c>
      <c r="K4200">
        <v>139.10380000000001</v>
      </c>
      <c r="L4200">
        <v>155.0556</v>
      </c>
      <c r="M4200">
        <v>80.0809</v>
      </c>
      <c r="P4200">
        <v>101</v>
      </c>
      <c r="Q4200" t="s">
        <v>8744</v>
      </c>
    </row>
    <row r="4201" spans="1:17" x14ac:dyDescent="0.3">
      <c r="A4201" t="s">
        <v>4664</v>
      </c>
      <c r="B4201" t="str">
        <f>"300445"</f>
        <v>300445</v>
      </c>
      <c r="C4201" t="s">
        <v>8745</v>
      </c>
      <c r="D4201" t="s">
        <v>2551</v>
      </c>
      <c r="F4201">
        <v>284.08850000000001</v>
      </c>
      <c r="G4201">
        <v>337.96859999999998</v>
      </c>
      <c r="H4201">
        <v>274.84620000000001</v>
      </c>
      <c r="I4201">
        <v>288.36430000000001</v>
      </c>
      <c r="J4201">
        <v>356.3125</v>
      </c>
      <c r="K4201">
        <v>343.89150000000001</v>
      </c>
      <c r="L4201">
        <v>341.40159999999997</v>
      </c>
      <c r="M4201">
        <v>153.62029999999999</v>
      </c>
      <c r="P4201">
        <v>169</v>
      </c>
      <c r="Q4201" t="s">
        <v>8746</v>
      </c>
    </row>
    <row r="4202" spans="1:17" x14ac:dyDescent="0.3">
      <c r="A4202" t="s">
        <v>4664</v>
      </c>
      <c r="B4202" t="str">
        <f>"300446"</f>
        <v>300446</v>
      </c>
      <c r="C4202" t="s">
        <v>8747</v>
      </c>
      <c r="D4202" t="s">
        <v>2399</v>
      </c>
      <c r="F4202">
        <v>285.2099</v>
      </c>
      <c r="G4202">
        <v>466.46109999999999</v>
      </c>
      <c r="H4202">
        <v>197.93430000000001</v>
      </c>
      <c r="I4202">
        <v>181.83279999999999</v>
      </c>
      <c r="J4202">
        <v>167.3143</v>
      </c>
      <c r="K4202">
        <v>164.6018</v>
      </c>
      <c r="L4202">
        <v>151.0438</v>
      </c>
      <c r="M4202">
        <v>95.416499999999999</v>
      </c>
      <c r="P4202">
        <v>980</v>
      </c>
      <c r="Q4202" t="s">
        <v>8748</v>
      </c>
    </row>
    <row r="4203" spans="1:17" x14ac:dyDescent="0.3">
      <c r="A4203" t="s">
        <v>4664</v>
      </c>
      <c r="B4203" t="str">
        <f>"300447"</f>
        <v>300447</v>
      </c>
      <c r="C4203" t="s">
        <v>8749</v>
      </c>
      <c r="D4203" t="s">
        <v>1136</v>
      </c>
      <c r="F4203">
        <v>475.11860000000001</v>
      </c>
      <c r="G4203">
        <v>391.5849</v>
      </c>
      <c r="H4203">
        <v>370.94</v>
      </c>
      <c r="I4203">
        <v>426.11970000000002</v>
      </c>
      <c r="J4203">
        <v>383.68779999999998</v>
      </c>
      <c r="K4203">
        <v>422.64729999999997</v>
      </c>
      <c r="L4203">
        <v>394.53390000000002</v>
      </c>
      <c r="M4203">
        <v>176.4462</v>
      </c>
      <c r="P4203">
        <v>119</v>
      </c>
      <c r="Q4203" t="s">
        <v>8750</v>
      </c>
    </row>
    <row r="4204" spans="1:17" x14ac:dyDescent="0.3">
      <c r="A4204" t="s">
        <v>4664</v>
      </c>
      <c r="B4204" t="str">
        <f>"300448"</f>
        <v>300448</v>
      </c>
      <c r="C4204" t="s">
        <v>8751</v>
      </c>
      <c r="D4204" t="s">
        <v>316</v>
      </c>
      <c r="F4204">
        <v>296.93259999999998</v>
      </c>
      <c r="G4204">
        <v>398.03820000000002</v>
      </c>
      <c r="H4204">
        <v>285.78820000000002</v>
      </c>
      <c r="I4204">
        <v>229.21019999999999</v>
      </c>
      <c r="J4204">
        <v>241.0067</v>
      </c>
      <c r="K4204">
        <v>158.5975</v>
      </c>
      <c r="L4204">
        <v>179.30340000000001</v>
      </c>
      <c r="M4204">
        <v>90.792199999999994</v>
      </c>
      <c r="P4204">
        <v>157</v>
      </c>
      <c r="Q4204" t="s">
        <v>8752</v>
      </c>
    </row>
    <row r="4205" spans="1:17" x14ac:dyDescent="0.3">
      <c r="A4205" t="s">
        <v>4664</v>
      </c>
      <c r="B4205" t="str">
        <f>"300449"</f>
        <v>300449</v>
      </c>
      <c r="C4205" t="s">
        <v>8753</v>
      </c>
      <c r="D4205" t="s">
        <v>2953</v>
      </c>
      <c r="F4205">
        <v>40.225499999999997</v>
      </c>
      <c r="G4205">
        <v>358.0059</v>
      </c>
      <c r="H4205">
        <v>521.35889999999995</v>
      </c>
      <c r="I4205">
        <v>291.25540000000001</v>
      </c>
      <c r="J4205">
        <v>206.89080000000001</v>
      </c>
      <c r="K4205">
        <v>188.4348</v>
      </c>
      <c r="L4205">
        <v>140.39449999999999</v>
      </c>
      <c r="M4205">
        <v>81.107100000000003</v>
      </c>
      <c r="P4205">
        <v>85</v>
      </c>
      <c r="Q4205" t="s">
        <v>8754</v>
      </c>
    </row>
    <row r="4206" spans="1:17" x14ac:dyDescent="0.3">
      <c r="A4206" t="s">
        <v>4664</v>
      </c>
      <c r="B4206" t="str">
        <f>"300450"</f>
        <v>300450</v>
      </c>
      <c r="C4206" t="s">
        <v>8755</v>
      </c>
      <c r="D4206" t="s">
        <v>3749</v>
      </c>
      <c r="F4206">
        <v>493.75279999999998</v>
      </c>
      <c r="G4206">
        <v>312.71949999999998</v>
      </c>
      <c r="H4206">
        <v>460.90530000000001</v>
      </c>
      <c r="I4206">
        <v>518.7242</v>
      </c>
      <c r="J4206">
        <v>1084.999</v>
      </c>
      <c r="K4206">
        <v>893.18079999999998</v>
      </c>
      <c r="L4206">
        <v>927.68619999999999</v>
      </c>
      <c r="M4206">
        <v>296.61900000000003</v>
      </c>
      <c r="P4206">
        <v>9753</v>
      </c>
      <c r="Q4206" t="s">
        <v>8756</v>
      </c>
    </row>
    <row r="4207" spans="1:17" x14ac:dyDescent="0.3">
      <c r="A4207" t="s">
        <v>4664</v>
      </c>
      <c r="B4207" t="str">
        <f>"300451"</f>
        <v>300451</v>
      </c>
      <c r="C4207" t="s">
        <v>8757</v>
      </c>
      <c r="D4207" t="s">
        <v>945</v>
      </c>
      <c r="F4207">
        <v>205.2286</v>
      </c>
      <c r="G4207">
        <v>109.8762</v>
      </c>
      <c r="H4207">
        <v>90.9084</v>
      </c>
      <c r="I4207">
        <v>84.569599999999994</v>
      </c>
      <c r="J4207">
        <v>51.305199999999999</v>
      </c>
      <c r="K4207">
        <v>78.626099999999994</v>
      </c>
      <c r="L4207">
        <v>105.02330000000001</v>
      </c>
      <c r="M4207">
        <v>20.767399999999999</v>
      </c>
      <c r="P4207">
        <v>351</v>
      </c>
      <c r="Q4207" t="s">
        <v>8758</v>
      </c>
    </row>
    <row r="4208" spans="1:17" x14ac:dyDescent="0.3">
      <c r="A4208" t="s">
        <v>4664</v>
      </c>
      <c r="B4208" t="str">
        <f>"300452"</f>
        <v>300452</v>
      </c>
      <c r="C4208" t="s">
        <v>8759</v>
      </c>
      <c r="D4208" t="s">
        <v>496</v>
      </c>
      <c r="F4208">
        <v>61.378399999999999</v>
      </c>
      <c r="G4208">
        <v>63.024700000000003</v>
      </c>
      <c r="H4208">
        <v>59.283099999999997</v>
      </c>
      <c r="I4208">
        <v>60.056199999999997</v>
      </c>
      <c r="J4208">
        <v>62.431100000000001</v>
      </c>
      <c r="K4208">
        <v>47.507899999999999</v>
      </c>
      <c r="L4208">
        <v>45.817599999999999</v>
      </c>
      <c r="M4208">
        <v>24.426500000000001</v>
      </c>
      <c r="P4208">
        <v>300</v>
      </c>
      <c r="Q4208" t="s">
        <v>8760</v>
      </c>
    </row>
    <row r="4209" spans="1:17" x14ac:dyDescent="0.3">
      <c r="A4209" t="s">
        <v>4664</v>
      </c>
      <c r="B4209" t="str">
        <f>"300453"</f>
        <v>300453</v>
      </c>
      <c r="C4209" t="s">
        <v>8761</v>
      </c>
      <c r="D4209" t="s">
        <v>1077</v>
      </c>
      <c r="F4209">
        <v>96.698400000000007</v>
      </c>
      <c r="G4209">
        <v>120.1366</v>
      </c>
      <c r="H4209">
        <v>130.83029999999999</v>
      </c>
      <c r="I4209">
        <v>121.53919999999999</v>
      </c>
      <c r="J4209">
        <v>128.01910000000001</v>
      </c>
      <c r="K4209">
        <v>132.49629999999999</v>
      </c>
      <c r="L4209">
        <v>98.618399999999994</v>
      </c>
      <c r="M4209">
        <v>46.615099999999998</v>
      </c>
      <c r="P4209">
        <v>226</v>
      </c>
      <c r="Q4209" t="s">
        <v>8762</v>
      </c>
    </row>
    <row r="4210" spans="1:17" x14ac:dyDescent="0.3">
      <c r="A4210" t="s">
        <v>4664</v>
      </c>
      <c r="B4210" t="str">
        <f>"300454"</f>
        <v>300454</v>
      </c>
      <c r="C4210" t="s">
        <v>8763</v>
      </c>
      <c r="D4210" t="s">
        <v>1189</v>
      </c>
      <c r="F4210">
        <v>90.878500000000003</v>
      </c>
      <c r="G4210">
        <v>66.081400000000002</v>
      </c>
      <c r="H4210">
        <v>66.126000000000005</v>
      </c>
      <c r="I4210">
        <v>63.540700000000001</v>
      </c>
      <c r="J4210">
        <v>24.010400000000001</v>
      </c>
      <c r="P4210">
        <v>799</v>
      </c>
      <c r="Q4210" t="s">
        <v>8764</v>
      </c>
    </row>
    <row r="4211" spans="1:17" x14ac:dyDescent="0.3">
      <c r="A4211" t="s">
        <v>4664</v>
      </c>
      <c r="B4211" t="str">
        <f>"300455"</f>
        <v>300455</v>
      </c>
      <c r="C4211" t="s">
        <v>8765</v>
      </c>
      <c r="D4211" t="s">
        <v>236</v>
      </c>
      <c r="F4211">
        <v>760.04790000000003</v>
      </c>
      <c r="G4211">
        <v>643.58749999999998</v>
      </c>
      <c r="H4211">
        <v>592.41600000000005</v>
      </c>
      <c r="I4211">
        <v>567.68489999999997</v>
      </c>
      <c r="J4211">
        <v>641.98929999999996</v>
      </c>
      <c r="K4211">
        <v>569.59709999999995</v>
      </c>
      <c r="L4211">
        <v>356.8664</v>
      </c>
      <c r="M4211">
        <v>150.69329999999999</v>
      </c>
      <c r="P4211">
        <v>137</v>
      </c>
      <c r="Q4211" t="s">
        <v>8766</v>
      </c>
    </row>
    <row r="4212" spans="1:17" x14ac:dyDescent="0.3">
      <c r="A4212" t="s">
        <v>4664</v>
      </c>
      <c r="B4212" t="str">
        <f>"300456"</f>
        <v>300456</v>
      </c>
      <c r="C4212" t="s">
        <v>8767</v>
      </c>
      <c r="D4212" t="s">
        <v>4269</v>
      </c>
      <c r="F4212">
        <v>213.2756</v>
      </c>
      <c r="G4212">
        <v>286.88929999999999</v>
      </c>
      <c r="H4212">
        <v>248.28710000000001</v>
      </c>
      <c r="I4212">
        <v>143.53630000000001</v>
      </c>
      <c r="J4212">
        <v>137.96170000000001</v>
      </c>
      <c r="K4212">
        <v>260.0154</v>
      </c>
      <c r="L4212">
        <v>455.98509999999999</v>
      </c>
      <c r="M4212">
        <v>178.76</v>
      </c>
      <c r="P4212">
        <v>376</v>
      </c>
      <c r="Q4212" t="s">
        <v>8768</v>
      </c>
    </row>
    <row r="4213" spans="1:17" x14ac:dyDescent="0.3">
      <c r="A4213" t="s">
        <v>4664</v>
      </c>
      <c r="B4213" t="str">
        <f>"300457"</f>
        <v>300457</v>
      </c>
      <c r="C4213" t="s">
        <v>8769</v>
      </c>
      <c r="D4213" t="s">
        <v>3749</v>
      </c>
      <c r="F4213">
        <v>245.3991</v>
      </c>
      <c r="G4213">
        <v>226.99199999999999</v>
      </c>
      <c r="H4213">
        <v>253.036</v>
      </c>
      <c r="I4213">
        <v>255.12180000000001</v>
      </c>
      <c r="J4213">
        <v>229.71520000000001</v>
      </c>
      <c r="K4213">
        <v>283.01080000000002</v>
      </c>
      <c r="L4213">
        <v>184.77170000000001</v>
      </c>
      <c r="M4213">
        <v>133.75219999999999</v>
      </c>
      <c r="P4213">
        <v>359</v>
      </c>
      <c r="Q4213" t="s">
        <v>8770</v>
      </c>
    </row>
    <row r="4214" spans="1:17" x14ac:dyDescent="0.3">
      <c r="A4214" t="s">
        <v>4664</v>
      </c>
      <c r="B4214" t="str">
        <f>"300458"</f>
        <v>300458</v>
      </c>
      <c r="C4214" t="s">
        <v>8771</v>
      </c>
      <c r="D4214" t="s">
        <v>461</v>
      </c>
      <c r="F4214">
        <v>139.77199999999999</v>
      </c>
      <c r="G4214">
        <v>196.47219999999999</v>
      </c>
      <c r="H4214">
        <v>212.154</v>
      </c>
      <c r="I4214">
        <v>174.18430000000001</v>
      </c>
      <c r="J4214">
        <v>224.74510000000001</v>
      </c>
      <c r="K4214">
        <v>136.06180000000001</v>
      </c>
      <c r="L4214">
        <v>138.7261</v>
      </c>
      <c r="M4214">
        <v>80.068899999999999</v>
      </c>
      <c r="P4214">
        <v>561</v>
      </c>
      <c r="Q4214" t="s">
        <v>8772</v>
      </c>
    </row>
    <row r="4215" spans="1:17" x14ac:dyDescent="0.3">
      <c r="A4215" t="s">
        <v>4664</v>
      </c>
      <c r="B4215" t="str">
        <f>"300459"</f>
        <v>300459</v>
      </c>
      <c r="C4215" t="s">
        <v>8773</v>
      </c>
      <c r="D4215" t="s">
        <v>517</v>
      </c>
      <c r="F4215">
        <v>6.3338000000000001</v>
      </c>
      <c r="G4215">
        <v>24.3674</v>
      </c>
      <c r="H4215">
        <v>51.201900000000002</v>
      </c>
      <c r="I4215">
        <v>53.253300000000003</v>
      </c>
      <c r="J4215">
        <v>30.638100000000001</v>
      </c>
      <c r="K4215">
        <v>56.504300000000001</v>
      </c>
      <c r="L4215">
        <v>79.054699999999997</v>
      </c>
      <c r="M4215">
        <v>50.964199999999998</v>
      </c>
      <c r="P4215">
        <v>287</v>
      </c>
      <c r="Q4215" t="s">
        <v>8774</v>
      </c>
    </row>
    <row r="4216" spans="1:17" x14ac:dyDescent="0.3">
      <c r="A4216" t="s">
        <v>4664</v>
      </c>
      <c r="B4216" t="str">
        <f>"300460"</f>
        <v>300460</v>
      </c>
      <c r="C4216" t="s">
        <v>8775</v>
      </c>
      <c r="D4216" t="s">
        <v>546</v>
      </c>
      <c r="F4216">
        <v>278.8449</v>
      </c>
      <c r="G4216">
        <v>291.36340000000001</v>
      </c>
      <c r="H4216">
        <v>245.30889999999999</v>
      </c>
      <c r="I4216">
        <v>214.94649999999999</v>
      </c>
      <c r="J4216">
        <v>169.54859999999999</v>
      </c>
      <c r="K4216">
        <v>145.9836</v>
      </c>
      <c r="L4216">
        <v>105.1537</v>
      </c>
      <c r="M4216">
        <v>51.495600000000003</v>
      </c>
      <c r="P4216">
        <v>154</v>
      </c>
      <c r="Q4216" t="s">
        <v>8776</v>
      </c>
    </row>
    <row r="4217" spans="1:17" x14ac:dyDescent="0.3">
      <c r="A4217" t="s">
        <v>4664</v>
      </c>
      <c r="B4217" t="str">
        <f>"300461"</f>
        <v>300461</v>
      </c>
      <c r="C4217" t="s">
        <v>8777</v>
      </c>
      <c r="D4217" t="s">
        <v>3450</v>
      </c>
      <c r="F4217">
        <v>321.80430000000001</v>
      </c>
      <c r="G4217">
        <v>285.85649999999998</v>
      </c>
      <c r="H4217">
        <v>433.92989999999998</v>
      </c>
      <c r="I4217">
        <v>186.87520000000001</v>
      </c>
      <c r="J4217">
        <v>238.6285</v>
      </c>
      <c r="K4217">
        <v>613.7559</v>
      </c>
      <c r="L4217">
        <v>556.16930000000002</v>
      </c>
      <c r="M4217">
        <v>283.83760000000001</v>
      </c>
      <c r="P4217">
        <v>153</v>
      </c>
      <c r="Q4217" t="s">
        <v>8778</v>
      </c>
    </row>
    <row r="4218" spans="1:17" x14ac:dyDescent="0.3">
      <c r="A4218" t="s">
        <v>4664</v>
      </c>
      <c r="B4218" t="str">
        <f>"300462"</f>
        <v>300462</v>
      </c>
      <c r="C4218" t="s">
        <v>8779</v>
      </c>
      <c r="D4218" t="s">
        <v>236</v>
      </c>
      <c r="F4218">
        <v>706.35260000000005</v>
      </c>
      <c r="G4218">
        <v>554.7174</v>
      </c>
      <c r="H4218">
        <v>498.98329999999999</v>
      </c>
      <c r="I4218">
        <v>649.48320000000001</v>
      </c>
      <c r="J4218">
        <v>750.67769999999996</v>
      </c>
      <c r="K4218">
        <v>794.01250000000005</v>
      </c>
      <c r="L4218">
        <v>837.68690000000004</v>
      </c>
      <c r="M4218">
        <v>357.56950000000001</v>
      </c>
      <c r="P4218">
        <v>176</v>
      </c>
      <c r="Q4218" t="s">
        <v>8780</v>
      </c>
    </row>
    <row r="4219" spans="1:17" x14ac:dyDescent="0.3">
      <c r="A4219" t="s">
        <v>4664</v>
      </c>
      <c r="B4219" t="str">
        <f>"300463"</f>
        <v>300463</v>
      </c>
      <c r="C4219" t="s">
        <v>8781</v>
      </c>
      <c r="D4219" t="s">
        <v>1305</v>
      </c>
      <c r="F4219">
        <v>316.4588</v>
      </c>
      <c r="G4219">
        <v>304.66750000000002</v>
      </c>
      <c r="H4219">
        <v>262.02699999999999</v>
      </c>
      <c r="I4219">
        <v>239.93289999999999</v>
      </c>
      <c r="J4219">
        <v>245.28729999999999</v>
      </c>
      <c r="K4219">
        <v>238.36439999999999</v>
      </c>
      <c r="L4219">
        <v>259.19470000000001</v>
      </c>
      <c r="M4219">
        <v>118.4907</v>
      </c>
      <c r="P4219">
        <v>1101</v>
      </c>
      <c r="Q4219" t="s">
        <v>8782</v>
      </c>
    </row>
    <row r="4220" spans="1:17" x14ac:dyDescent="0.3">
      <c r="A4220" t="s">
        <v>4664</v>
      </c>
      <c r="B4220" t="str">
        <f>"300464"</f>
        <v>300464</v>
      </c>
      <c r="C4220" t="s">
        <v>8783</v>
      </c>
      <c r="D4220" t="s">
        <v>2014</v>
      </c>
      <c r="F4220">
        <v>172.48689999999999</v>
      </c>
      <c r="G4220">
        <v>180.39330000000001</v>
      </c>
      <c r="H4220">
        <v>154.4171</v>
      </c>
      <c r="I4220">
        <v>111.14400000000001</v>
      </c>
      <c r="J4220">
        <v>155.20840000000001</v>
      </c>
      <c r="K4220">
        <v>139.31120000000001</v>
      </c>
      <c r="L4220">
        <v>134.85560000000001</v>
      </c>
      <c r="M4220">
        <v>42.452300000000001</v>
      </c>
      <c r="P4220">
        <v>121</v>
      </c>
      <c r="Q4220" t="s">
        <v>8784</v>
      </c>
    </row>
    <row r="4221" spans="1:17" x14ac:dyDescent="0.3">
      <c r="A4221" t="s">
        <v>4664</v>
      </c>
      <c r="B4221" t="str">
        <f>"300465"</f>
        <v>300465</v>
      </c>
      <c r="C4221" t="s">
        <v>8785</v>
      </c>
      <c r="D4221" t="s">
        <v>945</v>
      </c>
      <c r="F4221">
        <v>129.39949999999999</v>
      </c>
      <c r="G4221">
        <v>141.5162</v>
      </c>
      <c r="H4221">
        <v>78.236800000000002</v>
      </c>
      <c r="I4221">
        <v>59.241999999999997</v>
      </c>
      <c r="J4221">
        <v>62.779800000000002</v>
      </c>
      <c r="K4221">
        <v>29.343599999999999</v>
      </c>
      <c r="L4221">
        <v>100.9141</v>
      </c>
      <c r="M4221">
        <v>50.503500000000003</v>
      </c>
      <c r="P4221">
        <v>252</v>
      </c>
      <c r="Q4221" t="s">
        <v>8786</v>
      </c>
    </row>
    <row r="4222" spans="1:17" x14ac:dyDescent="0.3">
      <c r="A4222" t="s">
        <v>4664</v>
      </c>
      <c r="B4222" t="str">
        <f>"300466"</f>
        <v>300466</v>
      </c>
      <c r="C4222" t="s">
        <v>8787</v>
      </c>
      <c r="D4222" t="s">
        <v>2171</v>
      </c>
      <c r="F4222">
        <v>190.88720000000001</v>
      </c>
      <c r="G4222">
        <v>213.99529999999999</v>
      </c>
      <c r="H4222">
        <v>355.108</v>
      </c>
      <c r="I4222">
        <v>324.99279999999999</v>
      </c>
      <c r="J4222">
        <v>362.93029999999999</v>
      </c>
      <c r="K4222">
        <v>288.32130000000001</v>
      </c>
      <c r="L4222">
        <v>186.03899999999999</v>
      </c>
      <c r="M4222">
        <v>97.188400000000001</v>
      </c>
      <c r="P4222">
        <v>121</v>
      </c>
      <c r="Q4222" t="s">
        <v>8788</v>
      </c>
    </row>
    <row r="4223" spans="1:17" x14ac:dyDescent="0.3">
      <c r="A4223" t="s">
        <v>4664</v>
      </c>
      <c r="B4223" t="str">
        <f>"300467"</f>
        <v>300467</v>
      </c>
      <c r="C4223" t="s">
        <v>8789</v>
      </c>
      <c r="D4223" t="s">
        <v>517</v>
      </c>
      <c r="F4223">
        <v>4.7999999999999996E-3</v>
      </c>
      <c r="G4223">
        <v>0.1227</v>
      </c>
      <c r="H4223">
        <v>0.18779999999999999</v>
      </c>
      <c r="I4223">
        <v>9.6799999999999997E-2</v>
      </c>
      <c r="J4223">
        <v>2.3099999999999999E-2</v>
      </c>
      <c r="K4223">
        <v>2.3800000000000002E-2</v>
      </c>
      <c r="L4223">
        <v>2.47E-2</v>
      </c>
      <c r="M4223">
        <v>2.01E-2</v>
      </c>
      <c r="P4223">
        <v>187</v>
      </c>
      <c r="Q4223" t="s">
        <v>8790</v>
      </c>
    </row>
    <row r="4224" spans="1:17" x14ac:dyDescent="0.3">
      <c r="A4224" t="s">
        <v>4664</v>
      </c>
      <c r="B4224" t="str">
        <f>"300468"</f>
        <v>300468</v>
      </c>
      <c r="C4224" t="s">
        <v>8791</v>
      </c>
      <c r="D4224" t="s">
        <v>945</v>
      </c>
      <c r="F4224">
        <v>100.9448</v>
      </c>
      <c r="G4224">
        <v>36.002000000000002</v>
      </c>
      <c r="H4224">
        <v>31.567599999999999</v>
      </c>
      <c r="I4224">
        <v>30.622900000000001</v>
      </c>
      <c r="J4224">
        <v>27.9574</v>
      </c>
      <c r="K4224">
        <v>37.298999999999999</v>
      </c>
      <c r="L4224">
        <v>44.626100000000001</v>
      </c>
      <c r="M4224">
        <v>7.3082000000000003</v>
      </c>
      <c r="P4224">
        <v>213</v>
      </c>
      <c r="Q4224" t="s">
        <v>8792</v>
      </c>
    </row>
    <row r="4225" spans="1:17" x14ac:dyDescent="0.3">
      <c r="A4225" t="s">
        <v>4664</v>
      </c>
      <c r="B4225" t="str">
        <f>"300469"</f>
        <v>300469</v>
      </c>
      <c r="C4225" t="s">
        <v>8793</v>
      </c>
      <c r="D4225" t="s">
        <v>945</v>
      </c>
      <c r="F4225">
        <v>162.31049999999999</v>
      </c>
      <c r="G4225">
        <v>210.398</v>
      </c>
      <c r="H4225">
        <v>461.62689999999998</v>
      </c>
      <c r="I4225">
        <v>566.65920000000006</v>
      </c>
      <c r="J4225">
        <v>385.2878</v>
      </c>
      <c r="K4225">
        <v>343.54570000000001</v>
      </c>
      <c r="L4225">
        <v>325.63729999999998</v>
      </c>
      <c r="M4225">
        <v>96.412899999999993</v>
      </c>
      <c r="P4225">
        <v>96</v>
      </c>
      <c r="Q4225" t="s">
        <v>8794</v>
      </c>
    </row>
    <row r="4226" spans="1:17" x14ac:dyDescent="0.3">
      <c r="A4226" t="s">
        <v>4664</v>
      </c>
      <c r="B4226" t="str">
        <f>"300470"</f>
        <v>300470</v>
      </c>
      <c r="C4226" t="s">
        <v>8795</v>
      </c>
      <c r="D4226" t="s">
        <v>560</v>
      </c>
      <c r="F4226">
        <v>229.3013</v>
      </c>
      <c r="G4226">
        <v>272.2534</v>
      </c>
      <c r="H4226">
        <v>286.00839999999999</v>
      </c>
      <c r="I4226">
        <v>282.64920000000001</v>
      </c>
      <c r="J4226">
        <v>248.07570000000001</v>
      </c>
      <c r="K4226">
        <v>291.5899</v>
      </c>
      <c r="L4226">
        <v>272.52850000000001</v>
      </c>
      <c r="M4226">
        <v>99.507900000000006</v>
      </c>
      <c r="P4226">
        <v>347</v>
      </c>
      <c r="Q4226" t="s">
        <v>8796</v>
      </c>
    </row>
    <row r="4227" spans="1:17" x14ac:dyDescent="0.3">
      <c r="A4227" t="s">
        <v>4664</v>
      </c>
      <c r="B4227" t="str">
        <f>"300471"</f>
        <v>300471</v>
      </c>
      <c r="C4227" t="s">
        <v>8797</v>
      </c>
      <c r="D4227" t="s">
        <v>741</v>
      </c>
      <c r="F4227">
        <v>408.03109999999998</v>
      </c>
      <c r="G4227">
        <v>569.44460000000004</v>
      </c>
      <c r="H4227">
        <v>471.70460000000003</v>
      </c>
      <c r="I4227">
        <v>464.08150000000001</v>
      </c>
      <c r="J4227">
        <v>171.18799999999999</v>
      </c>
      <c r="K4227">
        <v>240.6037</v>
      </c>
      <c r="L4227">
        <v>453.84399999999999</v>
      </c>
      <c r="M4227">
        <v>294.80489999999998</v>
      </c>
      <c r="P4227">
        <v>166</v>
      </c>
      <c r="Q4227" t="s">
        <v>8798</v>
      </c>
    </row>
    <row r="4228" spans="1:17" x14ac:dyDescent="0.3">
      <c r="A4228" t="s">
        <v>4664</v>
      </c>
      <c r="B4228" t="str">
        <f>"300472"</f>
        <v>300472</v>
      </c>
      <c r="C4228" t="s">
        <v>8799</v>
      </c>
      <c r="D4228" t="s">
        <v>741</v>
      </c>
      <c r="F4228">
        <v>205.316</v>
      </c>
      <c r="G4228">
        <v>323.82150000000001</v>
      </c>
      <c r="H4228">
        <v>336.96039999999999</v>
      </c>
      <c r="I4228">
        <v>281.7765</v>
      </c>
      <c r="J4228">
        <v>258.16230000000002</v>
      </c>
      <c r="K4228">
        <v>467.53309999999999</v>
      </c>
      <c r="L4228">
        <v>367.11599999999999</v>
      </c>
      <c r="M4228">
        <v>92.055099999999996</v>
      </c>
      <c r="P4228">
        <v>78</v>
      </c>
      <c r="Q4228" t="s">
        <v>8800</v>
      </c>
    </row>
    <row r="4229" spans="1:17" x14ac:dyDescent="0.3">
      <c r="A4229" t="s">
        <v>4664</v>
      </c>
      <c r="B4229" t="str">
        <f>"300473"</f>
        <v>300473</v>
      </c>
      <c r="C4229" t="s">
        <v>8801</v>
      </c>
      <c r="D4229" t="s">
        <v>985</v>
      </c>
      <c r="F4229">
        <v>133.94710000000001</v>
      </c>
      <c r="G4229">
        <v>139.89850000000001</v>
      </c>
      <c r="H4229">
        <v>121.2808</v>
      </c>
      <c r="I4229">
        <v>133.04429999999999</v>
      </c>
      <c r="J4229">
        <v>131.893</v>
      </c>
      <c r="K4229">
        <v>170.6575</v>
      </c>
      <c r="L4229">
        <v>128.2115</v>
      </c>
      <c r="M4229">
        <v>54.626600000000003</v>
      </c>
      <c r="P4229">
        <v>142</v>
      </c>
      <c r="Q4229" t="s">
        <v>8802</v>
      </c>
    </row>
    <row r="4230" spans="1:17" x14ac:dyDescent="0.3">
      <c r="A4230" t="s">
        <v>4664</v>
      </c>
      <c r="B4230" t="str">
        <f>"300474"</f>
        <v>300474</v>
      </c>
      <c r="C4230" t="s">
        <v>8803</v>
      </c>
      <c r="D4230" t="s">
        <v>1136</v>
      </c>
      <c r="F4230">
        <v>407.2321</v>
      </c>
      <c r="G4230">
        <v>528.84109999999998</v>
      </c>
      <c r="H4230">
        <v>581.05679999999995</v>
      </c>
      <c r="I4230">
        <v>615.81889999999999</v>
      </c>
      <c r="J4230">
        <v>583.88930000000005</v>
      </c>
      <c r="K4230">
        <v>577.08900000000006</v>
      </c>
      <c r="L4230">
        <v>297.35309999999998</v>
      </c>
      <c r="P4230">
        <v>513</v>
      </c>
      <c r="Q4230" t="s">
        <v>8804</v>
      </c>
    </row>
    <row r="4231" spans="1:17" x14ac:dyDescent="0.3">
      <c r="A4231" t="s">
        <v>4664</v>
      </c>
      <c r="B4231" t="str">
        <f>"300475"</f>
        <v>300475</v>
      </c>
      <c r="C4231" t="s">
        <v>8805</v>
      </c>
      <c r="D4231" t="s">
        <v>1253</v>
      </c>
      <c r="F4231">
        <v>22.3797</v>
      </c>
      <c r="G4231">
        <v>150.9282</v>
      </c>
      <c r="H4231">
        <v>179.1524</v>
      </c>
      <c r="I4231">
        <v>162.1987</v>
      </c>
      <c r="J4231">
        <v>78.495800000000003</v>
      </c>
      <c r="K4231">
        <v>68.822599999999994</v>
      </c>
      <c r="L4231">
        <v>104.9876</v>
      </c>
      <c r="M4231">
        <v>44.406300000000002</v>
      </c>
      <c r="P4231">
        <v>92</v>
      </c>
      <c r="Q4231" t="s">
        <v>8806</v>
      </c>
    </row>
    <row r="4232" spans="1:17" x14ac:dyDescent="0.3">
      <c r="A4232" t="s">
        <v>4664</v>
      </c>
      <c r="B4232" t="str">
        <f>"300476"</f>
        <v>300476</v>
      </c>
      <c r="C4232" t="s">
        <v>8807</v>
      </c>
      <c r="D4232" t="s">
        <v>425</v>
      </c>
      <c r="F4232">
        <v>107.03319999999999</v>
      </c>
      <c r="G4232">
        <v>105.84910000000001</v>
      </c>
      <c r="H4232">
        <v>88.065399999999997</v>
      </c>
      <c r="I4232">
        <v>79.582400000000007</v>
      </c>
      <c r="J4232">
        <v>63.195</v>
      </c>
      <c r="K4232">
        <v>57.405500000000004</v>
      </c>
      <c r="L4232">
        <v>67.753799999999998</v>
      </c>
      <c r="M4232">
        <v>30.662199999999999</v>
      </c>
      <c r="P4232">
        <v>633</v>
      </c>
      <c r="Q4232" t="s">
        <v>8808</v>
      </c>
    </row>
    <row r="4233" spans="1:17" x14ac:dyDescent="0.3">
      <c r="A4233" t="s">
        <v>4664</v>
      </c>
      <c r="B4233" t="str">
        <f>"300477"</f>
        <v>300477</v>
      </c>
      <c r="C4233" t="s">
        <v>8809</v>
      </c>
      <c r="D4233" t="s">
        <v>210</v>
      </c>
      <c r="F4233">
        <v>145.54650000000001</v>
      </c>
      <c r="G4233">
        <v>351.40249999999997</v>
      </c>
      <c r="H4233">
        <v>266.94450000000001</v>
      </c>
      <c r="I4233">
        <v>177.6507</v>
      </c>
      <c r="J4233">
        <v>129.9855</v>
      </c>
      <c r="K4233">
        <v>117.217</v>
      </c>
      <c r="L4233">
        <v>130.24529999999999</v>
      </c>
      <c r="M4233">
        <v>73.528599999999997</v>
      </c>
      <c r="P4233">
        <v>100</v>
      </c>
      <c r="Q4233" t="s">
        <v>8810</v>
      </c>
    </row>
    <row r="4234" spans="1:17" x14ac:dyDescent="0.3">
      <c r="A4234" t="s">
        <v>4664</v>
      </c>
      <c r="B4234" t="str">
        <f>"300478"</f>
        <v>300478</v>
      </c>
      <c r="C4234" t="s">
        <v>8811</v>
      </c>
      <c r="D4234" t="s">
        <v>341</v>
      </c>
      <c r="F4234">
        <v>41.4998</v>
      </c>
      <c r="G4234">
        <v>76.969899999999996</v>
      </c>
      <c r="H4234">
        <v>93.432400000000001</v>
      </c>
      <c r="I4234">
        <v>103.46810000000001</v>
      </c>
      <c r="J4234">
        <v>68.242099999999994</v>
      </c>
      <c r="K4234">
        <v>60.660499999999999</v>
      </c>
      <c r="L4234">
        <v>57.272399999999998</v>
      </c>
      <c r="M4234">
        <v>15.4422</v>
      </c>
      <c r="P4234">
        <v>58</v>
      </c>
      <c r="Q4234" t="s">
        <v>8812</v>
      </c>
    </row>
    <row r="4235" spans="1:17" x14ac:dyDescent="0.3">
      <c r="A4235" t="s">
        <v>4664</v>
      </c>
      <c r="B4235" t="str">
        <f>"300479"</f>
        <v>300479</v>
      </c>
      <c r="C4235" t="s">
        <v>8813</v>
      </c>
      <c r="D4235" t="s">
        <v>236</v>
      </c>
      <c r="F4235">
        <v>340.70409999999998</v>
      </c>
      <c r="G4235">
        <v>326.30990000000003</v>
      </c>
      <c r="H4235">
        <v>241.98820000000001</v>
      </c>
      <c r="I4235">
        <v>267.70710000000003</v>
      </c>
      <c r="J4235">
        <v>259.73750000000001</v>
      </c>
      <c r="K4235">
        <v>163.96469999999999</v>
      </c>
      <c r="L4235">
        <v>94.119500000000002</v>
      </c>
      <c r="M4235">
        <v>71.163799999999995</v>
      </c>
      <c r="P4235">
        <v>167</v>
      </c>
      <c r="Q4235" t="s">
        <v>8814</v>
      </c>
    </row>
    <row r="4236" spans="1:17" x14ac:dyDescent="0.3">
      <c r="A4236" t="s">
        <v>4664</v>
      </c>
      <c r="B4236" t="str">
        <f>"300480"</f>
        <v>300480</v>
      </c>
      <c r="C4236" t="s">
        <v>8815</v>
      </c>
      <c r="D4236" t="s">
        <v>395</v>
      </c>
      <c r="F4236">
        <v>260.0462</v>
      </c>
      <c r="G4236">
        <v>493.7276</v>
      </c>
      <c r="H4236">
        <v>516.50639999999999</v>
      </c>
      <c r="I4236">
        <v>377.85809999999998</v>
      </c>
      <c r="J4236">
        <v>280.7278</v>
      </c>
      <c r="K4236">
        <v>400.66050000000001</v>
      </c>
      <c r="L4236">
        <v>310.24470000000002</v>
      </c>
      <c r="M4236">
        <v>168.66249999999999</v>
      </c>
      <c r="P4236">
        <v>84</v>
      </c>
      <c r="Q4236" t="s">
        <v>8816</v>
      </c>
    </row>
    <row r="4237" spans="1:17" x14ac:dyDescent="0.3">
      <c r="A4237" t="s">
        <v>4664</v>
      </c>
      <c r="B4237" t="str">
        <f>"300481"</f>
        <v>300481</v>
      </c>
      <c r="C4237" t="s">
        <v>8817</v>
      </c>
      <c r="D4237" t="s">
        <v>2399</v>
      </c>
      <c r="F4237">
        <v>57.042900000000003</v>
      </c>
      <c r="G4237">
        <v>61.019399999999997</v>
      </c>
      <c r="H4237">
        <v>63.056199999999997</v>
      </c>
      <c r="I4237">
        <v>57.967599999999997</v>
      </c>
      <c r="J4237">
        <v>54.239400000000003</v>
      </c>
      <c r="K4237">
        <v>50.374000000000002</v>
      </c>
      <c r="L4237">
        <v>72.813599999999994</v>
      </c>
      <c r="M4237">
        <v>25.671800000000001</v>
      </c>
      <c r="P4237">
        <v>352</v>
      </c>
      <c r="Q4237" t="s">
        <v>8818</v>
      </c>
    </row>
    <row r="4238" spans="1:17" x14ac:dyDescent="0.3">
      <c r="A4238" t="s">
        <v>4664</v>
      </c>
      <c r="B4238" t="str">
        <f>"300482"</f>
        <v>300482</v>
      </c>
      <c r="C4238" t="s">
        <v>8819</v>
      </c>
      <c r="D4238" t="s">
        <v>1305</v>
      </c>
      <c r="F4238">
        <v>176.46369999999999</v>
      </c>
      <c r="G4238">
        <v>144.12209999999999</v>
      </c>
      <c r="H4238">
        <v>155.0958</v>
      </c>
      <c r="I4238">
        <v>126.6348</v>
      </c>
      <c r="J4238">
        <v>149.4066</v>
      </c>
      <c r="K4238">
        <v>179.63640000000001</v>
      </c>
      <c r="L4238">
        <v>183.5676</v>
      </c>
      <c r="M4238">
        <v>84.600999999999999</v>
      </c>
      <c r="P4238">
        <v>17071</v>
      </c>
      <c r="Q4238" t="s">
        <v>8820</v>
      </c>
    </row>
    <row r="4239" spans="1:17" x14ac:dyDescent="0.3">
      <c r="A4239" t="s">
        <v>4664</v>
      </c>
      <c r="B4239" t="str">
        <f>"300483"</f>
        <v>300483</v>
      </c>
      <c r="C4239" t="s">
        <v>8821</v>
      </c>
      <c r="D4239" t="s">
        <v>749</v>
      </c>
      <c r="F4239">
        <v>21.7667</v>
      </c>
      <c r="G4239">
        <v>29.912400000000002</v>
      </c>
      <c r="H4239">
        <v>33.194299999999998</v>
      </c>
      <c r="I4239">
        <v>148.95050000000001</v>
      </c>
      <c r="J4239">
        <v>140.67140000000001</v>
      </c>
      <c r="K4239">
        <v>171.42529999999999</v>
      </c>
      <c r="L4239">
        <v>141.56970000000001</v>
      </c>
      <c r="M4239">
        <v>68.006900000000002</v>
      </c>
      <c r="P4239">
        <v>140</v>
      </c>
      <c r="Q4239" t="s">
        <v>8822</v>
      </c>
    </row>
    <row r="4240" spans="1:17" x14ac:dyDescent="0.3">
      <c r="A4240" t="s">
        <v>4664</v>
      </c>
      <c r="B4240" t="str">
        <f>"300484"</f>
        <v>300484</v>
      </c>
      <c r="C4240" t="s">
        <v>8823</v>
      </c>
      <c r="D4240" t="s">
        <v>2423</v>
      </c>
      <c r="F4240">
        <v>281.82369999999997</v>
      </c>
      <c r="G4240">
        <v>259.29500000000002</v>
      </c>
      <c r="H4240">
        <v>383.58659999999998</v>
      </c>
      <c r="I4240">
        <v>342.80450000000002</v>
      </c>
      <c r="J4240">
        <v>192.9504</v>
      </c>
      <c r="K4240">
        <v>150.5204</v>
      </c>
      <c r="L4240">
        <v>195.7893</v>
      </c>
      <c r="P4240">
        <v>219</v>
      </c>
      <c r="Q4240" t="s">
        <v>8824</v>
      </c>
    </row>
    <row r="4241" spans="1:17" x14ac:dyDescent="0.3">
      <c r="A4241" t="s">
        <v>4664</v>
      </c>
      <c r="B4241" t="str">
        <f>"300485"</f>
        <v>300485</v>
      </c>
      <c r="C4241" t="s">
        <v>8825</v>
      </c>
      <c r="D4241" t="s">
        <v>1379</v>
      </c>
      <c r="F4241">
        <v>339.29289999999997</v>
      </c>
      <c r="G4241">
        <v>465.97519999999997</v>
      </c>
      <c r="H4241">
        <v>495.01260000000002</v>
      </c>
      <c r="I4241">
        <v>452.40620000000001</v>
      </c>
      <c r="J4241">
        <v>261.41460000000001</v>
      </c>
      <c r="K4241">
        <v>151.31989999999999</v>
      </c>
      <c r="L4241">
        <v>92.135000000000005</v>
      </c>
      <c r="M4241">
        <v>26.751200000000001</v>
      </c>
      <c r="P4241">
        <v>196</v>
      </c>
      <c r="Q4241" t="s">
        <v>8826</v>
      </c>
    </row>
    <row r="4242" spans="1:17" x14ac:dyDescent="0.3">
      <c r="A4242" t="s">
        <v>4664</v>
      </c>
      <c r="B4242" t="str">
        <f>"300486"</f>
        <v>300486</v>
      </c>
      <c r="C4242" t="s">
        <v>8827</v>
      </c>
      <c r="D4242" t="s">
        <v>3450</v>
      </c>
      <c r="F4242">
        <v>257.65320000000003</v>
      </c>
      <c r="G4242">
        <v>352.74740000000003</v>
      </c>
      <c r="H4242">
        <v>483.3476</v>
      </c>
      <c r="I4242">
        <v>355.22300000000001</v>
      </c>
      <c r="J4242">
        <v>228.6892</v>
      </c>
      <c r="K4242">
        <v>932.67669999999998</v>
      </c>
      <c r="L4242">
        <v>395.15030000000002</v>
      </c>
      <c r="M4242">
        <v>160.43</v>
      </c>
      <c r="P4242">
        <v>74</v>
      </c>
      <c r="Q4242" t="s">
        <v>8828</v>
      </c>
    </row>
    <row r="4243" spans="1:17" x14ac:dyDescent="0.3">
      <c r="A4243" t="s">
        <v>4664</v>
      </c>
      <c r="B4243" t="str">
        <f>"300487"</f>
        <v>300487</v>
      </c>
      <c r="C4243" t="s">
        <v>8829</v>
      </c>
      <c r="D4243" t="s">
        <v>3350</v>
      </c>
      <c r="F4243">
        <v>267.75080000000003</v>
      </c>
      <c r="G4243">
        <v>313.92860000000002</v>
      </c>
      <c r="H4243">
        <v>194.95490000000001</v>
      </c>
      <c r="I4243">
        <v>155.49090000000001</v>
      </c>
      <c r="J4243">
        <v>145.55500000000001</v>
      </c>
      <c r="K4243">
        <v>234.77969999999999</v>
      </c>
      <c r="L4243">
        <v>296.036</v>
      </c>
      <c r="M4243">
        <v>86.496300000000005</v>
      </c>
      <c r="P4243">
        <v>374</v>
      </c>
      <c r="Q4243" t="s">
        <v>8830</v>
      </c>
    </row>
    <row r="4244" spans="1:17" x14ac:dyDescent="0.3">
      <c r="A4244" t="s">
        <v>4664</v>
      </c>
      <c r="B4244" t="str">
        <f>"300488"</f>
        <v>300488</v>
      </c>
      <c r="C4244" t="s">
        <v>8831</v>
      </c>
      <c r="D4244" t="s">
        <v>274</v>
      </c>
      <c r="F4244">
        <v>229.20169999999999</v>
      </c>
      <c r="G4244">
        <v>272.8501</v>
      </c>
      <c r="H4244">
        <v>295.66759999999999</v>
      </c>
      <c r="I4244">
        <v>288.08479999999997</v>
      </c>
      <c r="J4244">
        <v>236.1771</v>
      </c>
      <c r="K4244">
        <v>308.61470000000003</v>
      </c>
      <c r="L4244">
        <v>357.52820000000003</v>
      </c>
      <c r="M4244">
        <v>178.0044</v>
      </c>
      <c r="P4244">
        <v>120</v>
      </c>
      <c r="Q4244" t="s">
        <v>8832</v>
      </c>
    </row>
    <row r="4245" spans="1:17" x14ac:dyDescent="0.3">
      <c r="A4245" t="s">
        <v>4664</v>
      </c>
      <c r="B4245" t="str">
        <f>"300489"</f>
        <v>300489</v>
      </c>
      <c r="C4245" t="s">
        <v>8833</v>
      </c>
      <c r="D4245" t="s">
        <v>504</v>
      </c>
      <c r="F4245">
        <v>231.00139999999999</v>
      </c>
      <c r="G4245">
        <v>178.88800000000001</v>
      </c>
      <c r="H4245">
        <v>395.00189999999998</v>
      </c>
      <c r="I4245">
        <v>412.61290000000002</v>
      </c>
      <c r="J4245">
        <v>353.77609999999999</v>
      </c>
      <c r="K4245">
        <v>347.71910000000003</v>
      </c>
      <c r="L4245">
        <v>212.26740000000001</v>
      </c>
      <c r="M4245">
        <v>81.546400000000006</v>
      </c>
      <c r="P4245">
        <v>71</v>
      </c>
      <c r="Q4245" t="s">
        <v>8834</v>
      </c>
    </row>
    <row r="4246" spans="1:17" x14ac:dyDescent="0.3">
      <c r="A4246" t="s">
        <v>4664</v>
      </c>
      <c r="B4246" t="str">
        <f>"300490"</f>
        <v>300490</v>
      </c>
      <c r="C4246" t="s">
        <v>8835</v>
      </c>
      <c r="D4246" t="s">
        <v>610</v>
      </c>
      <c r="F4246">
        <v>171.2132</v>
      </c>
      <c r="G4246">
        <v>359.87560000000002</v>
      </c>
      <c r="H4246">
        <v>228.71799999999999</v>
      </c>
      <c r="I4246">
        <v>277.8544</v>
      </c>
      <c r="J4246">
        <v>162.07570000000001</v>
      </c>
      <c r="K4246">
        <v>270.66879999999998</v>
      </c>
      <c r="L4246">
        <v>307.15050000000002</v>
      </c>
      <c r="M4246">
        <v>93.418099999999995</v>
      </c>
      <c r="P4246">
        <v>161</v>
      </c>
      <c r="Q4246" t="s">
        <v>8836</v>
      </c>
    </row>
    <row r="4247" spans="1:17" x14ac:dyDescent="0.3">
      <c r="A4247" t="s">
        <v>4664</v>
      </c>
      <c r="B4247" t="str">
        <f>"300491"</f>
        <v>300491</v>
      </c>
      <c r="C4247" t="s">
        <v>8837</v>
      </c>
      <c r="D4247" t="s">
        <v>880</v>
      </c>
      <c r="F4247">
        <v>290.72399999999999</v>
      </c>
      <c r="G4247">
        <v>314.95229999999998</v>
      </c>
      <c r="H4247">
        <v>206.55449999999999</v>
      </c>
      <c r="I4247">
        <v>217.13030000000001</v>
      </c>
      <c r="J4247">
        <v>206.42679999999999</v>
      </c>
      <c r="K4247">
        <v>203.7998</v>
      </c>
      <c r="L4247">
        <v>257.01</v>
      </c>
      <c r="M4247">
        <v>85.2059</v>
      </c>
      <c r="P4247">
        <v>94</v>
      </c>
      <c r="Q4247" t="s">
        <v>8838</v>
      </c>
    </row>
    <row r="4248" spans="1:17" x14ac:dyDescent="0.3">
      <c r="A4248" t="s">
        <v>4664</v>
      </c>
      <c r="B4248" t="str">
        <f>"300492"</f>
        <v>300492</v>
      </c>
      <c r="C4248" t="s">
        <v>8839</v>
      </c>
      <c r="D4248" t="s">
        <v>1272</v>
      </c>
      <c r="F4248">
        <v>0</v>
      </c>
      <c r="G4248">
        <v>0</v>
      </c>
      <c r="H4248">
        <v>0</v>
      </c>
      <c r="I4248">
        <v>0</v>
      </c>
      <c r="J4248">
        <v>0</v>
      </c>
      <c r="K4248">
        <v>0</v>
      </c>
      <c r="L4248">
        <v>0</v>
      </c>
      <c r="M4248">
        <v>0</v>
      </c>
      <c r="P4248">
        <v>94</v>
      </c>
      <c r="Q4248" t="s">
        <v>8840</v>
      </c>
    </row>
    <row r="4249" spans="1:17" x14ac:dyDescent="0.3">
      <c r="A4249" t="s">
        <v>4664</v>
      </c>
      <c r="B4249" t="str">
        <f>"300493"</f>
        <v>300493</v>
      </c>
      <c r="C4249" t="s">
        <v>8841</v>
      </c>
      <c r="D4249" t="s">
        <v>651</v>
      </c>
      <c r="F4249">
        <v>54.897100000000002</v>
      </c>
      <c r="G4249">
        <v>50.550600000000003</v>
      </c>
      <c r="H4249">
        <v>88.802700000000002</v>
      </c>
      <c r="I4249">
        <v>101.47110000000001</v>
      </c>
      <c r="J4249">
        <v>100.3466</v>
      </c>
      <c r="K4249">
        <v>88.000600000000006</v>
      </c>
      <c r="L4249">
        <v>62.115699999999997</v>
      </c>
      <c r="M4249">
        <v>22.377800000000001</v>
      </c>
      <c r="P4249">
        <v>187</v>
      </c>
      <c r="Q4249" t="s">
        <v>8842</v>
      </c>
    </row>
    <row r="4250" spans="1:17" x14ac:dyDescent="0.3">
      <c r="A4250" t="s">
        <v>4664</v>
      </c>
      <c r="B4250" t="str">
        <f>"300494"</f>
        <v>300494</v>
      </c>
      <c r="C4250" t="s">
        <v>8843</v>
      </c>
      <c r="D4250" t="s">
        <v>517</v>
      </c>
      <c r="F4250">
        <v>2.75E-2</v>
      </c>
      <c r="G4250">
        <v>0.14610000000000001</v>
      </c>
      <c r="H4250">
        <v>1.1113999999999999</v>
      </c>
      <c r="I4250">
        <v>1.6236999999999999</v>
      </c>
      <c r="J4250">
        <v>1.5069999999999999</v>
      </c>
      <c r="K4250">
        <v>1.9357</v>
      </c>
      <c r="L4250">
        <v>8.1066000000000003</v>
      </c>
      <c r="M4250">
        <v>0.14879999999999999</v>
      </c>
      <c r="P4250">
        <v>134</v>
      </c>
      <c r="Q4250" t="s">
        <v>8844</v>
      </c>
    </row>
    <row r="4251" spans="1:17" x14ac:dyDescent="0.3">
      <c r="A4251" t="s">
        <v>4664</v>
      </c>
      <c r="B4251" t="str">
        <f>"300495"</f>
        <v>300495</v>
      </c>
      <c r="C4251" t="s">
        <v>8845</v>
      </c>
      <c r="D4251" t="s">
        <v>2408</v>
      </c>
      <c r="F4251">
        <v>391.11399999999998</v>
      </c>
      <c r="G4251">
        <v>450.78620000000001</v>
      </c>
      <c r="H4251">
        <v>658.85029999999995</v>
      </c>
      <c r="I4251">
        <v>514.01610000000005</v>
      </c>
      <c r="J4251">
        <v>348.37290000000002</v>
      </c>
      <c r="K4251">
        <v>73.541799999999995</v>
      </c>
      <c r="P4251">
        <v>103</v>
      </c>
      <c r="Q4251" t="s">
        <v>8846</v>
      </c>
    </row>
    <row r="4252" spans="1:17" x14ac:dyDescent="0.3">
      <c r="A4252" t="s">
        <v>4664</v>
      </c>
      <c r="B4252" t="str">
        <f>"300496"</f>
        <v>300496</v>
      </c>
      <c r="C4252" t="s">
        <v>8847</v>
      </c>
      <c r="D4252" t="s">
        <v>316</v>
      </c>
      <c r="F4252">
        <v>125.3463</v>
      </c>
      <c r="G4252">
        <v>71.993799999999993</v>
      </c>
      <c r="H4252">
        <v>14.456799999999999</v>
      </c>
      <c r="I4252">
        <v>6.6898</v>
      </c>
      <c r="J4252">
        <v>19.590499999999999</v>
      </c>
      <c r="K4252">
        <v>21.712</v>
      </c>
      <c r="L4252">
        <v>25.503599999999999</v>
      </c>
      <c r="M4252">
        <v>1.8749</v>
      </c>
      <c r="P4252">
        <v>1141</v>
      </c>
      <c r="Q4252" t="s">
        <v>8848</v>
      </c>
    </row>
    <row r="4253" spans="1:17" x14ac:dyDescent="0.3">
      <c r="A4253" t="s">
        <v>4664</v>
      </c>
      <c r="B4253" t="str">
        <f>"300497"</f>
        <v>300497</v>
      </c>
      <c r="C4253" t="s">
        <v>8849</v>
      </c>
      <c r="D4253" t="s">
        <v>496</v>
      </c>
      <c r="F4253">
        <v>159.3262</v>
      </c>
      <c r="G4253">
        <v>137.36250000000001</v>
      </c>
      <c r="H4253">
        <v>137.8835</v>
      </c>
      <c r="I4253">
        <v>135.17500000000001</v>
      </c>
      <c r="J4253">
        <v>134.5513</v>
      </c>
      <c r="K4253">
        <v>132.95400000000001</v>
      </c>
      <c r="L4253">
        <v>131.14619999999999</v>
      </c>
      <c r="M4253">
        <v>53.5794</v>
      </c>
      <c r="P4253">
        <v>4722</v>
      </c>
      <c r="Q4253" t="s">
        <v>8850</v>
      </c>
    </row>
    <row r="4254" spans="1:17" x14ac:dyDescent="0.3">
      <c r="A4254" t="s">
        <v>4664</v>
      </c>
      <c r="B4254" t="str">
        <f>"300498"</f>
        <v>300498</v>
      </c>
      <c r="C4254" t="s">
        <v>8851</v>
      </c>
      <c r="D4254" t="s">
        <v>1894</v>
      </c>
      <c r="F4254">
        <v>100.03279999999999</v>
      </c>
      <c r="G4254">
        <v>113.9936</v>
      </c>
      <c r="H4254">
        <v>115.0001</v>
      </c>
      <c r="I4254">
        <v>120.6734</v>
      </c>
      <c r="J4254">
        <v>117.8193</v>
      </c>
      <c r="K4254">
        <v>111.94629999999999</v>
      </c>
      <c r="L4254">
        <v>108.9466</v>
      </c>
      <c r="M4254">
        <v>54.785699999999999</v>
      </c>
      <c r="P4254">
        <v>2457</v>
      </c>
      <c r="Q4254" t="s">
        <v>8852</v>
      </c>
    </row>
    <row r="4255" spans="1:17" x14ac:dyDescent="0.3">
      <c r="A4255" t="s">
        <v>4664</v>
      </c>
      <c r="B4255" t="str">
        <f>"300499"</f>
        <v>300499</v>
      </c>
      <c r="C4255" t="s">
        <v>8853</v>
      </c>
      <c r="D4255" t="s">
        <v>741</v>
      </c>
      <c r="F4255">
        <v>105.5754</v>
      </c>
      <c r="G4255">
        <v>150.86080000000001</v>
      </c>
      <c r="H4255">
        <v>199.57130000000001</v>
      </c>
      <c r="I4255">
        <v>304.97289999999998</v>
      </c>
      <c r="J4255">
        <v>268.96789999999999</v>
      </c>
      <c r="K4255">
        <v>279.86630000000002</v>
      </c>
      <c r="L4255">
        <v>205.73310000000001</v>
      </c>
      <c r="M4255">
        <v>87.100499999999997</v>
      </c>
      <c r="P4255">
        <v>135</v>
      </c>
      <c r="Q4255" t="s">
        <v>8854</v>
      </c>
    </row>
    <row r="4256" spans="1:17" x14ac:dyDescent="0.3">
      <c r="A4256" t="s">
        <v>4664</v>
      </c>
      <c r="B4256" t="str">
        <f>"300500"</f>
        <v>300500</v>
      </c>
      <c r="C4256" t="s">
        <v>8855</v>
      </c>
      <c r="D4256" t="s">
        <v>1272</v>
      </c>
      <c r="F4256">
        <v>1.4524999999999999</v>
      </c>
      <c r="G4256">
        <v>23.793399999999998</v>
      </c>
      <c r="H4256">
        <v>127.35850000000001</v>
      </c>
      <c r="I4256">
        <v>9.7185000000000006</v>
      </c>
      <c r="J4256">
        <v>2.5999999999999999E-3</v>
      </c>
      <c r="K4256">
        <v>0</v>
      </c>
      <c r="P4256">
        <v>100</v>
      </c>
      <c r="Q4256" t="s">
        <v>8856</v>
      </c>
    </row>
    <row r="4257" spans="1:17" x14ac:dyDescent="0.3">
      <c r="A4257" t="s">
        <v>4664</v>
      </c>
      <c r="B4257" t="str">
        <f>"300501"</f>
        <v>300501</v>
      </c>
      <c r="C4257" t="s">
        <v>8857</v>
      </c>
      <c r="D4257" t="s">
        <v>2439</v>
      </c>
      <c r="F4257">
        <v>109.60129999999999</v>
      </c>
      <c r="G4257">
        <v>136.02889999999999</v>
      </c>
      <c r="H4257">
        <v>122.0414</v>
      </c>
      <c r="I4257">
        <v>123.8703</v>
      </c>
      <c r="J4257">
        <v>103.456</v>
      </c>
      <c r="K4257">
        <v>83.8001</v>
      </c>
      <c r="L4257">
        <v>83.261300000000006</v>
      </c>
      <c r="P4257">
        <v>131</v>
      </c>
      <c r="Q4257" t="s">
        <v>8858</v>
      </c>
    </row>
    <row r="4258" spans="1:17" x14ac:dyDescent="0.3">
      <c r="A4258" t="s">
        <v>4664</v>
      </c>
      <c r="B4258" t="str">
        <f>"300502"</f>
        <v>300502</v>
      </c>
      <c r="C4258" t="s">
        <v>8859</v>
      </c>
      <c r="D4258" t="s">
        <v>1019</v>
      </c>
      <c r="F4258">
        <v>308.2792</v>
      </c>
      <c r="G4258">
        <v>242.71369999999999</v>
      </c>
      <c r="H4258">
        <v>222.01750000000001</v>
      </c>
      <c r="I4258">
        <v>305.94889999999998</v>
      </c>
      <c r="J4258">
        <v>272.07859999999999</v>
      </c>
      <c r="K4258">
        <v>240.14150000000001</v>
      </c>
      <c r="L4258">
        <v>69.006799999999998</v>
      </c>
      <c r="P4258">
        <v>636</v>
      </c>
      <c r="Q4258" t="s">
        <v>8860</v>
      </c>
    </row>
    <row r="4259" spans="1:17" x14ac:dyDescent="0.3">
      <c r="A4259" t="s">
        <v>4664</v>
      </c>
      <c r="B4259" t="str">
        <f>"300503"</f>
        <v>300503</v>
      </c>
      <c r="C4259" t="s">
        <v>8861</v>
      </c>
      <c r="D4259" t="s">
        <v>560</v>
      </c>
      <c r="F4259">
        <v>282.20440000000002</v>
      </c>
      <c r="G4259">
        <v>364.1377</v>
      </c>
      <c r="H4259">
        <v>1132.9636</v>
      </c>
      <c r="I4259">
        <v>708.39409999999998</v>
      </c>
      <c r="J4259">
        <v>450.2029</v>
      </c>
      <c r="K4259">
        <v>430.072</v>
      </c>
      <c r="L4259">
        <v>310.18049999999999</v>
      </c>
      <c r="P4259">
        <v>136</v>
      </c>
      <c r="Q4259" t="s">
        <v>8862</v>
      </c>
    </row>
    <row r="4260" spans="1:17" x14ac:dyDescent="0.3">
      <c r="A4260" t="s">
        <v>4664</v>
      </c>
      <c r="B4260" t="str">
        <f>"300504"</f>
        <v>300504</v>
      </c>
      <c r="C4260" t="s">
        <v>8863</v>
      </c>
      <c r="D4260" t="s">
        <v>786</v>
      </c>
      <c r="F4260">
        <v>227.2216</v>
      </c>
      <c r="G4260">
        <v>196.238</v>
      </c>
      <c r="H4260">
        <v>199.0599</v>
      </c>
      <c r="I4260">
        <v>195.97210000000001</v>
      </c>
      <c r="J4260">
        <v>221.65440000000001</v>
      </c>
      <c r="P4260">
        <v>176</v>
      </c>
      <c r="Q4260" t="s">
        <v>8864</v>
      </c>
    </row>
    <row r="4261" spans="1:17" x14ac:dyDescent="0.3">
      <c r="A4261" t="s">
        <v>4664</v>
      </c>
      <c r="B4261" t="str">
        <f>"300505"</f>
        <v>300505</v>
      </c>
      <c r="C4261" t="s">
        <v>8865</v>
      </c>
      <c r="D4261" t="s">
        <v>183</v>
      </c>
      <c r="F4261">
        <v>113.33580000000001</v>
      </c>
      <c r="G4261">
        <v>128.63140000000001</v>
      </c>
      <c r="H4261">
        <v>149.18260000000001</v>
      </c>
      <c r="I4261">
        <v>166.03370000000001</v>
      </c>
      <c r="J4261">
        <v>192.72200000000001</v>
      </c>
      <c r="K4261">
        <v>201.99930000000001</v>
      </c>
      <c r="L4261">
        <v>102.5185</v>
      </c>
      <c r="P4261">
        <v>97</v>
      </c>
      <c r="Q4261" t="s">
        <v>8866</v>
      </c>
    </row>
    <row r="4262" spans="1:17" x14ac:dyDescent="0.3">
      <c r="A4262" t="s">
        <v>4664</v>
      </c>
      <c r="B4262" t="str">
        <f>"300506"</f>
        <v>300506</v>
      </c>
      <c r="C4262" t="s">
        <v>8867</v>
      </c>
      <c r="D4262" t="s">
        <v>450</v>
      </c>
      <c r="F4262">
        <v>38.801299999999998</v>
      </c>
      <c r="G4262">
        <v>606.29629999999997</v>
      </c>
      <c r="H4262">
        <v>595.43010000000004</v>
      </c>
      <c r="I4262">
        <v>490.40210000000002</v>
      </c>
      <c r="J4262">
        <v>964.87829999999997</v>
      </c>
      <c r="K4262">
        <v>926.96450000000004</v>
      </c>
      <c r="L4262">
        <v>759.89800000000002</v>
      </c>
      <c r="P4262">
        <v>294</v>
      </c>
      <c r="Q4262" t="s">
        <v>8868</v>
      </c>
    </row>
    <row r="4263" spans="1:17" x14ac:dyDescent="0.3">
      <c r="A4263" t="s">
        <v>4664</v>
      </c>
      <c r="B4263" t="str">
        <f>"300507"</f>
        <v>300507</v>
      </c>
      <c r="C4263" t="s">
        <v>8869</v>
      </c>
      <c r="D4263" t="s">
        <v>348</v>
      </c>
      <c r="F4263">
        <v>118.5594</v>
      </c>
      <c r="G4263">
        <v>130.77359999999999</v>
      </c>
      <c r="H4263">
        <v>133.8306</v>
      </c>
      <c r="I4263">
        <v>106.9418</v>
      </c>
      <c r="J4263">
        <v>94.755899999999997</v>
      </c>
      <c r="K4263">
        <v>99.909400000000005</v>
      </c>
      <c r="L4263">
        <v>53.667000000000002</v>
      </c>
      <c r="P4263">
        <v>137</v>
      </c>
      <c r="Q4263" t="s">
        <v>8870</v>
      </c>
    </row>
    <row r="4264" spans="1:17" x14ac:dyDescent="0.3">
      <c r="A4264" t="s">
        <v>4664</v>
      </c>
      <c r="B4264" t="str">
        <f>"300508"</f>
        <v>300508</v>
      </c>
      <c r="C4264" t="s">
        <v>8871</v>
      </c>
      <c r="D4264" t="s">
        <v>236</v>
      </c>
      <c r="F4264">
        <v>118.3807</v>
      </c>
      <c r="G4264">
        <v>163.7355</v>
      </c>
      <c r="H4264">
        <v>217.9385</v>
      </c>
      <c r="I4264">
        <v>187.11279999999999</v>
      </c>
      <c r="J4264">
        <v>243.5504</v>
      </c>
      <c r="K4264">
        <v>255.0556</v>
      </c>
      <c r="L4264">
        <v>115.411</v>
      </c>
      <c r="P4264">
        <v>130</v>
      </c>
      <c r="Q4264" t="s">
        <v>8872</v>
      </c>
    </row>
    <row r="4265" spans="1:17" x14ac:dyDescent="0.3">
      <c r="A4265" t="s">
        <v>4664</v>
      </c>
      <c r="B4265" t="str">
        <f>"300509"</f>
        <v>300509</v>
      </c>
      <c r="C4265" t="s">
        <v>8873</v>
      </c>
      <c r="D4265" t="s">
        <v>3388</v>
      </c>
      <c r="F4265">
        <v>677.04369999999994</v>
      </c>
      <c r="G4265">
        <v>580.53420000000006</v>
      </c>
      <c r="H4265">
        <v>563.64530000000002</v>
      </c>
      <c r="I4265">
        <v>627.50739999999996</v>
      </c>
      <c r="J4265">
        <v>551.19100000000003</v>
      </c>
      <c r="K4265">
        <v>542.6395</v>
      </c>
      <c r="L4265">
        <v>331.92290000000003</v>
      </c>
      <c r="P4265">
        <v>64</v>
      </c>
      <c r="Q4265" t="s">
        <v>8874</v>
      </c>
    </row>
    <row r="4266" spans="1:17" x14ac:dyDescent="0.3">
      <c r="A4266" t="s">
        <v>4664</v>
      </c>
      <c r="B4266" t="str">
        <f>"300510"</f>
        <v>300510</v>
      </c>
      <c r="C4266" t="s">
        <v>8875</v>
      </c>
      <c r="D4266" t="s">
        <v>610</v>
      </c>
      <c r="F4266">
        <v>126.69799999999999</v>
      </c>
      <c r="G4266">
        <v>197.8296</v>
      </c>
      <c r="H4266">
        <v>136.41820000000001</v>
      </c>
      <c r="I4266">
        <v>124.87179999999999</v>
      </c>
      <c r="J4266">
        <v>124.7646</v>
      </c>
      <c r="K4266">
        <v>127.2505</v>
      </c>
      <c r="L4266">
        <v>99.944100000000006</v>
      </c>
      <c r="P4266">
        <v>115</v>
      </c>
      <c r="Q4266" t="s">
        <v>8876</v>
      </c>
    </row>
    <row r="4267" spans="1:17" x14ac:dyDescent="0.3">
      <c r="A4267" t="s">
        <v>4664</v>
      </c>
      <c r="B4267" t="str">
        <f>"300511"</f>
        <v>300511</v>
      </c>
      <c r="C4267" t="s">
        <v>8877</v>
      </c>
      <c r="D4267" t="s">
        <v>7244</v>
      </c>
      <c r="F4267">
        <v>101.1259</v>
      </c>
      <c r="G4267">
        <v>108.14019999999999</v>
      </c>
      <c r="H4267">
        <v>100.5134</v>
      </c>
      <c r="I4267">
        <v>92.508300000000006</v>
      </c>
      <c r="J4267">
        <v>93.545299999999997</v>
      </c>
      <c r="K4267">
        <v>117.7544</v>
      </c>
      <c r="L4267">
        <v>36.669600000000003</v>
      </c>
      <c r="P4267">
        <v>301</v>
      </c>
      <c r="Q4267" t="s">
        <v>8878</v>
      </c>
    </row>
    <row r="4268" spans="1:17" x14ac:dyDescent="0.3">
      <c r="A4268" t="s">
        <v>4664</v>
      </c>
      <c r="B4268" t="str">
        <f>"300512"</f>
        <v>300512</v>
      </c>
      <c r="C4268" t="s">
        <v>8879</v>
      </c>
      <c r="D4268" t="s">
        <v>3388</v>
      </c>
      <c r="F4268">
        <v>528.53520000000003</v>
      </c>
      <c r="G4268">
        <v>531.32590000000005</v>
      </c>
      <c r="H4268">
        <v>604.92370000000005</v>
      </c>
      <c r="I4268">
        <v>746.74019999999996</v>
      </c>
      <c r="J4268">
        <v>728.928</v>
      </c>
      <c r="K4268">
        <v>672.70309999999995</v>
      </c>
      <c r="L4268">
        <v>231.87790000000001</v>
      </c>
      <c r="P4268">
        <v>161</v>
      </c>
      <c r="Q4268" t="s">
        <v>8880</v>
      </c>
    </row>
    <row r="4269" spans="1:17" x14ac:dyDescent="0.3">
      <c r="A4269" t="s">
        <v>4664</v>
      </c>
      <c r="B4269" t="str">
        <f>"300513"</f>
        <v>300513</v>
      </c>
      <c r="C4269" t="s">
        <v>8881</v>
      </c>
      <c r="D4269" t="s">
        <v>654</v>
      </c>
      <c r="F4269">
        <v>285.60410000000002</v>
      </c>
      <c r="G4269">
        <v>396.72199999999998</v>
      </c>
      <c r="H4269">
        <v>233.52350000000001</v>
      </c>
      <c r="I4269">
        <v>221.4375</v>
      </c>
      <c r="J4269">
        <v>296.4452</v>
      </c>
      <c r="K4269">
        <v>226.1223</v>
      </c>
      <c r="L4269">
        <v>99.537000000000006</v>
      </c>
      <c r="P4269">
        <v>160</v>
      </c>
      <c r="Q4269" t="s">
        <v>8882</v>
      </c>
    </row>
    <row r="4270" spans="1:17" x14ac:dyDescent="0.3">
      <c r="A4270" t="s">
        <v>4664</v>
      </c>
      <c r="B4270" t="str">
        <f>"300514"</f>
        <v>300514</v>
      </c>
      <c r="C4270" t="s">
        <v>8883</v>
      </c>
      <c r="D4270" t="s">
        <v>2171</v>
      </c>
      <c r="F4270">
        <v>109.09229999999999</v>
      </c>
      <c r="G4270">
        <v>125.0885</v>
      </c>
      <c r="H4270">
        <v>159.9605</v>
      </c>
      <c r="I4270">
        <v>271.1728</v>
      </c>
      <c r="J4270">
        <v>265.16840000000002</v>
      </c>
      <c r="K4270">
        <v>110.7543</v>
      </c>
      <c r="P4270">
        <v>148</v>
      </c>
      <c r="Q4270" t="s">
        <v>8884</v>
      </c>
    </row>
    <row r="4271" spans="1:17" x14ac:dyDescent="0.3">
      <c r="A4271" t="s">
        <v>4664</v>
      </c>
      <c r="B4271" t="str">
        <f>"300515"</f>
        <v>300515</v>
      </c>
      <c r="C4271" t="s">
        <v>8885</v>
      </c>
      <c r="D4271" t="s">
        <v>2551</v>
      </c>
      <c r="F4271">
        <v>404.58679999999998</v>
      </c>
      <c r="G4271">
        <v>384.05560000000003</v>
      </c>
      <c r="H4271">
        <v>350.27140000000003</v>
      </c>
      <c r="I4271">
        <v>280.88170000000002</v>
      </c>
      <c r="J4271">
        <v>252.3134</v>
      </c>
      <c r="K4271">
        <v>234.09790000000001</v>
      </c>
      <c r="L4271">
        <v>85.589100000000002</v>
      </c>
      <c r="P4271">
        <v>80</v>
      </c>
      <c r="Q4271" t="s">
        <v>8886</v>
      </c>
    </row>
    <row r="4272" spans="1:17" x14ac:dyDescent="0.3">
      <c r="A4272" t="s">
        <v>4664</v>
      </c>
      <c r="B4272" t="str">
        <f>"300516"</f>
        <v>300516</v>
      </c>
      <c r="C4272" t="s">
        <v>8887</v>
      </c>
      <c r="D4272" t="s">
        <v>651</v>
      </c>
      <c r="F4272">
        <v>302.11439999999999</v>
      </c>
      <c r="G4272">
        <v>744.52539999999999</v>
      </c>
      <c r="H4272">
        <v>494.4973</v>
      </c>
      <c r="I4272">
        <v>579.60270000000003</v>
      </c>
      <c r="J4272">
        <v>1086.9033999999999</v>
      </c>
      <c r="K4272">
        <v>632.2604</v>
      </c>
      <c r="L4272">
        <v>235.91419999999999</v>
      </c>
      <c r="P4272">
        <v>118</v>
      </c>
      <c r="Q4272" t="s">
        <v>8888</v>
      </c>
    </row>
    <row r="4273" spans="1:17" x14ac:dyDescent="0.3">
      <c r="A4273" t="s">
        <v>4664</v>
      </c>
      <c r="B4273" t="str">
        <f>"300517"</f>
        <v>300517</v>
      </c>
      <c r="C4273" t="s">
        <v>8889</v>
      </c>
      <c r="D4273" t="s">
        <v>978</v>
      </c>
      <c r="F4273">
        <v>204.64940000000001</v>
      </c>
      <c r="G4273">
        <v>248.99420000000001</v>
      </c>
      <c r="H4273">
        <v>359.79570000000001</v>
      </c>
      <c r="I4273">
        <v>338.86709999999999</v>
      </c>
      <c r="J4273">
        <v>344.5446</v>
      </c>
      <c r="K4273">
        <v>226.2741</v>
      </c>
      <c r="L4273">
        <v>97.651499999999999</v>
      </c>
      <c r="P4273">
        <v>76</v>
      </c>
      <c r="Q4273" t="s">
        <v>8890</v>
      </c>
    </row>
    <row r="4274" spans="1:17" x14ac:dyDescent="0.3">
      <c r="A4274" t="s">
        <v>4664</v>
      </c>
      <c r="B4274" t="str">
        <f>"300518"</f>
        <v>300518</v>
      </c>
      <c r="C4274" t="s">
        <v>8891</v>
      </c>
      <c r="D4274" t="s">
        <v>517</v>
      </c>
      <c r="F4274">
        <v>12.5214</v>
      </c>
      <c r="G4274">
        <v>0</v>
      </c>
      <c r="H4274">
        <v>0</v>
      </c>
      <c r="I4274">
        <v>0</v>
      </c>
      <c r="J4274">
        <v>7.8399999999999997E-2</v>
      </c>
      <c r="K4274">
        <v>0.1951</v>
      </c>
      <c r="L4274">
        <v>0</v>
      </c>
      <c r="P4274">
        <v>91</v>
      </c>
      <c r="Q4274" t="s">
        <v>8892</v>
      </c>
    </row>
    <row r="4275" spans="1:17" x14ac:dyDescent="0.3">
      <c r="A4275" t="s">
        <v>4664</v>
      </c>
      <c r="B4275" t="str">
        <f>"300519"</f>
        <v>300519</v>
      </c>
      <c r="C4275" t="s">
        <v>8893</v>
      </c>
      <c r="D4275" t="s">
        <v>188</v>
      </c>
      <c r="F4275">
        <v>137.31739999999999</v>
      </c>
      <c r="G4275">
        <v>174.3329</v>
      </c>
      <c r="H4275">
        <v>202.56219999999999</v>
      </c>
      <c r="I4275">
        <v>183.51830000000001</v>
      </c>
      <c r="J4275">
        <v>172.37090000000001</v>
      </c>
      <c r="K4275">
        <v>140.285</v>
      </c>
      <c r="L4275">
        <v>63.695999999999998</v>
      </c>
      <c r="P4275">
        <v>251</v>
      </c>
      <c r="Q4275" t="s">
        <v>8894</v>
      </c>
    </row>
    <row r="4276" spans="1:17" x14ac:dyDescent="0.3">
      <c r="A4276" t="s">
        <v>4664</v>
      </c>
      <c r="B4276" t="str">
        <f>"300520"</f>
        <v>300520</v>
      </c>
      <c r="C4276" t="s">
        <v>8895</v>
      </c>
      <c r="D4276" t="s">
        <v>945</v>
      </c>
      <c r="F4276">
        <v>144.3287</v>
      </c>
      <c r="G4276">
        <v>86.815399999999997</v>
      </c>
      <c r="H4276">
        <v>66.596000000000004</v>
      </c>
      <c r="I4276">
        <v>224.23570000000001</v>
      </c>
      <c r="J4276">
        <v>140.12039999999999</v>
      </c>
      <c r="K4276">
        <v>115.9384</v>
      </c>
      <c r="L4276">
        <v>48.216900000000003</v>
      </c>
      <c r="P4276">
        <v>255</v>
      </c>
      <c r="Q4276" t="s">
        <v>8896</v>
      </c>
    </row>
    <row r="4277" spans="1:17" x14ac:dyDescent="0.3">
      <c r="A4277" t="s">
        <v>4664</v>
      </c>
      <c r="B4277" t="str">
        <f>"300521"</f>
        <v>300521</v>
      </c>
      <c r="C4277" t="s">
        <v>8897</v>
      </c>
      <c r="D4277" t="s">
        <v>3388</v>
      </c>
      <c r="F4277">
        <v>450.79360000000003</v>
      </c>
      <c r="G4277">
        <v>491.89879999999999</v>
      </c>
      <c r="H4277">
        <v>368.0181</v>
      </c>
      <c r="I4277">
        <v>312.03489999999999</v>
      </c>
      <c r="J4277">
        <v>286.68459999999999</v>
      </c>
      <c r="K4277">
        <v>300.64510000000001</v>
      </c>
      <c r="L4277">
        <v>144.9675</v>
      </c>
      <c r="P4277">
        <v>57</v>
      </c>
      <c r="Q4277" t="s">
        <v>8898</v>
      </c>
    </row>
    <row r="4278" spans="1:17" x14ac:dyDescent="0.3">
      <c r="A4278" t="s">
        <v>4664</v>
      </c>
      <c r="B4278" t="str">
        <f>"300522"</f>
        <v>300522</v>
      </c>
      <c r="C4278" t="s">
        <v>8899</v>
      </c>
      <c r="D4278" t="s">
        <v>2570</v>
      </c>
      <c r="F4278">
        <v>103.66249999999999</v>
      </c>
      <c r="G4278">
        <v>127.9359</v>
      </c>
      <c r="H4278">
        <v>132.70750000000001</v>
      </c>
      <c r="I4278">
        <v>136.39599999999999</v>
      </c>
      <c r="J4278">
        <v>121.4006</v>
      </c>
      <c r="K4278">
        <v>89.19</v>
      </c>
      <c r="L4278">
        <v>61.738900000000001</v>
      </c>
      <c r="P4278">
        <v>99</v>
      </c>
      <c r="Q4278" t="s">
        <v>8900</v>
      </c>
    </row>
    <row r="4279" spans="1:17" x14ac:dyDescent="0.3">
      <c r="A4279" t="s">
        <v>4664</v>
      </c>
      <c r="B4279" t="str">
        <f>"300523"</f>
        <v>300523</v>
      </c>
      <c r="C4279" t="s">
        <v>8901</v>
      </c>
      <c r="D4279" t="s">
        <v>316</v>
      </c>
      <c r="F4279">
        <v>344.33359999999999</v>
      </c>
      <c r="G4279">
        <v>281.47660000000002</v>
      </c>
      <c r="H4279">
        <v>326.37400000000002</v>
      </c>
      <c r="I4279">
        <v>463.44630000000001</v>
      </c>
      <c r="J4279">
        <v>626.44069999999999</v>
      </c>
      <c r="K4279">
        <v>868.71429999999998</v>
      </c>
      <c r="L4279">
        <v>416.58109999999999</v>
      </c>
      <c r="P4279">
        <v>135</v>
      </c>
      <c r="Q4279" t="s">
        <v>8902</v>
      </c>
    </row>
    <row r="4280" spans="1:17" x14ac:dyDescent="0.3">
      <c r="A4280" t="s">
        <v>4664</v>
      </c>
      <c r="B4280" t="str">
        <f>"300525"</f>
        <v>300525</v>
      </c>
      <c r="C4280" t="s">
        <v>8903</v>
      </c>
      <c r="D4280" t="s">
        <v>945</v>
      </c>
      <c r="F4280">
        <v>65.185199999999995</v>
      </c>
      <c r="G4280">
        <v>76.669300000000007</v>
      </c>
      <c r="H4280">
        <v>116.947</v>
      </c>
      <c r="I4280">
        <v>79.913399999999996</v>
      </c>
      <c r="J4280">
        <v>92.822000000000003</v>
      </c>
      <c r="K4280">
        <v>130.7713</v>
      </c>
      <c r="L4280">
        <v>42.238100000000003</v>
      </c>
      <c r="P4280">
        <v>241</v>
      </c>
      <c r="Q4280" t="s">
        <v>8904</v>
      </c>
    </row>
    <row r="4281" spans="1:17" x14ac:dyDescent="0.3">
      <c r="A4281" t="s">
        <v>4664</v>
      </c>
      <c r="B4281" t="str">
        <f>"300526"</f>
        <v>300526</v>
      </c>
      <c r="C4281" t="s">
        <v>8905</v>
      </c>
      <c r="D4281" t="s">
        <v>330</v>
      </c>
      <c r="F4281">
        <v>362.13440000000003</v>
      </c>
      <c r="G4281">
        <v>207.0573</v>
      </c>
      <c r="H4281">
        <v>196.7732</v>
      </c>
      <c r="I4281">
        <v>203.68299999999999</v>
      </c>
      <c r="J4281">
        <v>175.63419999999999</v>
      </c>
      <c r="K4281">
        <v>168.1756</v>
      </c>
      <c r="L4281">
        <v>75.318899999999999</v>
      </c>
      <c r="P4281">
        <v>104</v>
      </c>
      <c r="Q4281" t="s">
        <v>8906</v>
      </c>
    </row>
    <row r="4282" spans="1:17" x14ac:dyDescent="0.3">
      <c r="A4282" t="s">
        <v>4664</v>
      </c>
      <c r="B4282" t="str">
        <f>"300527"</f>
        <v>300527</v>
      </c>
      <c r="C4282" t="s">
        <v>8907</v>
      </c>
      <c r="D4282" t="s">
        <v>428</v>
      </c>
      <c r="F4282">
        <v>149.78360000000001</v>
      </c>
      <c r="G4282">
        <v>345.6902</v>
      </c>
      <c r="H4282">
        <v>178.92660000000001</v>
      </c>
      <c r="I4282">
        <v>244.03880000000001</v>
      </c>
      <c r="J4282">
        <v>261.80880000000002</v>
      </c>
      <c r="K4282">
        <v>254.00729999999999</v>
      </c>
      <c r="L4282">
        <v>142.7431</v>
      </c>
      <c r="P4282">
        <v>144</v>
      </c>
      <c r="Q4282" t="s">
        <v>8908</v>
      </c>
    </row>
    <row r="4283" spans="1:17" x14ac:dyDescent="0.3">
      <c r="A4283" t="s">
        <v>4664</v>
      </c>
      <c r="B4283" t="str">
        <f>"300528"</f>
        <v>300528</v>
      </c>
      <c r="C4283" t="s">
        <v>8909</v>
      </c>
      <c r="D4283" t="s">
        <v>2558</v>
      </c>
      <c r="F4283">
        <v>882.62729999999999</v>
      </c>
      <c r="G4283">
        <v>1868.4480000000001</v>
      </c>
      <c r="H4283">
        <v>194.30279999999999</v>
      </c>
      <c r="I4283">
        <v>174.17330000000001</v>
      </c>
      <c r="J4283">
        <v>87.319699999999997</v>
      </c>
      <c r="K4283">
        <v>200.85380000000001</v>
      </c>
      <c r="L4283">
        <v>117.5929</v>
      </c>
      <c r="P4283">
        <v>81</v>
      </c>
      <c r="Q4283" t="s">
        <v>8910</v>
      </c>
    </row>
    <row r="4284" spans="1:17" x14ac:dyDescent="0.3">
      <c r="A4284" t="s">
        <v>4664</v>
      </c>
      <c r="B4284" t="str">
        <f>"300529"</f>
        <v>300529</v>
      </c>
      <c r="C4284" t="s">
        <v>8911</v>
      </c>
      <c r="D4284" t="s">
        <v>1077</v>
      </c>
      <c r="F4284">
        <v>207.02449999999999</v>
      </c>
      <c r="G4284">
        <v>207.0292</v>
      </c>
      <c r="H4284">
        <v>193.2638</v>
      </c>
      <c r="I4284">
        <v>177.2722</v>
      </c>
      <c r="J4284">
        <v>220.71559999999999</v>
      </c>
      <c r="K4284">
        <v>301.25450000000001</v>
      </c>
      <c r="L4284">
        <v>118.0575</v>
      </c>
      <c r="P4284">
        <v>5945</v>
      </c>
      <c r="Q4284" t="s">
        <v>8912</v>
      </c>
    </row>
    <row r="4285" spans="1:17" x14ac:dyDescent="0.3">
      <c r="A4285" t="s">
        <v>4664</v>
      </c>
      <c r="B4285" t="str">
        <f>"300530"</f>
        <v>300530</v>
      </c>
      <c r="C4285" t="s">
        <v>8913</v>
      </c>
      <c r="D4285" t="s">
        <v>386</v>
      </c>
      <c r="F4285">
        <v>205.72399999999999</v>
      </c>
      <c r="G4285">
        <v>241.49459999999999</v>
      </c>
      <c r="H4285">
        <v>119.3622</v>
      </c>
      <c r="I4285">
        <v>133.15309999999999</v>
      </c>
      <c r="J4285">
        <v>108.149</v>
      </c>
      <c r="K4285">
        <v>112.0078</v>
      </c>
      <c r="L4285">
        <v>63.667299999999997</v>
      </c>
      <c r="P4285">
        <v>64</v>
      </c>
      <c r="Q4285" t="s">
        <v>8914</v>
      </c>
    </row>
    <row r="4286" spans="1:17" x14ac:dyDescent="0.3">
      <c r="A4286" t="s">
        <v>4664</v>
      </c>
      <c r="B4286" t="str">
        <f>"300531"</f>
        <v>300531</v>
      </c>
      <c r="C4286" t="s">
        <v>8915</v>
      </c>
      <c r="D4286" t="s">
        <v>236</v>
      </c>
      <c r="F4286">
        <v>152.5471</v>
      </c>
      <c r="G4286">
        <v>192.16309999999999</v>
      </c>
      <c r="H4286">
        <v>168.1353</v>
      </c>
      <c r="I4286">
        <v>167.14859999999999</v>
      </c>
      <c r="J4286">
        <v>317.04930000000002</v>
      </c>
      <c r="K4286">
        <v>387.07040000000001</v>
      </c>
      <c r="L4286">
        <v>130.1643</v>
      </c>
      <c r="P4286">
        <v>173</v>
      </c>
      <c r="Q4286" t="s">
        <v>8916</v>
      </c>
    </row>
    <row r="4287" spans="1:17" x14ac:dyDescent="0.3">
      <c r="A4287" t="s">
        <v>4664</v>
      </c>
      <c r="B4287" t="str">
        <f>"300532"</f>
        <v>300532</v>
      </c>
      <c r="C4287" t="s">
        <v>8917</v>
      </c>
      <c r="D4287" t="s">
        <v>316</v>
      </c>
      <c r="F4287">
        <v>266.7296</v>
      </c>
      <c r="G4287">
        <v>412.85559999999998</v>
      </c>
      <c r="H4287">
        <v>193.36099999999999</v>
      </c>
      <c r="I4287">
        <v>183.20679999999999</v>
      </c>
      <c r="J4287">
        <v>91.579400000000007</v>
      </c>
      <c r="K4287">
        <v>180.64259999999999</v>
      </c>
      <c r="L4287">
        <v>92.578199999999995</v>
      </c>
      <c r="P4287">
        <v>220</v>
      </c>
      <c r="Q4287" t="s">
        <v>8918</v>
      </c>
    </row>
    <row r="4288" spans="1:17" x14ac:dyDescent="0.3">
      <c r="A4288" t="s">
        <v>4664</v>
      </c>
      <c r="B4288" t="str">
        <f>"300533"</f>
        <v>300533</v>
      </c>
      <c r="C4288" t="s">
        <v>8919</v>
      </c>
      <c r="D4288" t="s">
        <v>517</v>
      </c>
      <c r="F4288">
        <v>0</v>
      </c>
      <c r="G4288">
        <v>0</v>
      </c>
      <c r="H4288">
        <v>0</v>
      </c>
      <c r="I4288">
        <v>0</v>
      </c>
      <c r="J4288">
        <v>0</v>
      </c>
      <c r="K4288">
        <v>0</v>
      </c>
      <c r="L4288">
        <v>0</v>
      </c>
      <c r="P4288">
        <v>131</v>
      </c>
      <c r="Q4288" t="s">
        <v>8920</v>
      </c>
    </row>
    <row r="4289" spans="1:17" x14ac:dyDescent="0.3">
      <c r="A4289" t="s">
        <v>4664</v>
      </c>
      <c r="B4289" t="str">
        <f>"300534"</f>
        <v>300534</v>
      </c>
      <c r="C4289" t="s">
        <v>8921</v>
      </c>
      <c r="D4289" t="s">
        <v>188</v>
      </c>
      <c r="F4289">
        <v>156.2569</v>
      </c>
      <c r="G4289">
        <v>179.63589999999999</v>
      </c>
      <c r="H4289">
        <v>127.0578</v>
      </c>
      <c r="I4289">
        <v>92.429699999999997</v>
      </c>
      <c r="J4289">
        <v>68.429699999999997</v>
      </c>
      <c r="K4289">
        <v>99.709900000000005</v>
      </c>
      <c r="L4289">
        <v>86.201999999999998</v>
      </c>
      <c r="P4289">
        <v>109</v>
      </c>
      <c r="Q4289" t="s">
        <v>8922</v>
      </c>
    </row>
    <row r="4290" spans="1:17" x14ac:dyDescent="0.3">
      <c r="A4290" t="s">
        <v>4664</v>
      </c>
      <c r="B4290" t="str">
        <f>"300535"</f>
        <v>300535</v>
      </c>
      <c r="C4290" t="s">
        <v>8923</v>
      </c>
      <c r="D4290" t="s">
        <v>386</v>
      </c>
      <c r="F4290">
        <v>211.15620000000001</v>
      </c>
      <c r="G4290">
        <v>265.92509999999999</v>
      </c>
      <c r="H4290">
        <v>225.66210000000001</v>
      </c>
      <c r="I4290">
        <v>185.67910000000001</v>
      </c>
      <c r="J4290">
        <v>188.68379999999999</v>
      </c>
      <c r="K4290">
        <v>175.0069</v>
      </c>
      <c r="L4290">
        <v>111.5055</v>
      </c>
      <c r="P4290">
        <v>73</v>
      </c>
      <c r="Q4290" t="s">
        <v>8924</v>
      </c>
    </row>
    <row r="4291" spans="1:17" x14ac:dyDescent="0.3">
      <c r="A4291" t="s">
        <v>4664</v>
      </c>
      <c r="B4291" t="str">
        <f>"300536"</f>
        <v>300536</v>
      </c>
      <c r="C4291" t="s">
        <v>8925</v>
      </c>
      <c r="D4291" t="s">
        <v>2408</v>
      </c>
      <c r="F4291">
        <v>3.2212000000000001</v>
      </c>
      <c r="G4291">
        <v>756.76250000000005</v>
      </c>
      <c r="H4291">
        <v>732.20450000000005</v>
      </c>
      <c r="I4291">
        <v>577.58299999999997</v>
      </c>
      <c r="J4291">
        <v>507.36970000000002</v>
      </c>
      <c r="K4291">
        <v>393.30720000000002</v>
      </c>
      <c r="L4291">
        <v>192.08179999999999</v>
      </c>
      <c r="P4291">
        <v>63</v>
      </c>
      <c r="Q4291" t="s">
        <v>8926</v>
      </c>
    </row>
    <row r="4292" spans="1:17" x14ac:dyDescent="0.3">
      <c r="A4292" t="s">
        <v>4664</v>
      </c>
      <c r="B4292" t="str">
        <f>"300537"</f>
        <v>300537</v>
      </c>
      <c r="C4292" t="s">
        <v>8927</v>
      </c>
      <c r="D4292" t="s">
        <v>2399</v>
      </c>
      <c r="F4292">
        <v>127.8569</v>
      </c>
      <c r="G4292">
        <v>139.2526</v>
      </c>
      <c r="H4292">
        <v>138.57550000000001</v>
      </c>
      <c r="I4292">
        <v>150.17609999999999</v>
      </c>
      <c r="J4292">
        <v>159.04470000000001</v>
      </c>
      <c r="K4292">
        <v>153.38290000000001</v>
      </c>
      <c r="L4292">
        <v>76.9131</v>
      </c>
      <c r="P4292">
        <v>225</v>
      </c>
      <c r="Q4292" t="s">
        <v>8928</v>
      </c>
    </row>
    <row r="4293" spans="1:17" x14ac:dyDescent="0.3">
      <c r="A4293" t="s">
        <v>4664</v>
      </c>
      <c r="B4293" t="str">
        <f>"300538"</f>
        <v>300538</v>
      </c>
      <c r="C4293" t="s">
        <v>8929</v>
      </c>
      <c r="D4293" t="s">
        <v>341</v>
      </c>
      <c r="F4293">
        <v>17.7651</v>
      </c>
      <c r="G4293">
        <v>12.9564</v>
      </c>
      <c r="H4293">
        <v>23.3307</v>
      </c>
      <c r="I4293">
        <v>32.616900000000001</v>
      </c>
      <c r="J4293">
        <v>26.804099999999998</v>
      </c>
      <c r="K4293">
        <v>25.823399999999999</v>
      </c>
      <c r="L4293">
        <v>9.4025999999999996</v>
      </c>
      <c r="P4293">
        <v>186</v>
      </c>
      <c r="Q4293" t="s">
        <v>8930</v>
      </c>
    </row>
    <row r="4294" spans="1:17" x14ac:dyDescent="0.3">
      <c r="A4294" t="s">
        <v>4664</v>
      </c>
      <c r="B4294" t="str">
        <f>"300539"</f>
        <v>300539</v>
      </c>
      <c r="C4294" t="s">
        <v>8931</v>
      </c>
      <c r="D4294" t="s">
        <v>1192</v>
      </c>
      <c r="F4294">
        <v>167.13740000000001</v>
      </c>
      <c r="G4294">
        <v>188.79230000000001</v>
      </c>
      <c r="H4294">
        <v>182.52330000000001</v>
      </c>
      <c r="I4294">
        <v>175.5342</v>
      </c>
      <c r="J4294">
        <v>142.55359999999999</v>
      </c>
      <c r="K4294">
        <v>127.2748</v>
      </c>
      <c r="L4294">
        <v>62.362400000000001</v>
      </c>
      <c r="P4294">
        <v>84</v>
      </c>
      <c r="Q4294" t="s">
        <v>8932</v>
      </c>
    </row>
    <row r="4295" spans="1:17" x14ac:dyDescent="0.3">
      <c r="A4295" t="s">
        <v>4664</v>
      </c>
      <c r="B4295" t="str">
        <f>"300540"</f>
        <v>300540</v>
      </c>
      <c r="C4295" t="s">
        <v>8933</v>
      </c>
      <c r="D4295" t="s">
        <v>741</v>
      </c>
      <c r="F4295">
        <v>413.6857</v>
      </c>
      <c r="G4295">
        <v>262.2946</v>
      </c>
      <c r="H4295">
        <v>95.253</v>
      </c>
      <c r="I4295">
        <v>137.2741</v>
      </c>
      <c r="J4295">
        <v>149.47470000000001</v>
      </c>
      <c r="K4295">
        <v>137.4846</v>
      </c>
      <c r="L4295">
        <v>102.7236</v>
      </c>
      <c r="P4295">
        <v>65</v>
      </c>
      <c r="Q4295" t="s">
        <v>8934</v>
      </c>
    </row>
    <row r="4296" spans="1:17" x14ac:dyDescent="0.3">
      <c r="A4296" t="s">
        <v>4664</v>
      </c>
      <c r="B4296" t="str">
        <f>"300541"</f>
        <v>300541</v>
      </c>
      <c r="C4296" t="s">
        <v>8935</v>
      </c>
      <c r="D4296" t="s">
        <v>316</v>
      </c>
      <c r="F4296">
        <v>113.6935</v>
      </c>
      <c r="G4296">
        <v>162.59280000000001</v>
      </c>
      <c r="H4296">
        <v>145.6619</v>
      </c>
      <c r="I4296">
        <v>192.02330000000001</v>
      </c>
      <c r="J4296">
        <v>167.55699999999999</v>
      </c>
      <c r="K4296">
        <v>198.87190000000001</v>
      </c>
      <c r="L4296">
        <v>117.1202</v>
      </c>
      <c r="P4296">
        <v>177</v>
      </c>
      <c r="Q4296" t="s">
        <v>8936</v>
      </c>
    </row>
    <row r="4297" spans="1:17" x14ac:dyDescent="0.3">
      <c r="A4297" t="s">
        <v>4664</v>
      </c>
      <c r="B4297" t="str">
        <f>"300542"</f>
        <v>300542</v>
      </c>
      <c r="C4297" t="s">
        <v>8937</v>
      </c>
      <c r="D4297" t="s">
        <v>945</v>
      </c>
      <c r="F4297">
        <v>117.4546</v>
      </c>
      <c r="G4297">
        <v>58.7012</v>
      </c>
      <c r="H4297">
        <v>68.366399999999999</v>
      </c>
      <c r="I4297">
        <v>100.3777</v>
      </c>
      <c r="J4297">
        <v>51.0548</v>
      </c>
      <c r="K4297">
        <v>45.288600000000002</v>
      </c>
      <c r="L4297">
        <v>44.783499999999997</v>
      </c>
      <c r="P4297">
        <v>143</v>
      </c>
      <c r="Q4297" t="s">
        <v>8938</v>
      </c>
    </row>
    <row r="4298" spans="1:17" x14ac:dyDescent="0.3">
      <c r="A4298" t="s">
        <v>4664</v>
      </c>
      <c r="B4298" t="str">
        <f>"300543"</f>
        <v>300543</v>
      </c>
      <c r="C4298" t="s">
        <v>8939</v>
      </c>
      <c r="D4298" t="s">
        <v>313</v>
      </c>
      <c r="F4298">
        <v>142.11109999999999</v>
      </c>
      <c r="G4298">
        <v>136.10830000000001</v>
      </c>
      <c r="H4298">
        <v>118.29510000000001</v>
      </c>
      <c r="I4298">
        <v>129.66300000000001</v>
      </c>
      <c r="J4298">
        <v>96.063000000000002</v>
      </c>
      <c r="K4298">
        <v>88.225300000000004</v>
      </c>
      <c r="L4298">
        <v>32.857999999999997</v>
      </c>
      <c r="P4298">
        <v>152</v>
      </c>
      <c r="Q4298" t="s">
        <v>8940</v>
      </c>
    </row>
    <row r="4299" spans="1:17" x14ac:dyDescent="0.3">
      <c r="A4299" t="s">
        <v>4664</v>
      </c>
      <c r="B4299" t="str">
        <f>"300545"</f>
        <v>300545</v>
      </c>
      <c r="C4299" t="s">
        <v>8941</v>
      </c>
      <c r="D4299" t="s">
        <v>1117</v>
      </c>
      <c r="F4299">
        <v>314.27539999999999</v>
      </c>
      <c r="G4299">
        <v>308.36189999999999</v>
      </c>
      <c r="H4299">
        <v>379.66230000000002</v>
      </c>
      <c r="I4299">
        <v>336.74639999999999</v>
      </c>
      <c r="J4299">
        <v>251.7978</v>
      </c>
      <c r="K4299">
        <v>225.9042</v>
      </c>
      <c r="L4299">
        <v>174.1258</v>
      </c>
      <c r="P4299">
        <v>182</v>
      </c>
      <c r="Q4299" t="s">
        <v>8942</v>
      </c>
    </row>
    <row r="4300" spans="1:17" x14ac:dyDescent="0.3">
      <c r="A4300" t="s">
        <v>4664</v>
      </c>
      <c r="B4300" t="str">
        <f>"300546"</f>
        <v>300546</v>
      </c>
      <c r="C4300" t="s">
        <v>8943</v>
      </c>
      <c r="D4300" t="s">
        <v>236</v>
      </c>
      <c r="F4300">
        <v>351.77609999999999</v>
      </c>
      <c r="G4300">
        <v>504.44510000000002</v>
      </c>
      <c r="H4300">
        <v>299.62979999999999</v>
      </c>
      <c r="I4300">
        <v>385.49669999999998</v>
      </c>
      <c r="J4300">
        <v>354.12180000000001</v>
      </c>
      <c r="K4300">
        <v>321.34269999999998</v>
      </c>
      <c r="L4300">
        <v>128.35669999999999</v>
      </c>
      <c r="P4300">
        <v>196</v>
      </c>
      <c r="Q4300" t="s">
        <v>8944</v>
      </c>
    </row>
    <row r="4301" spans="1:17" x14ac:dyDescent="0.3">
      <c r="A4301" t="s">
        <v>4664</v>
      </c>
      <c r="B4301" t="str">
        <f>"300547"</f>
        <v>300547</v>
      </c>
      <c r="C4301" t="s">
        <v>8945</v>
      </c>
      <c r="D4301" t="s">
        <v>348</v>
      </c>
      <c r="F4301">
        <v>192.43299999999999</v>
      </c>
      <c r="G4301">
        <v>223.6585</v>
      </c>
      <c r="H4301">
        <v>243.74539999999999</v>
      </c>
      <c r="I4301">
        <v>203.66200000000001</v>
      </c>
      <c r="J4301">
        <v>163.43899999999999</v>
      </c>
      <c r="K4301">
        <v>186.30500000000001</v>
      </c>
      <c r="L4301">
        <v>110.2517</v>
      </c>
      <c r="P4301">
        <v>181</v>
      </c>
      <c r="Q4301" t="s">
        <v>8946</v>
      </c>
    </row>
    <row r="4302" spans="1:17" x14ac:dyDescent="0.3">
      <c r="A4302" t="s">
        <v>4664</v>
      </c>
      <c r="B4302" t="str">
        <f>"300548"</f>
        <v>300548</v>
      </c>
      <c r="C4302" t="s">
        <v>8947</v>
      </c>
      <c r="D4302" t="s">
        <v>1019</v>
      </c>
      <c r="F4302">
        <v>152.30459999999999</v>
      </c>
      <c r="G4302">
        <v>147.58459999999999</v>
      </c>
      <c r="H4302">
        <v>191.6232</v>
      </c>
      <c r="I4302">
        <v>240.51740000000001</v>
      </c>
      <c r="J4302">
        <v>187.76730000000001</v>
      </c>
      <c r="K4302">
        <v>149.95249999999999</v>
      </c>
      <c r="L4302">
        <v>55.9114</v>
      </c>
      <c r="P4302">
        <v>289</v>
      </c>
      <c r="Q4302" t="s">
        <v>8948</v>
      </c>
    </row>
    <row r="4303" spans="1:17" x14ac:dyDescent="0.3">
      <c r="A4303" t="s">
        <v>4664</v>
      </c>
      <c r="B4303" t="str">
        <f>"300549"</f>
        <v>300549</v>
      </c>
      <c r="C4303" t="s">
        <v>8949</v>
      </c>
      <c r="D4303" t="s">
        <v>741</v>
      </c>
      <c r="F4303">
        <v>144.83439999999999</v>
      </c>
      <c r="G4303">
        <v>172.2664</v>
      </c>
      <c r="H4303">
        <v>131.012</v>
      </c>
      <c r="I4303">
        <v>130.32259999999999</v>
      </c>
      <c r="J4303">
        <v>70.1541</v>
      </c>
      <c r="K4303">
        <v>81.144300000000001</v>
      </c>
      <c r="L4303">
        <v>48.473500000000001</v>
      </c>
      <c r="P4303">
        <v>92</v>
      </c>
      <c r="Q4303" t="s">
        <v>8950</v>
      </c>
    </row>
    <row r="4304" spans="1:17" x14ac:dyDescent="0.3">
      <c r="A4304" t="s">
        <v>4664</v>
      </c>
      <c r="B4304" t="str">
        <f>"300550"</f>
        <v>300550</v>
      </c>
      <c r="C4304" t="s">
        <v>8951</v>
      </c>
      <c r="D4304" t="s">
        <v>945</v>
      </c>
      <c r="F4304">
        <v>121.32389999999999</v>
      </c>
      <c r="G4304">
        <v>14.8825</v>
      </c>
      <c r="H4304">
        <v>9.4877000000000002</v>
      </c>
      <c r="I4304">
        <v>4.9923000000000002</v>
      </c>
      <c r="J4304">
        <v>1.1405000000000001</v>
      </c>
      <c r="K4304">
        <v>0.67169999999999996</v>
      </c>
      <c r="L4304">
        <v>43.966900000000003</v>
      </c>
      <c r="P4304">
        <v>123</v>
      </c>
      <c r="Q4304" t="s">
        <v>8952</v>
      </c>
    </row>
    <row r="4305" spans="1:17" x14ac:dyDescent="0.3">
      <c r="A4305" t="s">
        <v>4664</v>
      </c>
      <c r="B4305" t="str">
        <f>"300551"</f>
        <v>300551</v>
      </c>
      <c r="C4305" t="s">
        <v>8953</v>
      </c>
      <c r="D4305" t="s">
        <v>236</v>
      </c>
      <c r="F4305">
        <v>804.43309999999997</v>
      </c>
      <c r="G4305">
        <v>601.52089999999998</v>
      </c>
      <c r="H4305">
        <v>540.89179999999999</v>
      </c>
      <c r="I4305">
        <v>886.75040000000001</v>
      </c>
      <c r="J4305">
        <v>597.08119999999997</v>
      </c>
      <c r="K4305">
        <v>596.76469999999995</v>
      </c>
      <c r="L4305">
        <v>376.30529999999999</v>
      </c>
      <c r="P4305">
        <v>89</v>
      </c>
      <c r="Q4305" t="s">
        <v>8954</v>
      </c>
    </row>
    <row r="4306" spans="1:17" x14ac:dyDescent="0.3">
      <c r="A4306" t="s">
        <v>4664</v>
      </c>
      <c r="B4306" t="str">
        <f>"300552"</f>
        <v>300552</v>
      </c>
      <c r="C4306" t="s">
        <v>8955</v>
      </c>
      <c r="D4306" t="s">
        <v>236</v>
      </c>
      <c r="F4306">
        <v>400.38600000000002</v>
      </c>
      <c r="G4306">
        <v>444.3768</v>
      </c>
      <c r="H4306">
        <v>244.0891</v>
      </c>
      <c r="I4306">
        <v>214.2216</v>
      </c>
      <c r="J4306">
        <v>283.8372</v>
      </c>
      <c r="K4306">
        <v>227.54769999999999</v>
      </c>
      <c r="L4306">
        <v>163.3305</v>
      </c>
      <c r="P4306">
        <v>327</v>
      </c>
      <c r="Q4306" t="s">
        <v>8956</v>
      </c>
    </row>
    <row r="4307" spans="1:17" x14ac:dyDescent="0.3">
      <c r="A4307" t="s">
        <v>4664</v>
      </c>
      <c r="B4307" t="str">
        <f>"300553"</f>
        <v>300553</v>
      </c>
      <c r="C4307" t="s">
        <v>8957</v>
      </c>
      <c r="D4307" t="s">
        <v>2551</v>
      </c>
      <c r="F4307">
        <v>486.45310000000001</v>
      </c>
      <c r="G4307">
        <v>403.83249999999998</v>
      </c>
      <c r="H4307">
        <v>383.09589999999997</v>
      </c>
      <c r="I4307">
        <v>318.84449999999998</v>
      </c>
      <c r="J4307">
        <v>319.06020000000001</v>
      </c>
      <c r="K4307">
        <v>231.54390000000001</v>
      </c>
      <c r="L4307">
        <v>161.22989999999999</v>
      </c>
      <c r="P4307">
        <v>72</v>
      </c>
      <c r="Q4307" t="s">
        <v>8958</v>
      </c>
    </row>
    <row r="4308" spans="1:17" x14ac:dyDescent="0.3">
      <c r="A4308" t="s">
        <v>4664</v>
      </c>
      <c r="B4308" t="str">
        <f>"300554"</f>
        <v>300554</v>
      </c>
      <c r="C4308" t="s">
        <v>8959</v>
      </c>
      <c r="D4308" t="s">
        <v>404</v>
      </c>
      <c r="F4308">
        <v>206.9254</v>
      </c>
      <c r="G4308">
        <v>204.52809999999999</v>
      </c>
      <c r="H4308">
        <v>199.04499999999999</v>
      </c>
      <c r="I4308">
        <v>179.21420000000001</v>
      </c>
      <c r="J4308">
        <v>179.56059999999999</v>
      </c>
      <c r="K4308">
        <v>126.7324</v>
      </c>
      <c r="P4308">
        <v>123</v>
      </c>
      <c r="Q4308" t="s">
        <v>8960</v>
      </c>
    </row>
    <row r="4309" spans="1:17" x14ac:dyDescent="0.3">
      <c r="A4309" t="s">
        <v>4664</v>
      </c>
      <c r="B4309" t="str">
        <f>"300555"</f>
        <v>300555</v>
      </c>
      <c r="C4309" t="s">
        <v>8961</v>
      </c>
      <c r="D4309" t="s">
        <v>786</v>
      </c>
      <c r="F4309">
        <v>236.01920000000001</v>
      </c>
      <c r="G4309">
        <v>173.0395</v>
      </c>
      <c r="H4309">
        <v>190.89660000000001</v>
      </c>
      <c r="I4309">
        <v>163.0669</v>
      </c>
      <c r="J4309">
        <v>109.47880000000001</v>
      </c>
      <c r="K4309">
        <v>115.3266</v>
      </c>
      <c r="L4309">
        <v>56.769300000000001</v>
      </c>
      <c r="P4309">
        <v>72</v>
      </c>
      <c r="Q4309" t="s">
        <v>8962</v>
      </c>
    </row>
    <row r="4310" spans="1:17" x14ac:dyDescent="0.3">
      <c r="A4310" t="s">
        <v>4664</v>
      </c>
      <c r="B4310" t="str">
        <f>"300556"</f>
        <v>300556</v>
      </c>
      <c r="C4310" t="s">
        <v>8963</v>
      </c>
      <c r="D4310" t="s">
        <v>945</v>
      </c>
      <c r="F4310">
        <v>23.330500000000001</v>
      </c>
      <c r="G4310">
        <v>23.8551</v>
      </c>
      <c r="H4310">
        <v>26.701899999999998</v>
      </c>
      <c r="I4310">
        <v>27.808800000000002</v>
      </c>
      <c r="J4310">
        <v>16.7319</v>
      </c>
      <c r="K4310">
        <v>19.411799999999999</v>
      </c>
      <c r="L4310">
        <v>12.8269</v>
      </c>
      <c r="P4310">
        <v>112</v>
      </c>
      <c r="Q4310" t="s">
        <v>8964</v>
      </c>
    </row>
    <row r="4311" spans="1:17" x14ac:dyDescent="0.3">
      <c r="A4311" t="s">
        <v>4664</v>
      </c>
      <c r="B4311" t="str">
        <f>"300557"</f>
        <v>300557</v>
      </c>
      <c r="C4311" t="s">
        <v>8965</v>
      </c>
      <c r="D4311" t="s">
        <v>2551</v>
      </c>
      <c r="F4311">
        <v>471.9828</v>
      </c>
      <c r="G4311">
        <v>1033.4639</v>
      </c>
      <c r="H4311">
        <v>1120.9675999999999</v>
      </c>
      <c r="I4311">
        <v>927.47910000000002</v>
      </c>
      <c r="J4311">
        <v>210.46889999999999</v>
      </c>
      <c r="K4311">
        <v>287.13229999999999</v>
      </c>
      <c r="L4311">
        <v>231.68279999999999</v>
      </c>
      <c r="P4311">
        <v>61</v>
      </c>
      <c r="Q4311" t="s">
        <v>8966</v>
      </c>
    </row>
    <row r="4312" spans="1:17" x14ac:dyDescent="0.3">
      <c r="A4312" t="s">
        <v>4664</v>
      </c>
      <c r="B4312" t="str">
        <f>"300558"</f>
        <v>300558</v>
      </c>
      <c r="C4312" t="s">
        <v>8967</v>
      </c>
      <c r="D4312" t="s">
        <v>143</v>
      </c>
      <c r="F4312">
        <v>676.26480000000004</v>
      </c>
      <c r="G4312">
        <v>492.58789999999999</v>
      </c>
      <c r="H4312">
        <v>602.15549999999996</v>
      </c>
      <c r="I4312">
        <v>1025.7538999999999</v>
      </c>
      <c r="J4312">
        <v>972.52769999999998</v>
      </c>
      <c r="K4312">
        <v>877.53200000000004</v>
      </c>
      <c r="L4312">
        <v>284.75409999999999</v>
      </c>
      <c r="P4312">
        <v>756</v>
      </c>
      <c r="Q4312" t="s">
        <v>8968</v>
      </c>
    </row>
    <row r="4313" spans="1:17" x14ac:dyDescent="0.3">
      <c r="A4313" t="s">
        <v>4664</v>
      </c>
      <c r="B4313" t="str">
        <f>"300559"</f>
        <v>300559</v>
      </c>
      <c r="C4313" t="s">
        <v>8969</v>
      </c>
      <c r="D4313" t="s">
        <v>945</v>
      </c>
      <c r="F4313">
        <v>185.16720000000001</v>
      </c>
      <c r="G4313">
        <v>141.8398</v>
      </c>
      <c r="H4313">
        <v>132.23429999999999</v>
      </c>
      <c r="I4313">
        <v>152.32220000000001</v>
      </c>
      <c r="J4313">
        <v>169.16200000000001</v>
      </c>
      <c r="K4313">
        <v>181.70490000000001</v>
      </c>
      <c r="L4313">
        <v>95.796099999999996</v>
      </c>
      <c r="P4313">
        <v>369</v>
      </c>
      <c r="Q4313" t="s">
        <v>8970</v>
      </c>
    </row>
    <row r="4314" spans="1:17" x14ac:dyDescent="0.3">
      <c r="A4314" t="s">
        <v>4664</v>
      </c>
      <c r="B4314" t="str">
        <f>"300560"</f>
        <v>300560</v>
      </c>
      <c r="C4314" t="s">
        <v>8971</v>
      </c>
      <c r="D4314" t="s">
        <v>654</v>
      </c>
      <c r="F4314">
        <v>40.887700000000002</v>
      </c>
      <c r="G4314">
        <v>38.627800000000001</v>
      </c>
      <c r="H4314">
        <v>38.4343</v>
      </c>
      <c r="I4314">
        <v>1.0423</v>
      </c>
      <c r="J4314">
        <v>7.9649999999999999</v>
      </c>
      <c r="K4314">
        <v>0</v>
      </c>
      <c r="L4314">
        <v>0</v>
      </c>
      <c r="P4314">
        <v>192</v>
      </c>
      <c r="Q4314" t="s">
        <v>8972</v>
      </c>
    </row>
    <row r="4315" spans="1:17" x14ac:dyDescent="0.3">
      <c r="A4315" t="s">
        <v>4664</v>
      </c>
      <c r="B4315" t="str">
        <f>"300561"</f>
        <v>300561</v>
      </c>
      <c r="C4315" t="s">
        <v>8973</v>
      </c>
      <c r="D4315" t="s">
        <v>945</v>
      </c>
      <c r="F4315">
        <v>278.2756</v>
      </c>
      <c r="G4315">
        <v>283.29419999999999</v>
      </c>
      <c r="H4315">
        <v>335.79809999999998</v>
      </c>
      <c r="I4315">
        <v>427.61040000000003</v>
      </c>
      <c r="J4315">
        <v>547.07429999999999</v>
      </c>
      <c r="K4315">
        <v>582.11490000000003</v>
      </c>
      <c r="L4315">
        <v>197.1763</v>
      </c>
      <c r="P4315">
        <v>114</v>
      </c>
      <c r="Q4315" t="s">
        <v>8974</v>
      </c>
    </row>
    <row r="4316" spans="1:17" x14ac:dyDescent="0.3">
      <c r="A4316" t="s">
        <v>4664</v>
      </c>
      <c r="B4316" t="str">
        <f>"300562"</f>
        <v>300562</v>
      </c>
      <c r="C4316" t="s">
        <v>8975</v>
      </c>
      <c r="D4316" t="s">
        <v>122</v>
      </c>
      <c r="F4316">
        <v>94.230800000000002</v>
      </c>
      <c r="G4316">
        <v>75.4739</v>
      </c>
      <c r="H4316">
        <v>67.140699999999995</v>
      </c>
      <c r="I4316">
        <v>79.168800000000005</v>
      </c>
      <c r="J4316">
        <v>55.535899999999998</v>
      </c>
      <c r="K4316">
        <v>19.114599999999999</v>
      </c>
      <c r="P4316">
        <v>155</v>
      </c>
      <c r="Q4316" t="s">
        <v>8976</v>
      </c>
    </row>
    <row r="4317" spans="1:17" x14ac:dyDescent="0.3">
      <c r="A4317" t="s">
        <v>4664</v>
      </c>
      <c r="B4317" t="str">
        <f>"300563"</f>
        <v>300563</v>
      </c>
      <c r="C4317" t="s">
        <v>8977</v>
      </c>
      <c r="D4317" t="s">
        <v>250</v>
      </c>
      <c r="F4317">
        <v>82.975899999999996</v>
      </c>
      <c r="G4317">
        <v>110.0501</v>
      </c>
      <c r="H4317">
        <v>133.09200000000001</v>
      </c>
      <c r="I4317">
        <v>144.76150000000001</v>
      </c>
      <c r="J4317">
        <v>128.94640000000001</v>
      </c>
      <c r="K4317">
        <v>75.375799999999998</v>
      </c>
      <c r="L4317">
        <v>57.415399999999998</v>
      </c>
      <c r="P4317">
        <v>144</v>
      </c>
      <c r="Q4317" t="s">
        <v>8978</v>
      </c>
    </row>
    <row r="4318" spans="1:17" x14ac:dyDescent="0.3">
      <c r="A4318" t="s">
        <v>4664</v>
      </c>
      <c r="B4318" t="str">
        <f>"300564"</f>
        <v>300564</v>
      </c>
      <c r="C4318" t="s">
        <v>8979</v>
      </c>
      <c r="D4318" t="s">
        <v>1272</v>
      </c>
      <c r="F4318">
        <v>0</v>
      </c>
      <c r="G4318">
        <v>0</v>
      </c>
      <c r="H4318">
        <v>0</v>
      </c>
      <c r="P4318">
        <v>211</v>
      </c>
      <c r="Q4318" t="s">
        <v>8980</v>
      </c>
    </row>
    <row r="4319" spans="1:17" x14ac:dyDescent="0.3">
      <c r="A4319" t="s">
        <v>4664</v>
      </c>
      <c r="B4319" t="str">
        <f>"300565"</f>
        <v>300565</v>
      </c>
      <c r="C4319" t="s">
        <v>8981</v>
      </c>
      <c r="D4319" t="s">
        <v>1019</v>
      </c>
      <c r="F4319">
        <v>115.7548</v>
      </c>
      <c r="G4319">
        <v>100.2533</v>
      </c>
      <c r="H4319">
        <v>169.93049999999999</v>
      </c>
      <c r="I4319">
        <v>176.16499999999999</v>
      </c>
      <c r="J4319">
        <v>261.13630000000001</v>
      </c>
      <c r="K4319">
        <v>315.3184</v>
      </c>
      <c r="L4319">
        <v>98.732100000000003</v>
      </c>
      <c r="P4319">
        <v>113</v>
      </c>
      <c r="Q4319" t="s">
        <v>8982</v>
      </c>
    </row>
    <row r="4320" spans="1:17" x14ac:dyDescent="0.3">
      <c r="A4320" t="s">
        <v>4664</v>
      </c>
      <c r="B4320" t="str">
        <f>"300566"</f>
        <v>300566</v>
      </c>
      <c r="C4320" t="s">
        <v>8983</v>
      </c>
      <c r="D4320" t="s">
        <v>164</v>
      </c>
      <c r="F4320">
        <v>140.322</v>
      </c>
      <c r="G4320">
        <v>123.20269999999999</v>
      </c>
      <c r="H4320">
        <v>163.17619999999999</v>
      </c>
      <c r="I4320">
        <v>156.66890000000001</v>
      </c>
      <c r="J4320">
        <v>136.20599999999999</v>
      </c>
      <c r="K4320">
        <v>114.2315</v>
      </c>
      <c r="L4320">
        <v>64.702500000000001</v>
      </c>
      <c r="P4320">
        <v>197</v>
      </c>
      <c r="Q4320" t="s">
        <v>8984</v>
      </c>
    </row>
    <row r="4321" spans="1:17" x14ac:dyDescent="0.3">
      <c r="A4321" t="s">
        <v>4664</v>
      </c>
      <c r="B4321" t="str">
        <f>"300567"</f>
        <v>300567</v>
      </c>
      <c r="C4321" t="s">
        <v>8985</v>
      </c>
      <c r="D4321" t="s">
        <v>2551</v>
      </c>
      <c r="F4321">
        <v>323.9991</v>
      </c>
      <c r="G4321">
        <v>490.851</v>
      </c>
      <c r="H4321">
        <v>225.41929999999999</v>
      </c>
      <c r="I4321">
        <v>232.48150000000001</v>
      </c>
      <c r="J4321">
        <v>230.12219999999999</v>
      </c>
      <c r="K4321">
        <v>124.08759999999999</v>
      </c>
      <c r="L4321">
        <v>79.288399999999996</v>
      </c>
      <c r="P4321">
        <v>1242</v>
      </c>
      <c r="Q4321" t="s">
        <v>8986</v>
      </c>
    </row>
    <row r="4322" spans="1:17" x14ac:dyDescent="0.3">
      <c r="A4322" t="s">
        <v>4664</v>
      </c>
      <c r="B4322" t="str">
        <f>"300568"</f>
        <v>300568</v>
      </c>
      <c r="C4322" t="s">
        <v>8987</v>
      </c>
      <c r="D4322" t="s">
        <v>1786</v>
      </c>
      <c r="F4322">
        <v>92.701999999999998</v>
      </c>
      <c r="G4322">
        <v>173.94589999999999</v>
      </c>
      <c r="H4322">
        <v>181.19290000000001</v>
      </c>
      <c r="I4322">
        <v>142.82859999999999</v>
      </c>
      <c r="J4322">
        <v>81.632199999999997</v>
      </c>
      <c r="K4322">
        <v>74.275899999999993</v>
      </c>
      <c r="L4322">
        <v>41.134900000000002</v>
      </c>
      <c r="P4322">
        <v>474</v>
      </c>
      <c r="Q4322" t="s">
        <v>8988</v>
      </c>
    </row>
    <row r="4323" spans="1:17" x14ac:dyDescent="0.3">
      <c r="A4323" t="s">
        <v>4664</v>
      </c>
      <c r="B4323" t="str">
        <f>"300569"</f>
        <v>300569</v>
      </c>
      <c r="C4323" t="s">
        <v>8989</v>
      </c>
      <c r="D4323" t="s">
        <v>950</v>
      </c>
      <c r="F4323">
        <v>259.70080000000002</v>
      </c>
      <c r="G4323">
        <v>278.54719999999998</v>
      </c>
      <c r="H4323">
        <v>309.99009999999998</v>
      </c>
      <c r="I4323">
        <v>421.9246</v>
      </c>
      <c r="J4323">
        <v>386.57729999999998</v>
      </c>
      <c r="K4323">
        <v>292.06580000000002</v>
      </c>
      <c r="L4323">
        <v>163.61879999999999</v>
      </c>
      <c r="P4323">
        <v>201</v>
      </c>
      <c r="Q4323" t="s">
        <v>8990</v>
      </c>
    </row>
    <row r="4324" spans="1:17" x14ac:dyDescent="0.3">
      <c r="A4324" t="s">
        <v>4664</v>
      </c>
      <c r="B4324" t="str">
        <f>"300570"</f>
        <v>300570</v>
      </c>
      <c r="C4324" t="s">
        <v>8991</v>
      </c>
      <c r="D4324" t="s">
        <v>1019</v>
      </c>
      <c r="F4324">
        <v>163.91</v>
      </c>
      <c r="G4324">
        <v>239.23050000000001</v>
      </c>
      <c r="H4324">
        <v>134.34450000000001</v>
      </c>
      <c r="I4324">
        <v>130.45869999999999</v>
      </c>
      <c r="J4324">
        <v>111.8797</v>
      </c>
      <c r="K4324">
        <v>121.1927</v>
      </c>
      <c r="P4324">
        <v>229</v>
      </c>
      <c r="Q4324" t="s">
        <v>8992</v>
      </c>
    </row>
    <row r="4325" spans="1:17" x14ac:dyDescent="0.3">
      <c r="A4325" t="s">
        <v>4664</v>
      </c>
      <c r="B4325" t="str">
        <f>"300571"</f>
        <v>300571</v>
      </c>
      <c r="C4325" t="s">
        <v>8993</v>
      </c>
      <c r="D4325" t="s">
        <v>5597</v>
      </c>
      <c r="F4325">
        <v>34.660899999999998</v>
      </c>
      <c r="G4325">
        <v>41.844799999999999</v>
      </c>
      <c r="H4325">
        <v>46.703000000000003</v>
      </c>
      <c r="I4325">
        <v>4.7816000000000001</v>
      </c>
      <c r="J4325">
        <v>0</v>
      </c>
      <c r="K4325">
        <v>0</v>
      </c>
      <c r="L4325">
        <v>0</v>
      </c>
      <c r="P4325">
        <v>2111</v>
      </c>
      <c r="Q4325" t="s">
        <v>8994</v>
      </c>
    </row>
    <row r="4326" spans="1:17" x14ac:dyDescent="0.3">
      <c r="A4326" t="s">
        <v>4664</v>
      </c>
      <c r="B4326" t="str">
        <f>"300572"</f>
        <v>300572</v>
      </c>
      <c r="C4326" t="s">
        <v>8995</v>
      </c>
      <c r="D4326" t="s">
        <v>2499</v>
      </c>
      <c r="F4326">
        <v>289.92809999999997</v>
      </c>
      <c r="G4326">
        <v>175.19890000000001</v>
      </c>
      <c r="H4326">
        <v>248.33320000000001</v>
      </c>
      <c r="I4326">
        <v>407.74590000000001</v>
      </c>
      <c r="J4326">
        <v>452.58019999999999</v>
      </c>
      <c r="K4326">
        <v>399.15690000000001</v>
      </c>
      <c r="L4326">
        <v>171.5865</v>
      </c>
      <c r="P4326">
        <v>466</v>
      </c>
      <c r="Q4326" t="s">
        <v>8996</v>
      </c>
    </row>
    <row r="4327" spans="1:17" x14ac:dyDescent="0.3">
      <c r="A4327" t="s">
        <v>4664</v>
      </c>
      <c r="B4327" t="str">
        <f>"300573"</f>
        <v>300573</v>
      </c>
      <c r="C4327" t="s">
        <v>8997</v>
      </c>
      <c r="D4327" t="s">
        <v>143</v>
      </c>
      <c r="F4327">
        <v>158.4639</v>
      </c>
      <c r="G4327">
        <v>207.9058</v>
      </c>
      <c r="H4327">
        <v>205.2927</v>
      </c>
      <c r="I4327">
        <v>179.05840000000001</v>
      </c>
      <c r="J4327">
        <v>259.76710000000003</v>
      </c>
      <c r="K4327">
        <v>212.0361</v>
      </c>
      <c r="P4327">
        <v>315</v>
      </c>
      <c r="Q4327" t="s">
        <v>8998</v>
      </c>
    </row>
    <row r="4328" spans="1:17" x14ac:dyDescent="0.3">
      <c r="A4328" t="s">
        <v>4664</v>
      </c>
      <c r="B4328" t="str">
        <f>"300575"</f>
        <v>300575</v>
      </c>
      <c r="C4328" t="s">
        <v>8999</v>
      </c>
      <c r="D4328" t="s">
        <v>853</v>
      </c>
      <c r="F4328">
        <v>69.723100000000002</v>
      </c>
      <c r="G4328">
        <v>79.068399999999997</v>
      </c>
      <c r="H4328">
        <v>104.6494</v>
      </c>
      <c r="I4328">
        <v>72.782700000000006</v>
      </c>
      <c r="J4328">
        <v>86.340299999999999</v>
      </c>
      <c r="K4328">
        <v>121.0254</v>
      </c>
      <c r="L4328">
        <v>65.2714</v>
      </c>
      <c r="P4328">
        <v>187</v>
      </c>
      <c r="Q4328" t="s">
        <v>9000</v>
      </c>
    </row>
    <row r="4329" spans="1:17" x14ac:dyDescent="0.3">
      <c r="A4329" t="s">
        <v>4664</v>
      </c>
      <c r="B4329" t="str">
        <f>"300576"</f>
        <v>300576</v>
      </c>
      <c r="C4329" t="s">
        <v>9001</v>
      </c>
      <c r="D4329" t="s">
        <v>2399</v>
      </c>
      <c r="F4329">
        <v>97.093199999999996</v>
      </c>
      <c r="G4329">
        <v>117.2627</v>
      </c>
      <c r="H4329">
        <v>111.721</v>
      </c>
      <c r="I4329">
        <v>98.690100000000001</v>
      </c>
      <c r="J4329">
        <v>107.6469</v>
      </c>
      <c r="K4329">
        <v>100.9718</v>
      </c>
      <c r="L4329">
        <v>51.661999999999999</v>
      </c>
      <c r="P4329">
        <v>189</v>
      </c>
      <c r="Q4329" t="s">
        <v>9002</v>
      </c>
    </row>
    <row r="4330" spans="1:17" x14ac:dyDescent="0.3">
      <c r="A4330" t="s">
        <v>4664</v>
      </c>
      <c r="B4330" t="str">
        <f>"300577"</f>
        <v>300577</v>
      </c>
      <c r="C4330" t="s">
        <v>9003</v>
      </c>
      <c r="D4330" t="s">
        <v>330</v>
      </c>
      <c r="F4330">
        <v>147.4888</v>
      </c>
      <c r="G4330">
        <v>154.4496</v>
      </c>
      <c r="H4330">
        <v>106.97790000000001</v>
      </c>
      <c r="I4330">
        <v>98.824200000000005</v>
      </c>
      <c r="J4330">
        <v>79.952399999999997</v>
      </c>
      <c r="K4330">
        <v>73.726500000000001</v>
      </c>
      <c r="L4330">
        <v>46.339500000000001</v>
      </c>
      <c r="P4330">
        <v>486</v>
      </c>
      <c r="Q4330" t="s">
        <v>9004</v>
      </c>
    </row>
    <row r="4331" spans="1:17" x14ac:dyDescent="0.3">
      <c r="A4331" t="s">
        <v>4664</v>
      </c>
      <c r="B4331" t="str">
        <f>"300578"</f>
        <v>300578</v>
      </c>
      <c r="C4331" t="s">
        <v>9005</v>
      </c>
      <c r="D4331" t="s">
        <v>5597</v>
      </c>
      <c r="F4331">
        <v>200.24950000000001</v>
      </c>
      <c r="G4331">
        <v>147.7927</v>
      </c>
      <c r="H4331">
        <v>81.405900000000003</v>
      </c>
      <c r="I4331">
        <v>10.3581</v>
      </c>
      <c r="J4331">
        <v>2.1415000000000002</v>
      </c>
      <c r="K4331">
        <v>0.25519999999999998</v>
      </c>
      <c r="P4331">
        <v>305</v>
      </c>
      <c r="Q4331" t="s">
        <v>9006</v>
      </c>
    </row>
    <row r="4332" spans="1:17" x14ac:dyDescent="0.3">
      <c r="A4332" t="s">
        <v>4664</v>
      </c>
      <c r="B4332" t="str">
        <f>"300579"</f>
        <v>300579</v>
      </c>
      <c r="C4332" t="s">
        <v>9007</v>
      </c>
      <c r="D4332" t="s">
        <v>945</v>
      </c>
      <c r="F4332">
        <v>441.21480000000003</v>
      </c>
      <c r="G4332">
        <v>421.9855</v>
      </c>
      <c r="H4332">
        <v>386.9101</v>
      </c>
      <c r="I4332">
        <v>304.63810000000001</v>
      </c>
      <c r="J4332">
        <v>221.5257</v>
      </c>
      <c r="K4332">
        <v>168.6842</v>
      </c>
      <c r="L4332">
        <v>88.651899999999998</v>
      </c>
      <c r="P4332">
        <v>335</v>
      </c>
      <c r="Q4332" t="s">
        <v>9008</v>
      </c>
    </row>
    <row r="4333" spans="1:17" x14ac:dyDescent="0.3">
      <c r="A4333" t="s">
        <v>4664</v>
      </c>
      <c r="B4333" t="str">
        <f>"300580"</f>
        <v>300580</v>
      </c>
      <c r="C4333" t="s">
        <v>9009</v>
      </c>
      <c r="D4333" t="s">
        <v>348</v>
      </c>
      <c r="F4333">
        <v>138.95820000000001</v>
      </c>
      <c r="G4333">
        <v>140.29949999999999</v>
      </c>
      <c r="H4333">
        <v>218.65780000000001</v>
      </c>
      <c r="I4333">
        <v>189.98570000000001</v>
      </c>
      <c r="J4333">
        <v>173.28280000000001</v>
      </c>
      <c r="K4333">
        <v>191.41409999999999</v>
      </c>
      <c r="L4333">
        <v>80.680999999999997</v>
      </c>
      <c r="P4333">
        <v>148</v>
      </c>
      <c r="Q4333" t="s">
        <v>9010</v>
      </c>
    </row>
    <row r="4334" spans="1:17" x14ac:dyDescent="0.3">
      <c r="A4334" t="s">
        <v>4664</v>
      </c>
      <c r="B4334" t="str">
        <f>"300581"</f>
        <v>300581</v>
      </c>
      <c r="C4334" t="s">
        <v>9011</v>
      </c>
      <c r="D4334" t="s">
        <v>98</v>
      </c>
      <c r="F4334">
        <v>1055.2947999999999</v>
      </c>
      <c r="G4334">
        <v>1137.3409999999999</v>
      </c>
      <c r="H4334">
        <v>893.62270000000001</v>
      </c>
      <c r="I4334">
        <v>1364.8348000000001</v>
      </c>
      <c r="J4334">
        <v>762.27599999999995</v>
      </c>
      <c r="K4334">
        <v>720.84389999999996</v>
      </c>
      <c r="L4334">
        <v>388.09800000000001</v>
      </c>
      <c r="P4334">
        <v>151</v>
      </c>
      <c r="Q4334" t="s">
        <v>9012</v>
      </c>
    </row>
    <row r="4335" spans="1:17" x14ac:dyDescent="0.3">
      <c r="A4335" t="s">
        <v>4664</v>
      </c>
      <c r="B4335" t="str">
        <f>"300582"</f>
        <v>300582</v>
      </c>
      <c r="C4335" t="s">
        <v>9013</v>
      </c>
      <c r="D4335" t="s">
        <v>803</v>
      </c>
      <c r="F4335">
        <v>135.2876</v>
      </c>
      <c r="G4335">
        <v>112.24890000000001</v>
      </c>
      <c r="H4335">
        <v>109.1778</v>
      </c>
      <c r="I4335">
        <v>129.21629999999999</v>
      </c>
      <c r="J4335">
        <v>103.1651</v>
      </c>
      <c r="K4335">
        <v>77.207800000000006</v>
      </c>
      <c r="L4335">
        <v>33.307899999999997</v>
      </c>
      <c r="P4335">
        <v>152</v>
      </c>
      <c r="Q4335" t="s">
        <v>9014</v>
      </c>
    </row>
    <row r="4336" spans="1:17" x14ac:dyDescent="0.3">
      <c r="A4336" t="s">
        <v>4664</v>
      </c>
      <c r="B4336" t="str">
        <f>"300583"</f>
        <v>300583</v>
      </c>
      <c r="C4336" t="s">
        <v>9015</v>
      </c>
      <c r="D4336" t="s">
        <v>496</v>
      </c>
      <c r="F4336">
        <v>284.6977</v>
      </c>
      <c r="G4336">
        <v>357.4196</v>
      </c>
      <c r="H4336">
        <v>406.80700000000002</v>
      </c>
      <c r="I4336">
        <v>200.22149999999999</v>
      </c>
      <c r="J4336">
        <v>148.0778</v>
      </c>
      <c r="K4336">
        <v>103.7246</v>
      </c>
      <c r="P4336">
        <v>76</v>
      </c>
      <c r="Q4336" t="s">
        <v>9016</v>
      </c>
    </row>
    <row r="4337" spans="1:17" x14ac:dyDescent="0.3">
      <c r="A4337" t="s">
        <v>4664</v>
      </c>
      <c r="B4337" t="str">
        <f>"300584"</f>
        <v>300584</v>
      </c>
      <c r="C4337" t="s">
        <v>9017</v>
      </c>
      <c r="D4337" t="s">
        <v>143</v>
      </c>
      <c r="F4337">
        <v>300.91500000000002</v>
      </c>
      <c r="G4337">
        <v>206.19640000000001</v>
      </c>
      <c r="H4337">
        <v>217.06809999999999</v>
      </c>
      <c r="I4337">
        <v>202.52449999999999</v>
      </c>
      <c r="J4337">
        <v>243.37860000000001</v>
      </c>
      <c r="K4337">
        <v>242.1919</v>
      </c>
      <c r="L4337">
        <v>119.8668</v>
      </c>
      <c r="P4337">
        <v>195</v>
      </c>
      <c r="Q4337" t="s">
        <v>9018</v>
      </c>
    </row>
    <row r="4338" spans="1:17" x14ac:dyDescent="0.3">
      <c r="A4338" t="s">
        <v>4664</v>
      </c>
      <c r="B4338" t="str">
        <f>"300585"</f>
        <v>300585</v>
      </c>
      <c r="C4338" t="s">
        <v>9019</v>
      </c>
      <c r="D4338" t="s">
        <v>348</v>
      </c>
      <c r="F4338">
        <v>157.9402</v>
      </c>
      <c r="G4338">
        <v>162.5067</v>
      </c>
      <c r="H4338">
        <v>189.2937</v>
      </c>
      <c r="I4338">
        <v>172.1679</v>
      </c>
      <c r="J4338">
        <v>130.9281</v>
      </c>
      <c r="K4338">
        <v>150.7433</v>
      </c>
      <c r="L4338">
        <v>80.171800000000005</v>
      </c>
      <c r="P4338">
        <v>92</v>
      </c>
      <c r="Q4338" t="s">
        <v>9020</v>
      </c>
    </row>
    <row r="4339" spans="1:17" x14ac:dyDescent="0.3">
      <c r="A4339" t="s">
        <v>4664</v>
      </c>
      <c r="B4339" t="str">
        <f>"300586"</f>
        <v>300586</v>
      </c>
      <c r="C4339" t="s">
        <v>9021</v>
      </c>
      <c r="D4339" t="s">
        <v>341</v>
      </c>
      <c r="F4339">
        <v>64.949600000000004</v>
      </c>
      <c r="G4339">
        <v>66.065399999999997</v>
      </c>
      <c r="H4339">
        <v>87.090900000000005</v>
      </c>
      <c r="I4339">
        <v>169.01929999999999</v>
      </c>
      <c r="J4339">
        <v>173.38220000000001</v>
      </c>
      <c r="K4339">
        <v>133.01759999999999</v>
      </c>
      <c r="L4339">
        <v>66.0154</v>
      </c>
      <c r="P4339">
        <v>132</v>
      </c>
      <c r="Q4339" t="s">
        <v>9022</v>
      </c>
    </row>
    <row r="4340" spans="1:17" x14ac:dyDescent="0.3">
      <c r="A4340" t="s">
        <v>4664</v>
      </c>
      <c r="B4340" t="str">
        <f>"300587"</f>
        <v>300587</v>
      </c>
      <c r="C4340" t="s">
        <v>9023</v>
      </c>
      <c r="D4340" t="s">
        <v>2460</v>
      </c>
      <c r="F4340">
        <v>183.50649999999999</v>
      </c>
      <c r="G4340">
        <v>230.69159999999999</v>
      </c>
      <c r="H4340">
        <v>263.80450000000002</v>
      </c>
      <c r="I4340">
        <v>193.1276</v>
      </c>
      <c r="J4340">
        <v>216.1003</v>
      </c>
      <c r="K4340">
        <v>272.51089999999999</v>
      </c>
      <c r="L4340">
        <v>128.58629999999999</v>
      </c>
      <c r="P4340">
        <v>153</v>
      </c>
      <c r="Q4340" t="s">
        <v>9024</v>
      </c>
    </row>
    <row r="4341" spans="1:17" x14ac:dyDescent="0.3">
      <c r="A4341" t="s">
        <v>4664</v>
      </c>
      <c r="B4341" t="str">
        <f>"300588"</f>
        <v>300588</v>
      </c>
      <c r="C4341" t="s">
        <v>9025</v>
      </c>
      <c r="D4341" t="s">
        <v>2953</v>
      </c>
      <c r="F4341">
        <v>482.0686</v>
      </c>
      <c r="G4341">
        <v>295.07650000000001</v>
      </c>
      <c r="H4341">
        <v>274.16050000000001</v>
      </c>
      <c r="I4341">
        <v>145.62289999999999</v>
      </c>
      <c r="J4341">
        <v>201.47649999999999</v>
      </c>
      <c r="K4341">
        <v>214.4453</v>
      </c>
      <c r="P4341">
        <v>144</v>
      </c>
      <c r="Q4341" t="s">
        <v>9026</v>
      </c>
    </row>
    <row r="4342" spans="1:17" x14ac:dyDescent="0.3">
      <c r="A4342" t="s">
        <v>4664</v>
      </c>
      <c r="B4342" t="str">
        <f>"300589"</f>
        <v>300589</v>
      </c>
      <c r="C4342" t="s">
        <v>9027</v>
      </c>
      <c r="D4342" t="s">
        <v>167</v>
      </c>
      <c r="F4342">
        <v>154.42150000000001</v>
      </c>
      <c r="G4342">
        <v>112.4348</v>
      </c>
      <c r="H4342">
        <v>265.50700000000001</v>
      </c>
      <c r="I4342">
        <v>159.078</v>
      </c>
      <c r="J4342">
        <v>137.6319</v>
      </c>
      <c r="K4342">
        <v>41.951999999999998</v>
      </c>
      <c r="L4342">
        <v>163.0429</v>
      </c>
      <c r="P4342">
        <v>87</v>
      </c>
      <c r="Q4342" t="s">
        <v>9028</v>
      </c>
    </row>
    <row r="4343" spans="1:17" x14ac:dyDescent="0.3">
      <c r="A4343" t="s">
        <v>4664</v>
      </c>
      <c r="B4343" t="str">
        <f>"300590"</f>
        <v>300590</v>
      </c>
      <c r="C4343" t="s">
        <v>9029</v>
      </c>
      <c r="D4343" t="s">
        <v>786</v>
      </c>
      <c r="F4343">
        <v>313.06630000000001</v>
      </c>
      <c r="G4343">
        <v>294.10629999999998</v>
      </c>
      <c r="H4343">
        <v>191.52359999999999</v>
      </c>
      <c r="I4343">
        <v>214.24459999999999</v>
      </c>
      <c r="J4343">
        <v>260.15730000000002</v>
      </c>
      <c r="K4343">
        <v>215.46360000000001</v>
      </c>
      <c r="L4343">
        <v>67.040000000000006</v>
      </c>
      <c r="P4343">
        <v>410</v>
      </c>
      <c r="Q4343" t="s">
        <v>9030</v>
      </c>
    </row>
    <row r="4344" spans="1:17" x14ac:dyDescent="0.3">
      <c r="A4344" t="s">
        <v>4664</v>
      </c>
      <c r="B4344" t="str">
        <f>"300591"</f>
        <v>300591</v>
      </c>
      <c r="C4344" t="s">
        <v>9031</v>
      </c>
      <c r="D4344" t="s">
        <v>330</v>
      </c>
      <c r="F4344">
        <v>341.3415</v>
      </c>
      <c r="G4344">
        <v>343.63339999999999</v>
      </c>
      <c r="H4344">
        <v>280.66090000000003</v>
      </c>
      <c r="I4344">
        <v>266.19299999999998</v>
      </c>
      <c r="J4344">
        <v>253.0341</v>
      </c>
      <c r="K4344">
        <v>182.6498</v>
      </c>
      <c r="L4344">
        <v>104.866</v>
      </c>
      <c r="P4344">
        <v>88</v>
      </c>
      <c r="Q4344" t="s">
        <v>9032</v>
      </c>
    </row>
    <row r="4345" spans="1:17" x14ac:dyDescent="0.3">
      <c r="A4345" t="s">
        <v>4664</v>
      </c>
      <c r="B4345" t="str">
        <f>"300592"</f>
        <v>300592</v>
      </c>
      <c r="C4345" t="s">
        <v>9033</v>
      </c>
      <c r="D4345" t="s">
        <v>450</v>
      </c>
      <c r="F4345">
        <v>248.28020000000001</v>
      </c>
      <c r="G4345">
        <v>566.46489999999994</v>
      </c>
      <c r="H4345">
        <v>819.73630000000003</v>
      </c>
      <c r="I4345">
        <v>692.44489999999996</v>
      </c>
      <c r="J4345">
        <v>624.51850000000002</v>
      </c>
      <c r="K4345">
        <v>441.79199999999997</v>
      </c>
      <c r="L4345">
        <v>255.8784</v>
      </c>
      <c r="P4345">
        <v>65</v>
      </c>
      <c r="Q4345" t="s">
        <v>9034</v>
      </c>
    </row>
    <row r="4346" spans="1:17" x14ac:dyDescent="0.3">
      <c r="A4346" t="s">
        <v>4664</v>
      </c>
      <c r="B4346" t="str">
        <f>"300593"</f>
        <v>300593</v>
      </c>
      <c r="C4346" t="s">
        <v>9035</v>
      </c>
      <c r="D4346" t="s">
        <v>880</v>
      </c>
      <c r="F4346">
        <v>375.39339999999999</v>
      </c>
      <c r="G4346">
        <v>444.79849999999999</v>
      </c>
      <c r="H4346">
        <v>327.59440000000001</v>
      </c>
      <c r="I4346">
        <v>426.70069999999998</v>
      </c>
      <c r="J4346">
        <v>331.75760000000002</v>
      </c>
      <c r="K4346">
        <v>299.37599999999998</v>
      </c>
      <c r="L4346">
        <v>167.6174</v>
      </c>
      <c r="P4346">
        <v>254</v>
      </c>
      <c r="Q4346" t="s">
        <v>9036</v>
      </c>
    </row>
    <row r="4347" spans="1:17" x14ac:dyDescent="0.3">
      <c r="A4347" t="s">
        <v>4664</v>
      </c>
      <c r="B4347" t="str">
        <f>"300594"</f>
        <v>300594</v>
      </c>
      <c r="C4347" t="s">
        <v>9037</v>
      </c>
      <c r="D4347" t="s">
        <v>1012</v>
      </c>
      <c r="F4347">
        <v>123.5509</v>
      </c>
      <c r="G4347">
        <v>137.01589999999999</v>
      </c>
      <c r="H4347">
        <v>116.5778</v>
      </c>
      <c r="I4347">
        <v>60.349899999999998</v>
      </c>
      <c r="P4347">
        <v>72</v>
      </c>
      <c r="Q4347" t="s">
        <v>9038</v>
      </c>
    </row>
    <row r="4348" spans="1:17" x14ac:dyDescent="0.3">
      <c r="A4348" t="s">
        <v>4664</v>
      </c>
      <c r="B4348" t="str">
        <f>"300595"</f>
        <v>300595</v>
      </c>
      <c r="C4348" t="s">
        <v>9039</v>
      </c>
      <c r="D4348" t="s">
        <v>1077</v>
      </c>
      <c r="F4348">
        <v>130.81299999999999</v>
      </c>
      <c r="G4348">
        <v>191.90020000000001</v>
      </c>
      <c r="H4348">
        <v>190.8716</v>
      </c>
      <c r="I4348">
        <v>176.232</v>
      </c>
      <c r="J4348">
        <v>127.777</v>
      </c>
      <c r="K4348">
        <v>129.54929999999999</v>
      </c>
      <c r="L4348">
        <v>29.823599999999999</v>
      </c>
      <c r="P4348">
        <v>4330</v>
      </c>
      <c r="Q4348" t="s">
        <v>9040</v>
      </c>
    </row>
    <row r="4349" spans="1:17" x14ac:dyDescent="0.3">
      <c r="A4349" t="s">
        <v>4664</v>
      </c>
      <c r="B4349" t="str">
        <f>"300596"</f>
        <v>300596</v>
      </c>
      <c r="C4349" t="s">
        <v>9041</v>
      </c>
      <c r="D4349" t="s">
        <v>1192</v>
      </c>
      <c r="F4349">
        <v>127.8138</v>
      </c>
      <c r="G4349">
        <v>168.93350000000001</v>
      </c>
      <c r="H4349">
        <v>195.7046</v>
      </c>
      <c r="I4349">
        <v>152.0702</v>
      </c>
      <c r="J4349">
        <v>119.0907</v>
      </c>
      <c r="K4349">
        <v>142.4504</v>
      </c>
      <c r="L4349">
        <v>74.572599999999994</v>
      </c>
      <c r="P4349">
        <v>391</v>
      </c>
      <c r="Q4349" t="s">
        <v>9042</v>
      </c>
    </row>
    <row r="4350" spans="1:17" x14ac:dyDescent="0.3">
      <c r="A4350" t="s">
        <v>4664</v>
      </c>
      <c r="B4350" t="str">
        <f>"300597"</f>
        <v>300597</v>
      </c>
      <c r="C4350" t="s">
        <v>9043</v>
      </c>
      <c r="D4350" t="s">
        <v>654</v>
      </c>
      <c r="F4350">
        <v>298.28109999999998</v>
      </c>
      <c r="G4350">
        <v>411.19929999999999</v>
      </c>
      <c r="H4350">
        <v>477.7833</v>
      </c>
      <c r="I4350">
        <v>340.34199999999998</v>
      </c>
      <c r="J4350">
        <v>306.36509999999998</v>
      </c>
      <c r="K4350">
        <v>184.99160000000001</v>
      </c>
      <c r="L4350">
        <v>83.984099999999998</v>
      </c>
      <c r="P4350">
        <v>110</v>
      </c>
      <c r="Q4350" t="s">
        <v>9044</v>
      </c>
    </row>
    <row r="4351" spans="1:17" x14ac:dyDescent="0.3">
      <c r="A4351" t="s">
        <v>4664</v>
      </c>
      <c r="B4351" t="str">
        <f>"300598"</f>
        <v>300598</v>
      </c>
      <c r="C4351" t="s">
        <v>9045</v>
      </c>
      <c r="D4351" t="s">
        <v>945</v>
      </c>
      <c r="F4351">
        <v>26.6249</v>
      </c>
      <c r="G4351">
        <v>24.3398</v>
      </c>
      <c r="H4351">
        <v>6.7653999999999996</v>
      </c>
      <c r="I4351">
        <v>2.5678999999999998</v>
      </c>
      <c r="J4351">
        <v>5.4938000000000002</v>
      </c>
      <c r="K4351">
        <v>3.2345999999999999</v>
      </c>
      <c r="L4351">
        <v>1.3309</v>
      </c>
      <c r="P4351">
        <v>319</v>
      </c>
      <c r="Q4351" t="s">
        <v>9046</v>
      </c>
    </row>
    <row r="4352" spans="1:17" x14ac:dyDescent="0.3">
      <c r="A4352" t="s">
        <v>4664</v>
      </c>
      <c r="B4352" t="str">
        <f>"300599"</f>
        <v>300599</v>
      </c>
      <c r="C4352" t="s">
        <v>9047</v>
      </c>
      <c r="D4352" t="s">
        <v>3320</v>
      </c>
      <c r="F4352">
        <v>87.719700000000003</v>
      </c>
      <c r="G4352">
        <v>97.894599999999997</v>
      </c>
      <c r="H4352">
        <v>93.728499999999997</v>
      </c>
      <c r="I4352">
        <v>87.394099999999995</v>
      </c>
      <c r="J4352">
        <v>71.350999999999999</v>
      </c>
      <c r="K4352">
        <v>74.975200000000001</v>
      </c>
      <c r="L4352">
        <v>33.697099999999999</v>
      </c>
      <c r="P4352">
        <v>102</v>
      </c>
      <c r="Q4352" t="s">
        <v>9048</v>
      </c>
    </row>
    <row r="4353" spans="1:17" x14ac:dyDescent="0.3">
      <c r="A4353" t="s">
        <v>4664</v>
      </c>
      <c r="B4353" t="str">
        <f>"300600"</f>
        <v>300600</v>
      </c>
      <c r="C4353" t="s">
        <v>9049</v>
      </c>
      <c r="D4353" t="s">
        <v>167</v>
      </c>
      <c r="F4353">
        <v>743.1635</v>
      </c>
      <c r="G4353">
        <v>338.38589999999999</v>
      </c>
      <c r="H4353">
        <v>370.81729999999999</v>
      </c>
      <c r="I4353">
        <v>339.00459999999998</v>
      </c>
      <c r="J4353">
        <v>367.66329999999999</v>
      </c>
      <c r="K4353">
        <v>344.48419999999999</v>
      </c>
      <c r="L4353">
        <v>170.82689999999999</v>
      </c>
      <c r="P4353">
        <v>101</v>
      </c>
      <c r="Q4353" t="s">
        <v>9050</v>
      </c>
    </row>
    <row r="4354" spans="1:17" x14ac:dyDescent="0.3">
      <c r="A4354" t="s">
        <v>4664</v>
      </c>
      <c r="B4354" t="str">
        <f>"300601"</f>
        <v>300601</v>
      </c>
      <c r="C4354" t="s">
        <v>9051</v>
      </c>
      <c r="D4354" t="s">
        <v>1499</v>
      </c>
      <c r="F4354">
        <v>672.08140000000003</v>
      </c>
      <c r="G4354">
        <v>1073.8235</v>
      </c>
      <c r="H4354">
        <v>653.34</v>
      </c>
      <c r="I4354">
        <v>492.82060000000001</v>
      </c>
      <c r="J4354">
        <v>669.78279999999995</v>
      </c>
      <c r="K4354">
        <v>539.5421</v>
      </c>
      <c r="L4354">
        <v>229.52549999999999</v>
      </c>
      <c r="P4354">
        <v>1384</v>
      </c>
      <c r="Q4354" t="s">
        <v>9052</v>
      </c>
    </row>
    <row r="4355" spans="1:17" x14ac:dyDescent="0.3">
      <c r="A4355" t="s">
        <v>4664</v>
      </c>
      <c r="B4355" t="str">
        <f>"300602"</f>
        <v>300602</v>
      </c>
      <c r="C4355" t="s">
        <v>9053</v>
      </c>
      <c r="D4355" t="s">
        <v>313</v>
      </c>
      <c r="F4355">
        <v>144.1371</v>
      </c>
      <c r="G4355">
        <v>109.1348</v>
      </c>
      <c r="H4355">
        <v>104.9145</v>
      </c>
      <c r="I4355">
        <v>94.552700000000002</v>
      </c>
      <c r="J4355">
        <v>89.120999999999995</v>
      </c>
      <c r="K4355">
        <v>82.789500000000004</v>
      </c>
      <c r="L4355">
        <v>30.0624</v>
      </c>
      <c r="P4355">
        <v>597</v>
      </c>
      <c r="Q4355" t="s">
        <v>9054</v>
      </c>
    </row>
    <row r="4356" spans="1:17" x14ac:dyDescent="0.3">
      <c r="A4356" t="s">
        <v>4664</v>
      </c>
      <c r="B4356" t="str">
        <f>"300603"</f>
        <v>300603</v>
      </c>
      <c r="C4356" t="s">
        <v>9055</v>
      </c>
      <c r="D4356" t="s">
        <v>5597</v>
      </c>
      <c r="F4356">
        <v>63.184199999999997</v>
      </c>
      <c r="G4356">
        <v>35.334800000000001</v>
      </c>
      <c r="H4356">
        <v>69.850300000000004</v>
      </c>
      <c r="I4356">
        <v>148.6704</v>
      </c>
      <c r="J4356">
        <v>85.625200000000007</v>
      </c>
      <c r="K4356">
        <v>62.095199999999998</v>
      </c>
      <c r="L4356">
        <v>17.971399999999999</v>
      </c>
      <c r="P4356">
        <v>196</v>
      </c>
      <c r="Q4356" t="s">
        <v>9056</v>
      </c>
    </row>
    <row r="4357" spans="1:17" x14ac:dyDescent="0.3">
      <c r="A4357" t="s">
        <v>4664</v>
      </c>
      <c r="B4357" t="str">
        <f>"300604"</f>
        <v>300604</v>
      </c>
      <c r="C4357" t="s">
        <v>9057</v>
      </c>
      <c r="D4357" t="s">
        <v>3160</v>
      </c>
      <c r="F4357">
        <v>429.53</v>
      </c>
      <c r="G4357">
        <v>525.14020000000005</v>
      </c>
      <c r="H4357">
        <v>803.68449999999996</v>
      </c>
      <c r="I4357">
        <v>420.90679999999998</v>
      </c>
      <c r="J4357">
        <v>419.60270000000003</v>
      </c>
      <c r="K4357">
        <v>228.74780000000001</v>
      </c>
      <c r="P4357">
        <v>370</v>
      </c>
      <c r="Q4357" t="s">
        <v>9058</v>
      </c>
    </row>
    <row r="4358" spans="1:17" x14ac:dyDescent="0.3">
      <c r="A4358" t="s">
        <v>4664</v>
      </c>
      <c r="B4358" t="str">
        <f>"300605"</f>
        <v>300605</v>
      </c>
      <c r="C4358" t="s">
        <v>9059</v>
      </c>
      <c r="D4358" t="s">
        <v>945</v>
      </c>
      <c r="F4358">
        <v>443.98439999999999</v>
      </c>
      <c r="G4358">
        <v>376.01760000000002</v>
      </c>
      <c r="H4358">
        <v>673.30119999999999</v>
      </c>
      <c r="I4358">
        <v>664.37990000000002</v>
      </c>
      <c r="J4358">
        <v>509.10090000000002</v>
      </c>
      <c r="K4358">
        <v>431.66320000000002</v>
      </c>
      <c r="L4358">
        <v>214.3603</v>
      </c>
      <c r="P4358">
        <v>93</v>
      </c>
      <c r="Q4358" t="s">
        <v>9060</v>
      </c>
    </row>
    <row r="4359" spans="1:17" x14ac:dyDescent="0.3">
      <c r="A4359" t="s">
        <v>4664</v>
      </c>
      <c r="B4359" t="str">
        <f>"300606"</f>
        <v>300606</v>
      </c>
      <c r="C4359" t="s">
        <v>9061</v>
      </c>
      <c r="D4359" t="s">
        <v>404</v>
      </c>
      <c r="F4359">
        <v>232.75489999999999</v>
      </c>
      <c r="G4359">
        <v>212.92490000000001</v>
      </c>
      <c r="H4359">
        <v>173.09049999999999</v>
      </c>
      <c r="I4359">
        <v>148.77500000000001</v>
      </c>
      <c r="J4359">
        <v>179.268</v>
      </c>
      <c r="K4359">
        <v>214.6157</v>
      </c>
      <c r="L4359">
        <v>96.935199999999995</v>
      </c>
      <c r="P4359">
        <v>92</v>
      </c>
      <c r="Q4359" t="s">
        <v>9062</v>
      </c>
    </row>
    <row r="4360" spans="1:17" x14ac:dyDescent="0.3">
      <c r="A4360" t="s">
        <v>4664</v>
      </c>
      <c r="B4360" t="str">
        <f>"300607"</f>
        <v>300607</v>
      </c>
      <c r="C4360" t="s">
        <v>9063</v>
      </c>
      <c r="D4360" t="s">
        <v>2911</v>
      </c>
      <c r="F4360">
        <v>240.65090000000001</v>
      </c>
      <c r="G4360">
        <v>185.63910000000001</v>
      </c>
      <c r="H4360">
        <v>136.0461</v>
      </c>
      <c r="I4360">
        <v>208.95650000000001</v>
      </c>
      <c r="J4360">
        <v>219.3091</v>
      </c>
      <c r="K4360">
        <v>81.372200000000007</v>
      </c>
      <c r="P4360">
        <v>1388</v>
      </c>
      <c r="Q4360" t="s">
        <v>9064</v>
      </c>
    </row>
    <row r="4361" spans="1:17" x14ac:dyDescent="0.3">
      <c r="A4361" t="s">
        <v>4664</v>
      </c>
      <c r="B4361" t="str">
        <f>"300608"</f>
        <v>300608</v>
      </c>
      <c r="C4361" t="s">
        <v>9065</v>
      </c>
      <c r="D4361" t="s">
        <v>945</v>
      </c>
      <c r="F4361">
        <v>354.06270000000001</v>
      </c>
      <c r="G4361">
        <v>494.82760000000002</v>
      </c>
      <c r="H4361">
        <v>372.2516</v>
      </c>
      <c r="I4361">
        <v>398.70260000000002</v>
      </c>
      <c r="J4361">
        <v>461.93549999999999</v>
      </c>
      <c r="K4361">
        <v>355.50049999999999</v>
      </c>
      <c r="L4361">
        <v>161.11770000000001</v>
      </c>
      <c r="P4361">
        <v>217</v>
      </c>
      <c r="Q4361" t="s">
        <v>9066</v>
      </c>
    </row>
    <row r="4362" spans="1:17" x14ac:dyDescent="0.3">
      <c r="A4362" t="s">
        <v>4664</v>
      </c>
      <c r="B4362" t="str">
        <f>"300609"</f>
        <v>300609</v>
      </c>
      <c r="C4362" t="s">
        <v>9067</v>
      </c>
      <c r="D4362" t="s">
        <v>316</v>
      </c>
      <c r="F4362">
        <v>213.7022</v>
      </c>
      <c r="G4362">
        <v>253.3998</v>
      </c>
      <c r="H4362">
        <v>156.63079999999999</v>
      </c>
      <c r="I4362">
        <v>176.5805</v>
      </c>
      <c r="J4362">
        <v>196.1146</v>
      </c>
      <c r="K4362">
        <v>198.81899999999999</v>
      </c>
      <c r="L4362">
        <v>103.20140000000001</v>
      </c>
      <c r="P4362">
        <v>155</v>
      </c>
      <c r="Q4362" t="s">
        <v>9068</v>
      </c>
    </row>
    <row r="4363" spans="1:17" x14ac:dyDescent="0.3">
      <c r="A4363" t="s">
        <v>4664</v>
      </c>
      <c r="B4363" t="str">
        <f>"300610"</f>
        <v>300610</v>
      </c>
      <c r="C4363" t="s">
        <v>9069</v>
      </c>
      <c r="D4363" t="s">
        <v>1192</v>
      </c>
      <c r="F4363">
        <v>61.878700000000002</v>
      </c>
      <c r="G4363">
        <v>80.111999999999995</v>
      </c>
      <c r="H4363">
        <v>79.669399999999996</v>
      </c>
      <c r="I4363">
        <v>69.171099999999996</v>
      </c>
      <c r="J4363">
        <v>65.509900000000002</v>
      </c>
      <c r="K4363">
        <v>90.028300000000002</v>
      </c>
      <c r="L4363">
        <v>46.6569</v>
      </c>
      <c r="P4363">
        <v>129</v>
      </c>
      <c r="Q4363" t="s">
        <v>9070</v>
      </c>
    </row>
    <row r="4364" spans="1:17" x14ac:dyDescent="0.3">
      <c r="A4364" t="s">
        <v>4664</v>
      </c>
      <c r="B4364" t="str">
        <f>"300611"</f>
        <v>300611</v>
      </c>
      <c r="C4364" t="s">
        <v>9071</v>
      </c>
      <c r="D4364" t="s">
        <v>348</v>
      </c>
      <c r="F4364">
        <v>150.3689</v>
      </c>
      <c r="G4364">
        <v>181.16540000000001</v>
      </c>
      <c r="H4364">
        <v>182.70050000000001</v>
      </c>
      <c r="I4364">
        <v>146.56630000000001</v>
      </c>
      <c r="J4364">
        <v>148.5385</v>
      </c>
      <c r="K4364">
        <v>139.53870000000001</v>
      </c>
      <c r="L4364">
        <v>69.363200000000006</v>
      </c>
      <c r="P4364">
        <v>97</v>
      </c>
      <c r="Q4364" t="s">
        <v>9072</v>
      </c>
    </row>
    <row r="4365" spans="1:17" x14ac:dyDescent="0.3">
      <c r="A4365" t="s">
        <v>4664</v>
      </c>
      <c r="B4365" t="str">
        <f>"300612"</f>
        <v>300612</v>
      </c>
      <c r="C4365" t="s">
        <v>9073</v>
      </c>
      <c r="D4365" t="s">
        <v>207</v>
      </c>
      <c r="F4365">
        <v>59.054099999999998</v>
      </c>
      <c r="G4365">
        <v>28.159199999999998</v>
      </c>
      <c r="H4365">
        <v>51.448900000000002</v>
      </c>
      <c r="I4365">
        <v>29.172799999999999</v>
      </c>
      <c r="J4365">
        <v>38.859000000000002</v>
      </c>
      <c r="K4365">
        <v>48.395600000000002</v>
      </c>
      <c r="L4365">
        <v>34.635100000000001</v>
      </c>
      <c r="P4365">
        <v>84</v>
      </c>
      <c r="Q4365" t="s">
        <v>9074</v>
      </c>
    </row>
    <row r="4366" spans="1:17" x14ac:dyDescent="0.3">
      <c r="A4366" t="s">
        <v>4664</v>
      </c>
      <c r="B4366" t="str">
        <f>"300613"</f>
        <v>300613</v>
      </c>
      <c r="C4366" t="s">
        <v>9075</v>
      </c>
      <c r="D4366" t="s">
        <v>461</v>
      </c>
      <c r="F4366">
        <v>96.33</v>
      </c>
      <c r="G4366">
        <v>174.8219</v>
      </c>
      <c r="H4366">
        <v>129.29689999999999</v>
      </c>
      <c r="I4366">
        <v>100.4744</v>
      </c>
      <c r="J4366">
        <v>110.3599</v>
      </c>
      <c r="K4366">
        <v>46.332299999999996</v>
      </c>
      <c r="P4366">
        <v>355</v>
      </c>
      <c r="Q4366" t="s">
        <v>9076</v>
      </c>
    </row>
    <row r="4367" spans="1:17" x14ac:dyDescent="0.3">
      <c r="A4367" t="s">
        <v>4664</v>
      </c>
      <c r="B4367" t="str">
        <f>"300614"</f>
        <v>300614</v>
      </c>
      <c r="C4367" t="s">
        <v>9077</v>
      </c>
      <c r="D4367" t="s">
        <v>499</v>
      </c>
      <c r="F4367">
        <v>61.467599999999997</v>
      </c>
      <c r="P4367">
        <v>41</v>
      </c>
      <c r="Q4367" t="s">
        <v>9078</v>
      </c>
    </row>
    <row r="4368" spans="1:17" x14ac:dyDescent="0.3">
      <c r="A4368" t="s">
        <v>4664</v>
      </c>
      <c r="B4368" t="str">
        <f>"300615"</f>
        <v>300615</v>
      </c>
      <c r="C4368" t="s">
        <v>9079</v>
      </c>
      <c r="D4368" t="s">
        <v>786</v>
      </c>
      <c r="F4368">
        <v>118.1263</v>
      </c>
      <c r="G4368">
        <v>133.89570000000001</v>
      </c>
      <c r="H4368">
        <v>128.2414</v>
      </c>
      <c r="I4368">
        <v>120.307</v>
      </c>
      <c r="J4368">
        <v>110.7744</v>
      </c>
      <c r="K4368">
        <v>84.546300000000002</v>
      </c>
      <c r="L4368">
        <v>62.597900000000003</v>
      </c>
      <c r="P4368">
        <v>156</v>
      </c>
      <c r="Q4368" t="s">
        <v>9080</v>
      </c>
    </row>
    <row r="4369" spans="1:17" x14ac:dyDescent="0.3">
      <c r="A4369" t="s">
        <v>4664</v>
      </c>
      <c r="B4369" t="str">
        <f>"300616"</f>
        <v>300616</v>
      </c>
      <c r="C4369" t="s">
        <v>9081</v>
      </c>
      <c r="D4369" t="s">
        <v>2647</v>
      </c>
      <c r="F4369">
        <v>98.5398</v>
      </c>
      <c r="G4369">
        <v>107.2672</v>
      </c>
      <c r="H4369">
        <v>80.716300000000004</v>
      </c>
      <c r="I4369">
        <v>62.874299999999998</v>
      </c>
      <c r="J4369">
        <v>58.4071</v>
      </c>
      <c r="K4369">
        <v>38.285200000000003</v>
      </c>
      <c r="P4369">
        <v>694</v>
      </c>
      <c r="Q4369" t="s">
        <v>9082</v>
      </c>
    </row>
    <row r="4370" spans="1:17" x14ac:dyDescent="0.3">
      <c r="A4370" t="s">
        <v>4664</v>
      </c>
      <c r="B4370" t="str">
        <f>"300617"</f>
        <v>300617</v>
      </c>
      <c r="C4370" t="s">
        <v>9083</v>
      </c>
      <c r="D4370" t="s">
        <v>1164</v>
      </c>
      <c r="F4370">
        <v>226.8185</v>
      </c>
      <c r="G4370">
        <v>344.70249999999999</v>
      </c>
      <c r="H4370">
        <v>478.96289999999999</v>
      </c>
      <c r="I4370">
        <v>347.71039999999999</v>
      </c>
      <c r="J4370">
        <v>415.4187</v>
      </c>
      <c r="K4370">
        <v>205.07499999999999</v>
      </c>
      <c r="P4370">
        <v>148</v>
      </c>
      <c r="Q4370" t="s">
        <v>9084</v>
      </c>
    </row>
    <row r="4371" spans="1:17" x14ac:dyDescent="0.3">
      <c r="A4371" t="s">
        <v>4664</v>
      </c>
      <c r="B4371" t="str">
        <f>"300618"</f>
        <v>300618</v>
      </c>
      <c r="C4371" t="s">
        <v>9085</v>
      </c>
      <c r="D4371" t="s">
        <v>1440</v>
      </c>
      <c r="F4371">
        <v>288.47219999999999</v>
      </c>
      <c r="G4371">
        <v>323.99790000000002</v>
      </c>
      <c r="H4371">
        <v>413.29020000000003</v>
      </c>
      <c r="I4371">
        <v>438.9991</v>
      </c>
      <c r="J4371">
        <v>369.9128</v>
      </c>
      <c r="K4371">
        <v>121.4522</v>
      </c>
      <c r="P4371">
        <v>574</v>
      </c>
      <c r="Q4371" t="s">
        <v>9086</v>
      </c>
    </row>
    <row r="4372" spans="1:17" x14ac:dyDescent="0.3">
      <c r="A4372" t="s">
        <v>4664</v>
      </c>
      <c r="B4372" t="str">
        <f>"300619"</f>
        <v>300619</v>
      </c>
      <c r="C4372" t="s">
        <v>9087</v>
      </c>
      <c r="D4372" t="s">
        <v>3749</v>
      </c>
      <c r="F4372">
        <v>118.7803</v>
      </c>
      <c r="G4372">
        <v>120.34350000000001</v>
      </c>
      <c r="H4372">
        <v>113.7794</v>
      </c>
      <c r="I4372">
        <v>162.1217</v>
      </c>
      <c r="J4372">
        <v>342.67320000000001</v>
      </c>
      <c r="K4372">
        <v>134.58869999999999</v>
      </c>
      <c r="P4372">
        <v>94</v>
      </c>
      <c r="Q4372" t="s">
        <v>9088</v>
      </c>
    </row>
    <row r="4373" spans="1:17" x14ac:dyDescent="0.3">
      <c r="A4373" t="s">
        <v>4664</v>
      </c>
      <c r="B4373" t="str">
        <f>"300620"</f>
        <v>300620</v>
      </c>
      <c r="C4373" t="s">
        <v>9089</v>
      </c>
      <c r="D4373" t="s">
        <v>1019</v>
      </c>
      <c r="F4373">
        <v>199.5284</v>
      </c>
      <c r="G4373">
        <v>160.92850000000001</v>
      </c>
      <c r="H4373">
        <v>166.072</v>
      </c>
      <c r="I4373">
        <v>162.05070000000001</v>
      </c>
      <c r="J4373">
        <v>145.67019999999999</v>
      </c>
      <c r="K4373">
        <v>84.770200000000003</v>
      </c>
      <c r="P4373">
        <v>245</v>
      </c>
      <c r="Q4373" t="s">
        <v>9090</v>
      </c>
    </row>
    <row r="4374" spans="1:17" x14ac:dyDescent="0.3">
      <c r="A4374" t="s">
        <v>4664</v>
      </c>
      <c r="B4374" t="str">
        <f>"300621"</f>
        <v>300621</v>
      </c>
      <c r="C4374" t="s">
        <v>9091</v>
      </c>
      <c r="D4374" t="s">
        <v>450</v>
      </c>
      <c r="F4374">
        <v>9.9838000000000005</v>
      </c>
      <c r="G4374">
        <v>20.899899999999999</v>
      </c>
      <c r="H4374">
        <v>25.9877</v>
      </c>
      <c r="I4374">
        <v>26.170400000000001</v>
      </c>
      <c r="J4374">
        <v>23.6478</v>
      </c>
      <c r="K4374">
        <v>11.286300000000001</v>
      </c>
      <c r="P4374">
        <v>56</v>
      </c>
      <c r="Q4374" t="s">
        <v>9092</v>
      </c>
    </row>
    <row r="4375" spans="1:17" x14ac:dyDescent="0.3">
      <c r="A4375" t="s">
        <v>4664</v>
      </c>
      <c r="B4375" t="str">
        <f>"300622"</f>
        <v>300622</v>
      </c>
      <c r="C4375" t="s">
        <v>9093</v>
      </c>
      <c r="D4375" t="s">
        <v>295</v>
      </c>
      <c r="F4375">
        <v>175.839</v>
      </c>
      <c r="G4375">
        <v>221.81110000000001</v>
      </c>
      <c r="H4375">
        <v>219.84440000000001</v>
      </c>
      <c r="I4375">
        <v>262.99939999999998</v>
      </c>
      <c r="J4375">
        <v>273.36649999999997</v>
      </c>
      <c r="K4375">
        <v>155.27539999999999</v>
      </c>
      <c r="P4375">
        <v>123</v>
      </c>
      <c r="Q4375" t="s">
        <v>9094</v>
      </c>
    </row>
    <row r="4376" spans="1:17" x14ac:dyDescent="0.3">
      <c r="A4376" t="s">
        <v>4664</v>
      </c>
      <c r="B4376" t="str">
        <f>"300623"</f>
        <v>300623</v>
      </c>
      <c r="C4376" t="s">
        <v>9095</v>
      </c>
      <c r="D4376" t="s">
        <v>795</v>
      </c>
      <c r="F4376">
        <v>109.3524</v>
      </c>
      <c r="G4376">
        <v>129.7124</v>
      </c>
      <c r="H4376">
        <v>155.7398</v>
      </c>
      <c r="I4376">
        <v>150.2105</v>
      </c>
      <c r="J4376">
        <v>159.80879999999999</v>
      </c>
      <c r="K4376">
        <v>74.374200000000002</v>
      </c>
      <c r="P4376">
        <v>664</v>
      </c>
      <c r="Q4376" t="s">
        <v>9096</v>
      </c>
    </row>
    <row r="4377" spans="1:17" x14ac:dyDescent="0.3">
      <c r="A4377" t="s">
        <v>4664</v>
      </c>
      <c r="B4377" t="str">
        <f>"300624"</f>
        <v>300624</v>
      </c>
      <c r="C4377" t="s">
        <v>9097</v>
      </c>
      <c r="D4377" t="s">
        <v>1189</v>
      </c>
      <c r="F4377">
        <v>1.6509</v>
      </c>
      <c r="G4377">
        <v>98.998699999999999</v>
      </c>
      <c r="H4377">
        <v>101.419</v>
      </c>
      <c r="I4377">
        <v>146.13579999999999</v>
      </c>
      <c r="J4377">
        <v>18.069199999999999</v>
      </c>
      <c r="P4377">
        <v>332</v>
      </c>
      <c r="Q4377" t="s">
        <v>9098</v>
      </c>
    </row>
    <row r="4378" spans="1:17" x14ac:dyDescent="0.3">
      <c r="A4378" t="s">
        <v>4664</v>
      </c>
      <c r="B4378" t="str">
        <f>"300625"</f>
        <v>300625</v>
      </c>
      <c r="C4378" t="s">
        <v>9099</v>
      </c>
      <c r="D4378" t="s">
        <v>598</v>
      </c>
      <c r="F4378">
        <v>119.39019999999999</v>
      </c>
      <c r="G4378">
        <v>148.03219999999999</v>
      </c>
      <c r="H4378">
        <v>139.6875</v>
      </c>
      <c r="I4378">
        <v>124.79519999999999</v>
      </c>
      <c r="J4378">
        <v>108.4995</v>
      </c>
      <c r="K4378">
        <v>54.114400000000003</v>
      </c>
      <c r="P4378">
        <v>137</v>
      </c>
      <c r="Q4378" t="s">
        <v>9100</v>
      </c>
    </row>
    <row r="4379" spans="1:17" x14ac:dyDescent="0.3">
      <c r="A4379" t="s">
        <v>4664</v>
      </c>
      <c r="B4379" t="str">
        <f>"300626"</f>
        <v>300626</v>
      </c>
      <c r="C4379" t="s">
        <v>9101</v>
      </c>
      <c r="D4379" t="s">
        <v>1171</v>
      </c>
      <c r="F4379">
        <v>123.41759999999999</v>
      </c>
      <c r="G4379">
        <v>151.2098</v>
      </c>
      <c r="H4379">
        <v>147.2869</v>
      </c>
      <c r="I4379">
        <v>135.489</v>
      </c>
      <c r="J4379">
        <v>140.411</v>
      </c>
      <c r="K4379">
        <v>84.741200000000006</v>
      </c>
      <c r="P4379">
        <v>55</v>
      </c>
      <c r="Q4379" t="s">
        <v>9102</v>
      </c>
    </row>
    <row r="4380" spans="1:17" x14ac:dyDescent="0.3">
      <c r="A4380" t="s">
        <v>4664</v>
      </c>
      <c r="B4380" t="str">
        <f>"300627"</f>
        <v>300627</v>
      </c>
      <c r="C4380" t="s">
        <v>9103</v>
      </c>
      <c r="D4380" t="s">
        <v>786</v>
      </c>
      <c r="F4380">
        <v>200.4203</v>
      </c>
      <c r="G4380">
        <v>212.3623</v>
      </c>
      <c r="H4380">
        <v>186.1943</v>
      </c>
      <c r="I4380">
        <v>171.07499999999999</v>
      </c>
      <c r="J4380">
        <v>193.518</v>
      </c>
      <c r="K4380">
        <v>107.5534</v>
      </c>
      <c r="P4380">
        <v>295</v>
      </c>
      <c r="Q4380" t="s">
        <v>9104</v>
      </c>
    </row>
    <row r="4381" spans="1:17" x14ac:dyDescent="0.3">
      <c r="A4381" t="s">
        <v>4664</v>
      </c>
      <c r="B4381" t="str">
        <f>"300628"</f>
        <v>300628</v>
      </c>
      <c r="C4381" t="s">
        <v>9105</v>
      </c>
      <c r="D4381" t="s">
        <v>786</v>
      </c>
      <c r="F4381">
        <v>205.29300000000001</v>
      </c>
      <c r="G4381">
        <v>146.239</v>
      </c>
      <c r="H4381">
        <v>118.6173</v>
      </c>
      <c r="I4381">
        <v>116.3219</v>
      </c>
      <c r="J4381">
        <v>127.06570000000001</v>
      </c>
      <c r="K4381">
        <v>52.1995</v>
      </c>
      <c r="P4381">
        <v>2264</v>
      </c>
      <c r="Q4381" t="s">
        <v>9106</v>
      </c>
    </row>
    <row r="4382" spans="1:17" x14ac:dyDescent="0.3">
      <c r="A4382" t="s">
        <v>4664</v>
      </c>
      <c r="B4382" t="str">
        <f>"300629"</f>
        <v>300629</v>
      </c>
      <c r="C4382" t="s">
        <v>9107</v>
      </c>
      <c r="D4382" t="s">
        <v>404</v>
      </c>
      <c r="F4382">
        <v>496.43529999999998</v>
      </c>
      <c r="G4382">
        <v>395.96890000000002</v>
      </c>
      <c r="H4382">
        <v>479.83229999999998</v>
      </c>
      <c r="I4382">
        <v>192.3861</v>
      </c>
      <c r="J4382">
        <v>141.71789999999999</v>
      </c>
      <c r="K4382">
        <v>93.189400000000006</v>
      </c>
      <c r="P4382">
        <v>65</v>
      </c>
      <c r="Q4382" t="s">
        <v>9108</v>
      </c>
    </row>
    <row r="4383" spans="1:17" x14ac:dyDescent="0.3">
      <c r="A4383" t="s">
        <v>4664</v>
      </c>
      <c r="B4383" t="str">
        <f>"300630"</f>
        <v>300630</v>
      </c>
      <c r="C4383" t="s">
        <v>9109</v>
      </c>
      <c r="D4383" t="s">
        <v>143</v>
      </c>
      <c r="F4383">
        <v>262.91359999999997</v>
      </c>
      <c r="G4383">
        <v>249.5883</v>
      </c>
      <c r="H4383">
        <v>288.2038</v>
      </c>
      <c r="I4383">
        <v>269.94929999999999</v>
      </c>
      <c r="J4383">
        <v>246.73859999999999</v>
      </c>
      <c r="K4383">
        <v>90.029799999999994</v>
      </c>
      <c r="P4383">
        <v>1261</v>
      </c>
      <c r="Q4383" t="s">
        <v>9110</v>
      </c>
    </row>
    <row r="4384" spans="1:17" x14ac:dyDescent="0.3">
      <c r="A4384" t="s">
        <v>4664</v>
      </c>
      <c r="B4384" t="str">
        <f>"300631"</f>
        <v>300631</v>
      </c>
      <c r="C4384" t="s">
        <v>9111</v>
      </c>
      <c r="D4384" t="s">
        <v>1070</v>
      </c>
      <c r="F4384">
        <v>283.92239999999998</v>
      </c>
      <c r="G4384">
        <v>295.01830000000001</v>
      </c>
      <c r="H4384">
        <v>404.95909999999998</v>
      </c>
      <c r="I4384">
        <v>357.91449999999998</v>
      </c>
      <c r="J4384">
        <v>376.95800000000003</v>
      </c>
      <c r="K4384">
        <v>436.14819999999997</v>
      </c>
      <c r="P4384">
        <v>135</v>
      </c>
      <c r="Q4384" t="s">
        <v>9112</v>
      </c>
    </row>
    <row r="4385" spans="1:17" x14ac:dyDescent="0.3">
      <c r="A4385" t="s">
        <v>4664</v>
      </c>
      <c r="B4385" t="str">
        <f>"300632"</f>
        <v>300632</v>
      </c>
      <c r="C4385" t="s">
        <v>9113</v>
      </c>
      <c r="D4385" t="s">
        <v>803</v>
      </c>
      <c r="F4385">
        <v>80.293400000000005</v>
      </c>
      <c r="G4385">
        <v>72.742800000000003</v>
      </c>
      <c r="H4385">
        <v>56.627000000000002</v>
      </c>
      <c r="I4385">
        <v>64.034499999999994</v>
      </c>
      <c r="J4385">
        <v>79.591099999999997</v>
      </c>
      <c r="K4385">
        <v>41.229500000000002</v>
      </c>
      <c r="P4385">
        <v>201</v>
      </c>
      <c r="Q4385" t="s">
        <v>9114</v>
      </c>
    </row>
    <row r="4386" spans="1:17" x14ac:dyDescent="0.3">
      <c r="A4386" t="s">
        <v>4664</v>
      </c>
      <c r="B4386" t="str">
        <f>"300633"</f>
        <v>300633</v>
      </c>
      <c r="C4386" t="s">
        <v>9115</v>
      </c>
      <c r="D4386" t="s">
        <v>122</v>
      </c>
      <c r="F4386">
        <v>435.9298</v>
      </c>
      <c r="G4386">
        <v>458.06459999999998</v>
      </c>
      <c r="H4386">
        <v>376.0213</v>
      </c>
      <c r="I4386">
        <v>382.65980000000002</v>
      </c>
      <c r="J4386">
        <v>381.79480000000001</v>
      </c>
      <c r="K4386">
        <v>403.06799999999998</v>
      </c>
      <c r="P4386">
        <v>515</v>
      </c>
      <c r="Q4386" t="s">
        <v>9116</v>
      </c>
    </row>
    <row r="4387" spans="1:17" x14ac:dyDescent="0.3">
      <c r="A4387" t="s">
        <v>4664</v>
      </c>
      <c r="B4387" t="str">
        <f>"300634"</f>
        <v>300634</v>
      </c>
      <c r="C4387" t="s">
        <v>9117</v>
      </c>
      <c r="D4387" t="s">
        <v>316</v>
      </c>
      <c r="F4387">
        <v>92.365300000000005</v>
      </c>
      <c r="G4387">
        <v>52.864699999999999</v>
      </c>
      <c r="H4387">
        <v>46.264299999999999</v>
      </c>
      <c r="I4387">
        <v>23.586300000000001</v>
      </c>
      <c r="J4387">
        <v>11.964499999999999</v>
      </c>
      <c r="P4387">
        <v>159</v>
      </c>
      <c r="Q4387" t="s">
        <v>9118</v>
      </c>
    </row>
    <row r="4388" spans="1:17" x14ac:dyDescent="0.3">
      <c r="A4388" t="s">
        <v>4664</v>
      </c>
      <c r="B4388" t="str">
        <f>"300635"</f>
        <v>300635</v>
      </c>
      <c r="C4388" t="s">
        <v>9119</v>
      </c>
      <c r="D4388" t="s">
        <v>1272</v>
      </c>
      <c r="F4388">
        <v>0.1643</v>
      </c>
      <c r="G4388">
        <v>0</v>
      </c>
      <c r="H4388">
        <v>0</v>
      </c>
      <c r="I4388">
        <v>0</v>
      </c>
      <c r="J4388">
        <v>0</v>
      </c>
      <c r="K4388">
        <v>0</v>
      </c>
      <c r="P4388">
        <v>113</v>
      </c>
      <c r="Q4388" t="s">
        <v>9120</v>
      </c>
    </row>
    <row r="4389" spans="1:17" x14ac:dyDescent="0.3">
      <c r="A4389" t="s">
        <v>4664</v>
      </c>
      <c r="B4389" t="str">
        <f>"300636"</f>
        <v>300636</v>
      </c>
      <c r="C4389" t="s">
        <v>9121</v>
      </c>
      <c r="D4389" t="s">
        <v>496</v>
      </c>
      <c r="F4389">
        <v>428.84620000000001</v>
      </c>
      <c r="G4389">
        <v>438.4248</v>
      </c>
      <c r="H4389">
        <v>379.9452</v>
      </c>
      <c r="I4389">
        <v>411.73759999999999</v>
      </c>
      <c r="J4389">
        <v>355.46800000000002</v>
      </c>
      <c r="K4389">
        <v>159.53579999999999</v>
      </c>
      <c r="P4389">
        <v>136</v>
      </c>
      <c r="Q4389" t="s">
        <v>9122</v>
      </c>
    </row>
    <row r="4390" spans="1:17" x14ac:dyDescent="0.3">
      <c r="A4390" t="s">
        <v>4664</v>
      </c>
      <c r="B4390" t="str">
        <f>"300637"</f>
        <v>300637</v>
      </c>
      <c r="C4390" t="s">
        <v>9123</v>
      </c>
      <c r="D4390" t="s">
        <v>2399</v>
      </c>
      <c r="F4390">
        <v>158.33179999999999</v>
      </c>
      <c r="G4390">
        <v>200.11269999999999</v>
      </c>
      <c r="H4390">
        <v>187.62280000000001</v>
      </c>
      <c r="I4390">
        <v>151.8349</v>
      </c>
      <c r="J4390">
        <v>111.271</v>
      </c>
      <c r="K4390">
        <v>65.259500000000003</v>
      </c>
      <c r="P4390">
        <v>117</v>
      </c>
      <c r="Q4390" t="s">
        <v>9124</v>
      </c>
    </row>
    <row r="4391" spans="1:17" x14ac:dyDescent="0.3">
      <c r="A4391" t="s">
        <v>4664</v>
      </c>
      <c r="B4391" t="str">
        <f>"300638"</f>
        <v>300638</v>
      </c>
      <c r="C4391" t="s">
        <v>9125</v>
      </c>
      <c r="D4391" t="s">
        <v>786</v>
      </c>
      <c r="F4391">
        <v>120.8659</v>
      </c>
      <c r="G4391">
        <v>84.195400000000006</v>
      </c>
      <c r="H4391">
        <v>52.119100000000003</v>
      </c>
      <c r="I4391">
        <v>64.351100000000002</v>
      </c>
      <c r="J4391">
        <v>88.090299999999999</v>
      </c>
      <c r="K4391">
        <v>36.254600000000003</v>
      </c>
      <c r="P4391">
        <v>757</v>
      </c>
      <c r="Q4391" t="s">
        <v>9126</v>
      </c>
    </row>
    <row r="4392" spans="1:17" x14ac:dyDescent="0.3">
      <c r="A4392" t="s">
        <v>4664</v>
      </c>
      <c r="B4392" t="str">
        <f>"300639"</f>
        <v>300639</v>
      </c>
      <c r="C4392" t="s">
        <v>9127</v>
      </c>
      <c r="D4392" t="s">
        <v>1305</v>
      </c>
      <c r="F4392">
        <v>77.825599999999994</v>
      </c>
      <c r="G4392">
        <v>119.2206</v>
      </c>
      <c r="H4392">
        <v>172.49639999999999</v>
      </c>
      <c r="I4392">
        <v>201.36199999999999</v>
      </c>
      <c r="J4392">
        <v>277.01979999999998</v>
      </c>
      <c r="K4392">
        <v>129.8015</v>
      </c>
      <c r="P4392">
        <v>535</v>
      </c>
      <c r="Q4392" t="s">
        <v>9128</v>
      </c>
    </row>
    <row r="4393" spans="1:17" x14ac:dyDescent="0.3">
      <c r="A4393" t="s">
        <v>4664</v>
      </c>
      <c r="B4393" t="str">
        <f>"300640"</f>
        <v>300640</v>
      </c>
      <c r="C4393" t="s">
        <v>9129</v>
      </c>
      <c r="D4393" t="s">
        <v>2436</v>
      </c>
      <c r="F4393">
        <v>5.1230000000000002</v>
      </c>
      <c r="G4393">
        <v>7.9497999999999998</v>
      </c>
      <c r="H4393">
        <v>6.3819999999999997</v>
      </c>
      <c r="I4393">
        <v>7.3426</v>
      </c>
      <c r="J4393">
        <v>10.1983</v>
      </c>
      <c r="K4393">
        <v>7.7313000000000001</v>
      </c>
      <c r="P4393">
        <v>79</v>
      </c>
      <c r="Q4393" t="s">
        <v>9130</v>
      </c>
    </row>
    <row r="4394" spans="1:17" x14ac:dyDescent="0.3">
      <c r="A4394" t="s">
        <v>4664</v>
      </c>
      <c r="B4394" t="str">
        <f>"300641"</f>
        <v>300641</v>
      </c>
      <c r="C4394" t="s">
        <v>9131</v>
      </c>
      <c r="D4394" t="s">
        <v>386</v>
      </c>
      <c r="F4394">
        <v>67.386200000000002</v>
      </c>
      <c r="G4394">
        <v>71.866399999999999</v>
      </c>
      <c r="H4394">
        <v>83.891999999999996</v>
      </c>
      <c r="I4394">
        <v>71.0214</v>
      </c>
      <c r="J4394">
        <v>49.755600000000001</v>
      </c>
      <c r="K4394">
        <v>25.6248</v>
      </c>
      <c r="P4394">
        <v>79</v>
      </c>
      <c r="Q4394" t="s">
        <v>9132</v>
      </c>
    </row>
    <row r="4395" spans="1:17" x14ac:dyDescent="0.3">
      <c r="A4395" t="s">
        <v>4664</v>
      </c>
      <c r="B4395" t="str">
        <f>"300642"</f>
        <v>300642</v>
      </c>
      <c r="C4395" t="s">
        <v>9133</v>
      </c>
      <c r="D4395" t="s">
        <v>1305</v>
      </c>
      <c r="F4395">
        <v>470.72519999999997</v>
      </c>
      <c r="G4395">
        <v>514.70719999999994</v>
      </c>
      <c r="H4395">
        <v>552.59540000000004</v>
      </c>
      <c r="I4395">
        <v>521.94119999999998</v>
      </c>
      <c r="J4395">
        <v>567.65549999999996</v>
      </c>
      <c r="P4395">
        <v>417</v>
      </c>
      <c r="Q4395" t="s">
        <v>9134</v>
      </c>
    </row>
    <row r="4396" spans="1:17" x14ac:dyDescent="0.3">
      <c r="A4396" t="s">
        <v>4664</v>
      </c>
      <c r="B4396" t="str">
        <f>"300643"</f>
        <v>300643</v>
      </c>
      <c r="C4396" t="s">
        <v>9135</v>
      </c>
      <c r="D4396" t="s">
        <v>985</v>
      </c>
      <c r="F4396">
        <v>101.38590000000001</v>
      </c>
      <c r="G4396">
        <v>119.06740000000001</v>
      </c>
      <c r="H4396">
        <v>105.6165</v>
      </c>
      <c r="I4396">
        <v>103.9402</v>
      </c>
      <c r="J4396">
        <v>100.4109</v>
      </c>
      <c r="K4396">
        <v>51.2684</v>
      </c>
      <c r="P4396">
        <v>96</v>
      </c>
      <c r="Q4396" t="s">
        <v>9136</v>
      </c>
    </row>
    <row r="4397" spans="1:17" x14ac:dyDescent="0.3">
      <c r="A4397" t="s">
        <v>4664</v>
      </c>
      <c r="B4397" t="str">
        <f>"300644"</f>
        <v>300644</v>
      </c>
      <c r="C4397" t="s">
        <v>9137</v>
      </c>
      <c r="D4397" t="s">
        <v>341</v>
      </c>
      <c r="F4397">
        <v>112.6412</v>
      </c>
      <c r="G4397">
        <v>132.26230000000001</v>
      </c>
      <c r="H4397">
        <v>103.57380000000001</v>
      </c>
      <c r="I4397">
        <v>87.541499999999999</v>
      </c>
      <c r="J4397">
        <v>47.786799999999999</v>
      </c>
      <c r="P4397">
        <v>133</v>
      </c>
      <c r="Q4397" t="s">
        <v>9138</v>
      </c>
    </row>
    <row r="4398" spans="1:17" x14ac:dyDescent="0.3">
      <c r="A4398" t="s">
        <v>4664</v>
      </c>
      <c r="B4398" t="str">
        <f>"300645"</f>
        <v>300645</v>
      </c>
      <c r="C4398" t="s">
        <v>9139</v>
      </c>
      <c r="D4398" t="s">
        <v>236</v>
      </c>
      <c r="F4398">
        <v>381.3306</v>
      </c>
      <c r="G4398">
        <v>393.67059999999998</v>
      </c>
      <c r="H4398">
        <v>403.40199999999999</v>
      </c>
      <c r="I4398">
        <v>338.07639999999998</v>
      </c>
      <c r="J4398">
        <v>278.38709999999998</v>
      </c>
      <c r="K4398">
        <v>138.34299999999999</v>
      </c>
      <c r="P4398">
        <v>111</v>
      </c>
      <c r="Q4398" t="s">
        <v>9140</v>
      </c>
    </row>
    <row r="4399" spans="1:17" x14ac:dyDescent="0.3">
      <c r="A4399" t="s">
        <v>4664</v>
      </c>
      <c r="B4399" t="str">
        <f>"300647"</f>
        <v>300647</v>
      </c>
      <c r="C4399" t="s">
        <v>9141</v>
      </c>
      <c r="D4399" t="s">
        <v>313</v>
      </c>
      <c r="F4399">
        <v>278.20269999999999</v>
      </c>
      <c r="G4399">
        <v>177.8374</v>
      </c>
      <c r="H4399">
        <v>163.1</v>
      </c>
      <c r="I4399">
        <v>153.02549999999999</v>
      </c>
      <c r="J4399">
        <v>180.82679999999999</v>
      </c>
      <c r="K4399">
        <v>59.118400000000001</v>
      </c>
      <c r="P4399">
        <v>116</v>
      </c>
      <c r="Q4399" t="s">
        <v>9142</v>
      </c>
    </row>
    <row r="4400" spans="1:17" x14ac:dyDescent="0.3">
      <c r="A4400" t="s">
        <v>4664</v>
      </c>
      <c r="B4400" t="str">
        <f>"300648"</f>
        <v>300648</v>
      </c>
      <c r="C4400" t="s">
        <v>9143</v>
      </c>
      <c r="D4400" t="s">
        <v>3749</v>
      </c>
      <c r="F4400">
        <v>329.68869999999998</v>
      </c>
      <c r="G4400">
        <v>341.59269999999998</v>
      </c>
      <c r="H4400">
        <v>365.5018</v>
      </c>
      <c r="I4400">
        <v>311.4984</v>
      </c>
      <c r="J4400">
        <v>485.02010000000001</v>
      </c>
      <c r="K4400">
        <v>179.43559999999999</v>
      </c>
      <c r="P4400">
        <v>266</v>
      </c>
      <c r="Q4400" t="s">
        <v>9144</v>
      </c>
    </row>
    <row r="4401" spans="1:17" x14ac:dyDescent="0.3">
      <c r="A4401" t="s">
        <v>4664</v>
      </c>
      <c r="B4401" t="str">
        <f>"300649"</f>
        <v>300649</v>
      </c>
      <c r="C4401" t="s">
        <v>9145</v>
      </c>
      <c r="D4401" t="s">
        <v>2408</v>
      </c>
      <c r="F4401">
        <v>0</v>
      </c>
      <c r="G4401">
        <v>167.8604</v>
      </c>
      <c r="H4401">
        <v>182.2809</v>
      </c>
      <c r="I4401">
        <v>0</v>
      </c>
      <c r="J4401">
        <v>0</v>
      </c>
      <c r="K4401">
        <v>0</v>
      </c>
      <c r="P4401">
        <v>91</v>
      </c>
      <c r="Q4401" t="s">
        <v>9146</v>
      </c>
    </row>
    <row r="4402" spans="1:17" x14ac:dyDescent="0.3">
      <c r="A4402" t="s">
        <v>4664</v>
      </c>
      <c r="B4402" t="str">
        <f>"300650"</f>
        <v>300650</v>
      </c>
      <c r="C4402" t="s">
        <v>9147</v>
      </c>
      <c r="D4402" t="s">
        <v>803</v>
      </c>
      <c r="F4402">
        <v>45.357700000000001</v>
      </c>
      <c r="G4402">
        <v>369.0136</v>
      </c>
      <c r="H4402">
        <v>174.5812</v>
      </c>
      <c r="I4402">
        <v>155.26849999999999</v>
      </c>
      <c r="J4402">
        <v>147.81800000000001</v>
      </c>
      <c r="K4402">
        <v>74.726900000000001</v>
      </c>
      <c r="P4402">
        <v>125</v>
      </c>
      <c r="Q4402" t="s">
        <v>9148</v>
      </c>
    </row>
    <row r="4403" spans="1:17" x14ac:dyDescent="0.3">
      <c r="A4403" t="s">
        <v>4664</v>
      </c>
      <c r="B4403" t="str">
        <f>"300651"</f>
        <v>300651</v>
      </c>
      <c r="C4403" t="s">
        <v>9149</v>
      </c>
      <c r="D4403" t="s">
        <v>327</v>
      </c>
      <c r="F4403">
        <v>328.60070000000002</v>
      </c>
      <c r="G4403">
        <v>238.9873</v>
      </c>
      <c r="H4403">
        <v>227.54589999999999</v>
      </c>
      <c r="I4403">
        <v>273.92169999999999</v>
      </c>
      <c r="J4403">
        <v>270.43040000000002</v>
      </c>
      <c r="K4403">
        <v>101.4451</v>
      </c>
      <c r="P4403">
        <v>99</v>
      </c>
      <c r="Q4403" t="s">
        <v>9150</v>
      </c>
    </row>
    <row r="4404" spans="1:17" x14ac:dyDescent="0.3">
      <c r="A4404" t="s">
        <v>4664</v>
      </c>
      <c r="B4404" t="str">
        <f>"300652"</f>
        <v>300652</v>
      </c>
      <c r="C4404" t="s">
        <v>9151</v>
      </c>
      <c r="D4404" t="s">
        <v>422</v>
      </c>
      <c r="F4404">
        <v>230.2577</v>
      </c>
      <c r="G4404">
        <v>235.8109</v>
      </c>
      <c r="H4404">
        <v>214.17420000000001</v>
      </c>
      <c r="I4404">
        <v>222.9743</v>
      </c>
      <c r="J4404">
        <v>200.8742</v>
      </c>
      <c r="K4404">
        <v>99.622600000000006</v>
      </c>
      <c r="P4404">
        <v>92</v>
      </c>
      <c r="Q4404" t="s">
        <v>9152</v>
      </c>
    </row>
    <row r="4405" spans="1:17" x14ac:dyDescent="0.3">
      <c r="A4405" t="s">
        <v>4664</v>
      </c>
      <c r="B4405" t="str">
        <f>"300653"</f>
        <v>300653</v>
      </c>
      <c r="C4405" t="s">
        <v>9153</v>
      </c>
      <c r="D4405" t="s">
        <v>1077</v>
      </c>
      <c r="F4405">
        <v>317.66759999999999</v>
      </c>
      <c r="G4405">
        <v>459.33229999999998</v>
      </c>
      <c r="H4405">
        <v>447.93400000000003</v>
      </c>
      <c r="I4405">
        <v>292.71190000000001</v>
      </c>
      <c r="J4405">
        <v>312.01089999999999</v>
      </c>
      <c r="K4405">
        <v>161.7876</v>
      </c>
      <c r="P4405">
        <v>898</v>
      </c>
      <c r="Q4405" t="s">
        <v>9154</v>
      </c>
    </row>
    <row r="4406" spans="1:17" x14ac:dyDescent="0.3">
      <c r="A4406" t="s">
        <v>4664</v>
      </c>
      <c r="B4406" t="str">
        <f>"300654"</f>
        <v>300654</v>
      </c>
      <c r="C4406" t="s">
        <v>9155</v>
      </c>
      <c r="D4406" t="s">
        <v>1536</v>
      </c>
      <c r="F4406">
        <v>75.418499999999995</v>
      </c>
      <c r="G4406">
        <v>83.868600000000001</v>
      </c>
      <c r="H4406">
        <v>95.176199999999994</v>
      </c>
      <c r="I4406">
        <v>112.8107</v>
      </c>
      <c r="J4406">
        <v>127.4503</v>
      </c>
      <c r="K4406">
        <v>69.515799999999999</v>
      </c>
      <c r="P4406">
        <v>73</v>
      </c>
      <c r="Q4406" t="s">
        <v>9156</v>
      </c>
    </row>
    <row r="4407" spans="1:17" x14ac:dyDescent="0.3">
      <c r="A4407" t="s">
        <v>4664</v>
      </c>
      <c r="B4407" t="str">
        <f>"300655"</f>
        <v>300655</v>
      </c>
      <c r="C4407" t="s">
        <v>9157</v>
      </c>
      <c r="D4407" t="s">
        <v>2399</v>
      </c>
      <c r="F4407">
        <v>36.337400000000002</v>
      </c>
      <c r="G4407">
        <v>71.812200000000004</v>
      </c>
      <c r="H4407">
        <v>75.556100000000001</v>
      </c>
      <c r="I4407">
        <v>59.728299999999997</v>
      </c>
      <c r="J4407">
        <v>70.723600000000005</v>
      </c>
      <c r="K4407">
        <v>33.481999999999999</v>
      </c>
      <c r="P4407">
        <v>3076</v>
      </c>
      <c r="Q4407" t="s">
        <v>9158</v>
      </c>
    </row>
    <row r="4408" spans="1:17" x14ac:dyDescent="0.3">
      <c r="A4408" t="s">
        <v>4664</v>
      </c>
      <c r="B4408" t="str">
        <f>"300656"</f>
        <v>300656</v>
      </c>
      <c r="C4408" t="s">
        <v>9159</v>
      </c>
      <c r="D4408" t="s">
        <v>651</v>
      </c>
      <c r="F4408">
        <v>111.711</v>
      </c>
      <c r="G4408">
        <v>184.27610000000001</v>
      </c>
      <c r="H4408">
        <v>321.08170000000001</v>
      </c>
      <c r="I4408">
        <v>196.50399999999999</v>
      </c>
      <c r="J4408">
        <v>227.51390000000001</v>
      </c>
      <c r="K4408">
        <v>73.347999999999999</v>
      </c>
      <c r="P4408">
        <v>80</v>
      </c>
      <c r="Q4408" t="s">
        <v>9160</v>
      </c>
    </row>
    <row r="4409" spans="1:17" x14ac:dyDescent="0.3">
      <c r="A4409" t="s">
        <v>4664</v>
      </c>
      <c r="B4409" t="str">
        <f>"300657"</f>
        <v>300657</v>
      </c>
      <c r="C4409" t="s">
        <v>9161</v>
      </c>
      <c r="D4409" t="s">
        <v>425</v>
      </c>
      <c r="F4409">
        <v>65.784899999999993</v>
      </c>
      <c r="G4409">
        <v>64.171700000000001</v>
      </c>
      <c r="H4409">
        <v>49.333300000000001</v>
      </c>
      <c r="I4409">
        <v>38.961399999999998</v>
      </c>
      <c r="J4409">
        <v>43.1843</v>
      </c>
      <c r="K4409">
        <v>26.937100000000001</v>
      </c>
      <c r="P4409">
        <v>257</v>
      </c>
      <c r="Q4409" t="s">
        <v>9162</v>
      </c>
    </row>
    <row r="4410" spans="1:17" x14ac:dyDescent="0.3">
      <c r="A4410" t="s">
        <v>4664</v>
      </c>
      <c r="B4410" t="str">
        <f>"300658"</f>
        <v>300658</v>
      </c>
      <c r="C4410" t="s">
        <v>9163</v>
      </c>
      <c r="D4410" t="s">
        <v>2728</v>
      </c>
      <c r="F4410">
        <v>103.306</v>
      </c>
      <c r="G4410">
        <v>103.4956</v>
      </c>
      <c r="H4410">
        <v>83.3249</v>
      </c>
      <c r="I4410">
        <v>99.291899999999998</v>
      </c>
      <c r="J4410">
        <v>69.408500000000004</v>
      </c>
      <c r="K4410">
        <v>34.813699999999997</v>
      </c>
      <c r="P4410">
        <v>232</v>
      </c>
      <c r="Q4410" t="s">
        <v>9164</v>
      </c>
    </row>
    <row r="4411" spans="1:17" x14ac:dyDescent="0.3">
      <c r="A4411" t="s">
        <v>4664</v>
      </c>
      <c r="B4411" t="str">
        <f>"300659"</f>
        <v>300659</v>
      </c>
      <c r="C4411" t="s">
        <v>9165</v>
      </c>
      <c r="D4411" t="s">
        <v>236</v>
      </c>
      <c r="F4411">
        <v>200.38210000000001</v>
      </c>
      <c r="G4411">
        <v>169.93</v>
      </c>
      <c r="H4411">
        <v>242.77440000000001</v>
      </c>
      <c r="I4411">
        <v>182.25399999999999</v>
      </c>
      <c r="J4411">
        <v>147.4</v>
      </c>
      <c r="K4411">
        <v>71.465400000000002</v>
      </c>
      <c r="P4411">
        <v>272</v>
      </c>
      <c r="Q4411" t="s">
        <v>9166</v>
      </c>
    </row>
    <row r="4412" spans="1:17" x14ac:dyDescent="0.3">
      <c r="A4412" t="s">
        <v>4664</v>
      </c>
      <c r="B4412" t="str">
        <f>"300660"</f>
        <v>300660</v>
      </c>
      <c r="C4412" t="s">
        <v>9167</v>
      </c>
      <c r="D4412" t="s">
        <v>1171</v>
      </c>
      <c r="F4412">
        <v>125.3481</v>
      </c>
      <c r="G4412">
        <v>126.7482</v>
      </c>
      <c r="H4412">
        <v>112.2694</v>
      </c>
      <c r="I4412">
        <v>102.07769999999999</v>
      </c>
      <c r="J4412">
        <v>100.3557</v>
      </c>
      <c r="K4412">
        <v>46.150100000000002</v>
      </c>
      <c r="P4412">
        <v>108</v>
      </c>
      <c r="Q4412" t="s">
        <v>9168</v>
      </c>
    </row>
    <row r="4413" spans="1:17" x14ac:dyDescent="0.3">
      <c r="A4413" t="s">
        <v>4664</v>
      </c>
      <c r="B4413" t="str">
        <f>"300661"</f>
        <v>300661</v>
      </c>
      <c r="C4413" t="s">
        <v>9169</v>
      </c>
      <c r="D4413" t="s">
        <v>401</v>
      </c>
      <c r="F4413">
        <v>162.09039999999999</v>
      </c>
      <c r="G4413">
        <v>173.94110000000001</v>
      </c>
      <c r="H4413">
        <v>157.45259999999999</v>
      </c>
      <c r="I4413">
        <v>142.01580000000001</v>
      </c>
      <c r="J4413">
        <v>108.43049999999999</v>
      </c>
      <c r="K4413">
        <v>50.069600000000001</v>
      </c>
      <c r="P4413">
        <v>1054</v>
      </c>
      <c r="Q4413" t="s">
        <v>9170</v>
      </c>
    </row>
    <row r="4414" spans="1:17" x14ac:dyDescent="0.3">
      <c r="A4414" t="s">
        <v>4664</v>
      </c>
      <c r="B4414" t="str">
        <f>"300662"</f>
        <v>300662</v>
      </c>
      <c r="C4414" t="s">
        <v>9171</v>
      </c>
      <c r="D4414" t="s">
        <v>9172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0</v>
      </c>
      <c r="P4414">
        <v>688</v>
      </c>
      <c r="Q4414" t="s">
        <v>9173</v>
      </c>
    </row>
    <row r="4415" spans="1:17" x14ac:dyDescent="0.3">
      <c r="A4415" t="s">
        <v>4664</v>
      </c>
      <c r="B4415" t="str">
        <f>"300663"</f>
        <v>300663</v>
      </c>
      <c r="C4415" t="s">
        <v>9174</v>
      </c>
      <c r="D4415" t="s">
        <v>945</v>
      </c>
      <c r="F4415">
        <v>461.91050000000001</v>
      </c>
      <c r="G4415">
        <v>295.27370000000002</v>
      </c>
      <c r="H4415">
        <v>285.76949999999999</v>
      </c>
      <c r="I4415">
        <v>325.91359999999997</v>
      </c>
      <c r="J4415">
        <v>267.0881</v>
      </c>
      <c r="K4415">
        <v>75.466899999999995</v>
      </c>
      <c r="P4415">
        <v>261</v>
      </c>
      <c r="Q4415" t="s">
        <v>9175</v>
      </c>
    </row>
    <row r="4416" spans="1:17" x14ac:dyDescent="0.3">
      <c r="A4416" t="s">
        <v>4664</v>
      </c>
      <c r="B4416" t="str">
        <f>"300664"</f>
        <v>300664</v>
      </c>
      <c r="C4416" t="s">
        <v>9176</v>
      </c>
      <c r="D4416" t="s">
        <v>33</v>
      </c>
      <c r="F4416">
        <v>45.967599999999997</v>
      </c>
      <c r="G4416">
        <v>273.4024</v>
      </c>
      <c r="H4416">
        <v>86.387500000000003</v>
      </c>
      <c r="I4416">
        <v>75.158799999999999</v>
      </c>
      <c r="P4416">
        <v>118</v>
      </c>
      <c r="Q4416" t="s">
        <v>9177</v>
      </c>
    </row>
    <row r="4417" spans="1:17" x14ac:dyDescent="0.3">
      <c r="A4417" t="s">
        <v>4664</v>
      </c>
      <c r="B4417" t="str">
        <f>"300665"</f>
        <v>300665</v>
      </c>
      <c r="C4417" t="s">
        <v>9178</v>
      </c>
      <c r="D4417" t="s">
        <v>2570</v>
      </c>
      <c r="F4417">
        <v>132.0334</v>
      </c>
      <c r="G4417">
        <v>146.58529999999999</v>
      </c>
      <c r="H4417">
        <v>178.09129999999999</v>
      </c>
      <c r="I4417">
        <v>145.28469999999999</v>
      </c>
      <c r="J4417">
        <v>161.72319999999999</v>
      </c>
      <c r="K4417">
        <v>68.1477</v>
      </c>
      <c r="P4417">
        <v>109</v>
      </c>
      <c r="Q4417" t="s">
        <v>9179</v>
      </c>
    </row>
    <row r="4418" spans="1:17" x14ac:dyDescent="0.3">
      <c r="A4418" t="s">
        <v>4664</v>
      </c>
      <c r="B4418" t="str">
        <f>"300666"</f>
        <v>300666</v>
      </c>
      <c r="C4418" t="s">
        <v>9180</v>
      </c>
      <c r="D4418" t="s">
        <v>475</v>
      </c>
      <c r="F4418">
        <v>224.63509999999999</v>
      </c>
      <c r="G4418">
        <v>242.66319999999999</v>
      </c>
      <c r="H4418">
        <v>224.37790000000001</v>
      </c>
      <c r="I4418">
        <v>195.476</v>
      </c>
      <c r="J4418">
        <v>173.7157</v>
      </c>
      <c r="K4418">
        <v>89.304100000000005</v>
      </c>
      <c r="P4418">
        <v>519</v>
      </c>
      <c r="Q4418" t="s">
        <v>9181</v>
      </c>
    </row>
    <row r="4419" spans="1:17" x14ac:dyDescent="0.3">
      <c r="A4419" t="s">
        <v>4664</v>
      </c>
      <c r="B4419" t="str">
        <f>"300667"</f>
        <v>300667</v>
      </c>
      <c r="C4419" t="s">
        <v>9182</v>
      </c>
      <c r="D4419" t="s">
        <v>2551</v>
      </c>
      <c r="F4419">
        <v>267.45519999999999</v>
      </c>
      <c r="G4419">
        <v>192.8886</v>
      </c>
      <c r="H4419">
        <v>255.73670000000001</v>
      </c>
      <c r="I4419">
        <v>424.06220000000002</v>
      </c>
      <c r="J4419">
        <v>477.46850000000001</v>
      </c>
      <c r="K4419">
        <v>123.928</v>
      </c>
      <c r="P4419">
        <v>144</v>
      </c>
      <c r="Q4419" t="s">
        <v>9183</v>
      </c>
    </row>
    <row r="4420" spans="1:17" x14ac:dyDescent="0.3">
      <c r="A4420" t="s">
        <v>4664</v>
      </c>
      <c r="B4420" t="str">
        <f>"300668"</f>
        <v>300668</v>
      </c>
      <c r="C4420" t="s">
        <v>9184</v>
      </c>
      <c r="D4420" t="s">
        <v>1272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0</v>
      </c>
      <c r="P4420">
        <v>207</v>
      </c>
      <c r="Q4420" t="s">
        <v>9185</v>
      </c>
    </row>
    <row r="4421" spans="1:17" x14ac:dyDescent="0.3">
      <c r="A4421" t="s">
        <v>4664</v>
      </c>
      <c r="B4421" t="str">
        <f>"300669"</f>
        <v>300669</v>
      </c>
      <c r="C4421" t="s">
        <v>9186</v>
      </c>
      <c r="D4421" t="s">
        <v>1689</v>
      </c>
      <c r="F4421">
        <v>75.016599999999997</v>
      </c>
      <c r="G4421">
        <v>84.061599999999999</v>
      </c>
      <c r="H4421">
        <v>80.878399999999999</v>
      </c>
      <c r="I4421">
        <v>53.9377</v>
      </c>
      <c r="J4421">
        <v>61.807499999999997</v>
      </c>
      <c r="K4421">
        <v>38.840800000000002</v>
      </c>
      <c r="P4421">
        <v>102</v>
      </c>
      <c r="Q4421" t="s">
        <v>9187</v>
      </c>
    </row>
    <row r="4422" spans="1:17" x14ac:dyDescent="0.3">
      <c r="A4422" t="s">
        <v>4664</v>
      </c>
      <c r="B4422" t="str">
        <f>"300670"</f>
        <v>300670</v>
      </c>
      <c r="C4422" t="s">
        <v>9188</v>
      </c>
      <c r="D4422" t="s">
        <v>657</v>
      </c>
      <c r="F4422">
        <v>64.257099999999994</v>
      </c>
      <c r="G4422">
        <v>82.079499999999996</v>
      </c>
      <c r="H4422">
        <v>88.769300000000001</v>
      </c>
      <c r="I4422">
        <v>69.390500000000003</v>
      </c>
      <c r="J4422">
        <v>54.543500000000002</v>
      </c>
      <c r="K4422">
        <v>16.9727</v>
      </c>
      <c r="P4422">
        <v>67</v>
      </c>
      <c r="Q4422" t="s">
        <v>9189</v>
      </c>
    </row>
    <row r="4423" spans="1:17" x14ac:dyDescent="0.3">
      <c r="A4423" t="s">
        <v>4664</v>
      </c>
      <c r="B4423" t="str">
        <f>"300671"</f>
        <v>300671</v>
      </c>
      <c r="C4423" t="s">
        <v>9190</v>
      </c>
      <c r="D4423" t="s">
        <v>401</v>
      </c>
      <c r="F4423">
        <v>201.91970000000001</v>
      </c>
      <c r="G4423">
        <v>242.57239999999999</v>
      </c>
      <c r="H4423">
        <v>242.244</v>
      </c>
      <c r="I4423">
        <v>252.26560000000001</v>
      </c>
      <c r="J4423">
        <v>227.00749999999999</v>
      </c>
      <c r="K4423">
        <v>152.01609999999999</v>
      </c>
      <c r="P4423">
        <v>301</v>
      </c>
      <c r="Q4423" t="s">
        <v>9191</v>
      </c>
    </row>
    <row r="4424" spans="1:17" x14ac:dyDescent="0.3">
      <c r="A4424" t="s">
        <v>4664</v>
      </c>
      <c r="B4424" t="str">
        <f>"300672"</f>
        <v>300672</v>
      </c>
      <c r="C4424" t="s">
        <v>9192</v>
      </c>
      <c r="D4424" t="s">
        <v>461</v>
      </c>
      <c r="F4424">
        <v>123.5166</v>
      </c>
      <c r="G4424">
        <v>448.2011</v>
      </c>
      <c r="H4424">
        <v>278.3897</v>
      </c>
      <c r="I4424">
        <v>358.80160000000001</v>
      </c>
      <c r="J4424">
        <v>512.75310000000002</v>
      </c>
      <c r="K4424">
        <v>125.777</v>
      </c>
      <c r="P4424">
        <v>305</v>
      </c>
      <c r="Q4424" t="s">
        <v>9193</v>
      </c>
    </row>
    <row r="4425" spans="1:17" x14ac:dyDescent="0.3">
      <c r="A4425" t="s">
        <v>4664</v>
      </c>
      <c r="B4425" t="str">
        <f>"300673"</f>
        <v>300673</v>
      </c>
      <c r="C4425" t="s">
        <v>9194</v>
      </c>
      <c r="D4425" t="s">
        <v>7467</v>
      </c>
      <c r="F4425">
        <v>187.959</v>
      </c>
      <c r="G4425">
        <v>108.7316</v>
      </c>
      <c r="H4425">
        <v>126.4817</v>
      </c>
      <c r="I4425">
        <v>106.9567</v>
      </c>
      <c r="J4425">
        <v>88.032700000000006</v>
      </c>
      <c r="K4425">
        <v>31.117799999999999</v>
      </c>
      <c r="P4425">
        <v>512</v>
      </c>
      <c r="Q4425" t="s">
        <v>9195</v>
      </c>
    </row>
    <row r="4426" spans="1:17" x14ac:dyDescent="0.3">
      <c r="A4426" t="s">
        <v>4664</v>
      </c>
      <c r="B4426" t="str">
        <f>"300674"</f>
        <v>300674</v>
      </c>
      <c r="C4426" t="s">
        <v>9196</v>
      </c>
      <c r="D4426" t="s">
        <v>316</v>
      </c>
      <c r="F4426">
        <v>298.61590000000001</v>
      </c>
      <c r="G4426">
        <v>245.17009999999999</v>
      </c>
      <c r="H4426">
        <v>202.69290000000001</v>
      </c>
      <c r="I4426">
        <v>280.05369999999999</v>
      </c>
      <c r="J4426">
        <v>114.7149</v>
      </c>
      <c r="P4426">
        <v>348</v>
      </c>
      <c r="Q4426" t="s">
        <v>9197</v>
      </c>
    </row>
    <row r="4427" spans="1:17" x14ac:dyDescent="0.3">
      <c r="A4427" t="s">
        <v>4664</v>
      </c>
      <c r="B4427" t="str">
        <f>"300675"</f>
        <v>300675</v>
      </c>
      <c r="C4427" t="s">
        <v>9198</v>
      </c>
      <c r="D4427" t="s">
        <v>1272</v>
      </c>
      <c r="F4427">
        <v>0.17630000000000001</v>
      </c>
      <c r="G4427">
        <v>0.154</v>
      </c>
      <c r="H4427">
        <v>0.1825</v>
      </c>
      <c r="I4427">
        <v>0.14199999999999999</v>
      </c>
      <c r="J4427">
        <v>0.3881</v>
      </c>
      <c r="K4427">
        <v>1.0975999999999999</v>
      </c>
      <c r="P4427">
        <v>85</v>
      </c>
      <c r="Q4427" t="s">
        <v>9199</v>
      </c>
    </row>
    <row r="4428" spans="1:17" x14ac:dyDescent="0.3">
      <c r="A4428" t="s">
        <v>4664</v>
      </c>
      <c r="B4428" t="str">
        <f>"300676"</f>
        <v>300676</v>
      </c>
      <c r="C4428" t="s">
        <v>9200</v>
      </c>
      <c r="D4428" t="s">
        <v>1305</v>
      </c>
      <c r="F4428">
        <v>178.19040000000001</v>
      </c>
      <c r="G4428">
        <v>109.4503</v>
      </c>
      <c r="H4428">
        <v>118.3807</v>
      </c>
      <c r="I4428">
        <v>76.759200000000007</v>
      </c>
      <c r="J4428">
        <v>63.488999999999997</v>
      </c>
      <c r="K4428">
        <v>39.596200000000003</v>
      </c>
      <c r="P4428">
        <v>1481</v>
      </c>
      <c r="Q4428" t="s">
        <v>9201</v>
      </c>
    </row>
    <row r="4429" spans="1:17" x14ac:dyDescent="0.3">
      <c r="A4429" t="s">
        <v>4664</v>
      </c>
      <c r="B4429" t="str">
        <f>"300677"</f>
        <v>300677</v>
      </c>
      <c r="C4429" t="s">
        <v>9202</v>
      </c>
      <c r="D4429" t="s">
        <v>1077</v>
      </c>
      <c r="F4429">
        <v>71.647199999999998</v>
      </c>
      <c r="G4429">
        <v>51.042000000000002</v>
      </c>
      <c r="H4429">
        <v>64.795100000000005</v>
      </c>
      <c r="I4429">
        <v>64.947599999999994</v>
      </c>
      <c r="J4429">
        <v>55.7044</v>
      </c>
      <c r="K4429">
        <v>21.82</v>
      </c>
      <c r="P4429">
        <v>1821</v>
      </c>
      <c r="Q4429" t="s">
        <v>9203</v>
      </c>
    </row>
    <row r="4430" spans="1:17" x14ac:dyDescent="0.3">
      <c r="A4430" t="s">
        <v>4664</v>
      </c>
      <c r="B4430" t="str">
        <f>"300678"</f>
        <v>300678</v>
      </c>
      <c r="C4430" t="s">
        <v>9204</v>
      </c>
      <c r="D4430" t="s">
        <v>316</v>
      </c>
      <c r="F4430">
        <v>440.63290000000001</v>
      </c>
      <c r="G4430">
        <v>358.82260000000002</v>
      </c>
      <c r="H4430">
        <v>340.78879999999998</v>
      </c>
      <c r="I4430">
        <v>312.73090000000002</v>
      </c>
      <c r="J4430">
        <v>406.44229999999999</v>
      </c>
      <c r="K4430">
        <v>156.22919999999999</v>
      </c>
      <c r="P4430">
        <v>105</v>
      </c>
      <c r="Q4430" t="s">
        <v>9205</v>
      </c>
    </row>
    <row r="4431" spans="1:17" x14ac:dyDescent="0.3">
      <c r="A4431" t="s">
        <v>4664</v>
      </c>
      <c r="B4431" t="str">
        <f>"300679"</f>
        <v>300679</v>
      </c>
      <c r="C4431" t="s">
        <v>9206</v>
      </c>
      <c r="D4431" t="s">
        <v>313</v>
      </c>
      <c r="F4431">
        <v>105.6414</v>
      </c>
      <c r="G4431">
        <v>112.4427</v>
      </c>
      <c r="H4431">
        <v>94.371399999999994</v>
      </c>
      <c r="I4431">
        <v>93.239099999999993</v>
      </c>
      <c r="J4431">
        <v>93.8797</v>
      </c>
      <c r="K4431">
        <v>39.864199999999997</v>
      </c>
      <c r="P4431">
        <v>334</v>
      </c>
      <c r="Q4431" t="s">
        <v>9207</v>
      </c>
    </row>
    <row r="4432" spans="1:17" x14ac:dyDescent="0.3">
      <c r="A4432" t="s">
        <v>4664</v>
      </c>
      <c r="B4432" t="str">
        <f>"300680"</f>
        <v>300680</v>
      </c>
      <c r="C4432" t="s">
        <v>9208</v>
      </c>
      <c r="D4432" t="s">
        <v>348</v>
      </c>
      <c r="F4432">
        <v>146.78710000000001</v>
      </c>
      <c r="G4432">
        <v>183.9348</v>
      </c>
      <c r="H4432">
        <v>220.0035</v>
      </c>
      <c r="I4432">
        <v>373.74720000000002</v>
      </c>
      <c r="J4432">
        <v>213.21690000000001</v>
      </c>
      <c r="K4432">
        <v>103.2988</v>
      </c>
      <c r="P4432">
        <v>114</v>
      </c>
      <c r="Q4432" t="s">
        <v>9209</v>
      </c>
    </row>
    <row r="4433" spans="1:17" x14ac:dyDescent="0.3">
      <c r="A4433" t="s">
        <v>4664</v>
      </c>
      <c r="B4433" t="str">
        <f>"300681"</f>
        <v>300681</v>
      </c>
      <c r="C4433" t="s">
        <v>9210</v>
      </c>
      <c r="D4433" t="s">
        <v>1415</v>
      </c>
      <c r="F4433">
        <v>370.60759999999999</v>
      </c>
      <c r="G4433">
        <v>321.98860000000002</v>
      </c>
      <c r="H4433">
        <v>354.51409999999998</v>
      </c>
      <c r="I4433">
        <v>207.57040000000001</v>
      </c>
      <c r="J4433">
        <v>206.17359999999999</v>
      </c>
      <c r="K4433">
        <v>126.5904</v>
      </c>
      <c r="P4433">
        <v>89</v>
      </c>
      <c r="Q4433" t="s">
        <v>9211</v>
      </c>
    </row>
    <row r="4434" spans="1:17" x14ac:dyDescent="0.3">
      <c r="A4434" t="s">
        <v>4664</v>
      </c>
      <c r="B4434" t="str">
        <f>"300682"</f>
        <v>300682</v>
      </c>
      <c r="C4434" t="s">
        <v>9212</v>
      </c>
      <c r="D4434" t="s">
        <v>316</v>
      </c>
      <c r="F4434">
        <v>136.98840000000001</v>
      </c>
      <c r="G4434">
        <v>170.69</v>
      </c>
      <c r="H4434">
        <v>152.18170000000001</v>
      </c>
      <c r="I4434">
        <v>481.58629999999999</v>
      </c>
      <c r="J4434">
        <v>425.96749999999997</v>
      </c>
      <c r="P4434">
        <v>254</v>
      </c>
      <c r="Q4434" t="s">
        <v>9213</v>
      </c>
    </row>
    <row r="4435" spans="1:17" x14ac:dyDescent="0.3">
      <c r="A4435" t="s">
        <v>4664</v>
      </c>
      <c r="B4435" t="str">
        <f>"300683"</f>
        <v>300683</v>
      </c>
      <c r="C4435" t="s">
        <v>9214</v>
      </c>
      <c r="D4435" t="s">
        <v>1379</v>
      </c>
      <c r="F4435">
        <v>184.1746</v>
      </c>
      <c r="G4435">
        <v>157.161</v>
      </c>
      <c r="H4435">
        <v>191.6317</v>
      </c>
      <c r="I4435">
        <v>392.74619999999999</v>
      </c>
      <c r="J4435">
        <v>229.96430000000001</v>
      </c>
      <c r="K4435">
        <v>165.9913</v>
      </c>
      <c r="P4435">
        <v>123</v>
      </c>
      <c r="Q4435" t="s">
        <v>9215</v>
      </c>
    </row>
    <row r="4436" spans="1:17" x14ac:dyDescent="0.3">
      <c r="A4436" t="s">
        <v>4664</v>
      </c>
      <c r="B4436" t="str">
        <f>"300684"</f>
        <v>300684</v>
      </c>
      <c r="C4436" t="s">
        <v>9216</v>
      </c>
      <c r="D4436" t="s">
        <v>313</v>
      </c>
      <c r="F4436">
        <v>73.547600000000003</v>
      </c>
      <c r="G4436">
        <v>79.697199999999995</v>
      </c>
      <c r="H4436">
        <v>108.44759999999999</v>
      </c>
      <c r="I4436">
        <v>111.31180000000001</v>
      </c>
      <c r="J4436">
        <v>107.96080000000001</v>
      </c>
      <c r="P4436">
        <v>348</v>
      </c>
      <c r="Q4436" t="s">
        <v>9217</v>
      </c>
    </row>
    <row r="4437" spans="1:17" x14ac:dyDescent="0.3">
      <c r="A4437" t="s">
        <v>4664</v>
      </c>
      <c r="B4437" t="str">
        <f>"300685"</f>
        <v>300685</v>
      </c>
      <c r="C4437" t="s">
        <v>9218</v>
      </c>
      <c r="D4437" t="s">
        <v>1305</v>
      </c>
      <c r="F4437">
        <v>99.062200000000004</v>
      </c>
      <c r="G4437">
        <v>157.9718</v>
      </c>
      <c r="H4437">
        <v>145.5077</v>
      </c>
      <c r="I4437">
        <v>161.458</v>
      </c>
      <c r="J4437">
        <v>178.3484</v>
      </c>
      <c r="K4437">
        <v>85.108099999999993</v>
      </c>
      <c r="P4437">
        <v>974</v>
      </c>
      <c r="Q4437" t="s">
        <v>9219</v>
      </c>
    </row>
    <row r="4438" spans="1:17" x14ac:dyDescent="0.3">
      <c r="A4438" t="s">
        <v>4664</v>
      </c>
      <c r="B4438" t="str">
        <f>"300686"</f>
        <v>300686</v>
      </c>
      <c r="C4438" t="s">
        <v>9220</v>
      </c>
      <c r="D4438" t="s">
        <v>313</v>
      </c>
      <c r="F4438">
        <v>61.514699999999998</v>
      </c>
      <c r="G4438">
        <v>81.540300000000002</v>
      </c>
      <c r="H4438">
        <v>63.932200000000002</v>
      </c>
      <c r="I4438">
        <v>99.375600000000006</v>
      </c>
      <c r="J4438">
        <v>124.3539</v>
      </c>
      <c r="P4438">
        <v>192</v>
      </c>
      <c r="Q4438" t="s">
        <v>9221</v>
      </c>
    </row>
    <row r="4439" spans="1:17" x14ac:dyDescent="0.3">
      <c r="A4439" t="s">
        <v>4664</v>
      </c>
      <c r="B4439" t="str">
        <f>"300687"</f>
        <v>300687</v>
      </c>
      <c r="C4439" t="s">
        <v>9222</v>
      </c>
      <c r="D4439" t="s">
        <v>316</v>
      </c>
      <c r="F4439">
        <v>37.656100000000002</v>
      </c>
      <c r="G4439">
        <v>20.091000000000001</v>
      </c>
      <c r="H4439">
        <v>1.1164000000000001</v>
      </c>
      <c r="I4439">
        <v>0.50129999999999997</v>
      </c>
      <c r="J4439">
        <v>0</v>
      </c>
      <c r="K4439">
        <v>0</v>
      </c>
      <c r="P4439">
        <v>266</v>
      </c>
      <c r="Q4439" t="s">
        <v>9223</v>
      </c>
    </row>
    <row r="4440" spans="1:17" x14ac:dyDescent="0.3">
      <c r="A4440" t="s">
        <v>4664</v>
      </c>
      <c r="B4440" t="str">
        <f>"300688"</f>
        <v>300688</v>
      </c>
      <c r="C4440" t="s">
        <v>9224</v>
      </c>
      <c r="D4440" t="s">
        <v>1336</v>
      </c>
      <c r="F4440">
        <v>0</v>
      </c>
      <c r="G4440">
        <v>0</v>
      </c>
      <c r="H4440">
        <v>0</v>
      </c>
      <c r="I4440">
        <v>0</v>
      </c>
      <c r="J4440">
        <v>0.64129999999999998</v>
      </c>
      <c r="K4440">
        <v>0</v>
      </c>
      <c r="P4440">
        <v>83</v>
      </c>
      <c r="Q4440" t="s">
        <v>9225</v>
      </c>
    </row>
    <row r="4441" spans="1:17" x14ac:dyDescent="0.3">
      <c r="A4441" t="s">
        <v>4664</v>
      </c>
      <c r="B4441" t="str">
        <f>"300689"</f>
        <v>300689</v>
      </c>
      <c r="C4441" t="s">
        <v>9226</v>
      </c>
      <c r="D4441" t="s">
        <v>786</v>
      </c>
      <c r="F4441">
        <v>67.007000000000005</v>
      </c>
      <c r="G4441">
        <v>71.230599999999995</v>
      </c>
      <c r="H4441">
        <v>60.658299999999997</v>
      </c>
      <c r="I4441">
        <v>56.5047</v>
      </c>
      <c r="J4441">
        <v>51.388399999999997</v>
      </c>
      <c r="K4441">
        <v>24.048200000000001</v>
      </c>
      <c r="P4441">
        <v>76</v>
      </c>
      <c r="Q4441" t="s">
        <v>9227</v>
      </c>
    </row>
    <row r="4442" spans="1:17" x14ac:dyDescent="0.3">
      <c r="A4442" t="s">
        <v>4664</v>
      </c>
      <c r="B4442" t="str">
        <f>"300690"</f>
        <v>300690</v>
      </c>
      <c r="C4442" t="s">
        <v>9228</v>
      </c>
      <c r="D4442" t="s">
        <v>950</v>
      </c>
      <c r="F4442">
        <v>128.14689999999999</v>
      </c>
      <c r="G4442">
        <v>104.42610000000001</v>
      </c>
      <c r="H4442">
        <v>151.3056</v>
      </c>
      <c r="I4442">
        <v>155.49930000000001</v>
      </c>
      <c r="J4442">
        <v>112.9427</v>
      </c>
      <c r="K4442">
        <v>55.146299999999997</v>
      </c>
      <c r="P4442">
        <v>214</v>
      </c>
      <c r="Q4442" t="s">
        <v>9229</v>
      </c>
    </row>
    <row r="4443" spans="1:17" x14ac:dyDescent="0.3">
      <c r="A4443" t="s">
        <v>4664</v>
      </c>
      <c r="B4443" t="str">
        <f>"300691"</f>
        <v>300691</v>
      </c>
      <c r="C4443" t="s">
        <v>9230</v>
      </c>
      <c r="D4443" t="s">
        <v>2953</v>
      </c>
      <c r="F4443">
        <v>114.52679999999999</v>
      </c>
      <c r="G4443">
        <v>125.85590000000001</v>
      </c>
      <c r="H4443">
        <v>126.3105</v>
      </c>
      <c r="I4443">
        <v>125.47499999999999</v>
      </c>
      <c r="J4443">
        <v>122.9676</v>
      </c>
      <c r="K4443">
        <v>49.771299999999997</v>
      </c>
      <c r="P4443">
        <v>186</v>
      </c>
      <c r="Q4443" t="s">
        <v>9231</v>
      </c>
    </row>
    <row r="4444" spans="1:17" x14ac:dyDescent="0.3">
      <c r="A4444" t="s">
        <v>4664</v>
      </c>
      <c r="B4444" t="str">
        <f>"300692"</f>
        <v>300692</v>
      </c>
      <c r="C4444" t="s">
        <v>9232</v>
      </c>
      <c r="D4444" t="s">
        <v>33</v>
      </c>
      <c r="F4444">
        <v>4.9805999999999999</v>
      </c>
      <c r="G4444">
        <v>31.7226</v>
      </c>
      <c r="H4444">
        <v>54.520299999999999</v>
      </c>
      <c r="I4444">
        <v>161.04220000000001</v>
      </c>
      <c r="J4444">
        <v>142.9716</v>
      </c>
      <c r="K4444">
        <v>87.612899999999996</v>
      </c>
      <c r="P4444">
        <v>162</v>
      </c>
      <c r="Q4444" t="s">
        <v>9233</v>
      </c>
    </row>
    <row r="4445" spans="1:17" x14ac:dyDescent="0.3">
      <c r="A4445" t="s">
        <v>4664</v>
      </c>
      <c r="B4445" t="str">
        <f>"300693"</f>
        <v>300693</v>
      </c>
      <c r="C4445" t="s">
        <v>9234</v>
      </c>
      <c r="D4445" t="s">
        <v>880</v>
      </c>
      <c r="F4445">
        <v>217.5119</v>
      </c>
      <c r="G4445">
        <v>201.73699999999999</v>
      </c>
      <c r="H4445">
        <v>206.88839999999999</v>
      </c>
      <c r="I4445">
        <v>190.2243</v>
      </c>
      <c r="J4445">
        <v>192.5087</v>
      </c>
      <c r="K4445">
        <v>75.785799999999995</v>
      </c>
      <c r="P4445">
        <v>214</v>
      </c>
      <c r="Q4445" t="s">
        <v>9235</v>
      </c>
    </row>
    <row r="4446" spans="1:17" x14ac:dyDescent="0.3">
      <c r="A4446" t="s">
        <v>4664</v>
      </c>
      <c r="B4446" t="str">
        <f>"300694"</f>
        <v>300694</v>
      </c>
      <c r="C4446" t="s">
        <v>9236</v>
      </c>
      <c r="D4446" t="s">
        <v>348</v>
      </c>
      <c r="F4446">
        <v>196.48560000000001</v>
      </c>
      <c r="G4446">
        <v>238.94560000000001</v>
      </c>
      <c r="H4446">
        <v>204.8245</v>
      </c>
      <c r="I4446">
        <v>73.784899999999993</v>
      </c>
      <c r="J4446">
        <v>70.531700000000001</v>
      </c>
      <c r="P4446">
        <v>74</v>
      </c>
      <c r="Q4446" t="s">
        <v>9237</v>
      </c>
    </row>
    <row r="4447" spans="1:17" x14ac:dyDescent="0.3">
      <c r="A4447" t="s">
        <v>4664</v>
      </c>
      <c r="B4447" t="str">
        <f>"300695"</f>
        <v>300695</v>
      </c>
      <c r="C4447" t="s">
        <v>9238</v>
      </c>
      <c r="D4447" t="s">
        <v>422</v>
      </c>
      <c r="F4447">
        <v>149.30950000000001</v>
      </c>
      <c r="G4447">
        <v>175.63829999999999</v>
      </c>
      <c r="H4447">
        <v>100.7889</v>
      </c>
      <c r="I4447">
        <v>99.677099999999996</v>
      </c>
      <c r="J4447">
        <v>54.541499999999999</v>
      </c>
      <c r="K4447">
        <v>33.723599999999998</v>
      </c>
      <c r="P4447">
        <v>125</v>
      </c>
      <c r="Q4447" t="s">
        <v>9239</v>
      </c>
    </row>
    <row r="4448" spans="1:17" x14ac:dyDescent="0.3">
      <c r="A4448" t="s">
        <v>4664</v>
      </c>
      <c r="B4448" t="str">
        <f>"300696"</f>
        <v>300696</v>
      </c>
      <c r="C4448" t="s">
        <v>9240</v>
      </c>
      <c r="D4448" t="s">
        <v>98</v>
      </c>
      <c r="F4448">
        <v>440.20319999999998</v>
      </c>
      <c r="G4448">
        <v>837.41060000000004</v>
      </c>
      <c r="H4448">
        <v>1375.1658</v>
      </c>
      <c r="I4448">
        <v>755.8596</v>
      </c>
      <c r="J4448">
        <v>769.55820000000006</v>
      </c>
      <c r="K4448">
        <v>534.12710000000004</v>
      </c>
      <c r="P4448">
        <v>222</v>
      </c>
      <c r="Q4448" t="s">
        <v>9241</v>
      </c>
    </row>
    <row r="4449" spans="1:17" x14ac:dyDescent="0.3">
      <c r="A4449" t="s">
        <v>4664</v>
      </c>
      <c r="B4449" t="str">
        <f>"300697"</f>
        <v>300697</v>
      </c>
      <c r="C4449" t="s">
        <v>9242</v>
      </c>
      <c r="D4449" t="s">
        <v>263</v>
      </c>
      <c r="F4449">
        <v>78.394800000000004</v>
      </c>
      <c r="G4449">
        <v>80.954599999999999</v>
      </c>
      <c r="H4449">
        <v>62.394199999999998</v>
      </c>
      <c r="I4449">
        <v>80.754900000000006</v>
      </c>
      <c r="J4449">
        <v>94.503</v>
      </c>
      <c r="K4449">
        <v>45.767299999999999</v>
      </c>
      <c r="P4449">
        <v>77</v>
      </c>
      <c r="Q4449" t="s">
        <v>9243</v>
      </c>
    </row>
    <row r="4450" spans="1:17" x14ac:dyDescent="0.3">
      <c r="A4450" t="s">
        <v>4664</v>
      </c>
      <c r="B4450" t="str">
        <f>"300698"</f>
        <v>300698</v>
      </c>
      <c r="C4450" t="s">
        <v>9244</v>
      </c>
      <c r="D4450" t="s">
        <v>1019</v>
      </c>
      <c r="F4450">
        <v>209.54580000000001</v>
      </c>
      <c r="G4450">
        <v>174.26320000000001</v>
      </c>
      <c r="H4450">
        <v>176.8886</v>
      </c>
      <c r="I4450">
        <v>168.82089999999999</v>
      </c>
      <c r="J4450">
        <v>129.23859999999999</v>
      </c>
      <c r="K4450">
        <v>93.462999999999994</v>
      </c>
      <c r="P4450">
        <v>121</v>
      </c>
      <c r="Q4450" t="s">
        <v>9245</v>
      </c>
    </row>
    <row r="4451" spans="1:17" x14ac:dyDescent="0.3">
      <c r="A4451" t="s">
        <v>4664</v>
      </c>
      <c r="B4451" t="str">
        <f>"300699"</f>
        <v>300699</v>
      </c>
      <c r="C4451" t="s">
        <v>9246</v>
      </c>
      <c r="D4451" t="s">
        <v>98</v>
      </c>
      <c r="F4451">
        <v>119.705</v>
      </c>
      <c r="G4451">
        <v>136.02350000000001</v>
      </c>
      <c r="H4451">
        <v>108.7714</v>
      </c>
      <c r="I4451">
        <v>132.73660000000001</v>
      </c>
      <c r="J4451">
        <v>216.16829999999999</v>
      </c>
      <c r="K4451">
        <v>122.96550000000001</v>
      </c>
      <c r="P4451">
        <v>914</v>
      </c>
      <c r="Q4451" t="s">
        <v>9247</v>
      </c>
    </row>
    <row r="4452" spans="1:17" x14ac:dyDescent="0.3">
      <c r="A4452" t="s">
        <v>4664</v>
      </c>
      <c r="B4452" t="str">
        <f>"300700"</f>
        <v>300700</v>
      </c>
      <c r="C4452" t="s">
        <v>9248</v>
      </c>
      <c r="D4452" t="s">
        <v>404</v>
      </c>
      <c r="F4452">
        <v>339.54539999999997</v>
      </c>
      <c r="G4452">
        <v>345.18669999999997</v>
      </c>
      <c r="H4452">
        <v>292.44</v>
      </c>
      <c r="I4452">
        <v>184.34780000000001</v>
      </c>
      <c r="J4452">
        <v>101.5472</v>
      </c>
      <c r="K4452">
        <v>131.83260000000001</v>
      </c>
      <c r="P4452">
        <v>140</v>
      </c>
      <c r="Q4452" t="s">
        <v>9249</v>
      </c>
    </row>
    <row r="4453" spans="1:17" x14ac:dyDescent="0.3">
      <c r="A4453" t="s">
        <v>4664</v>
      </c>
      <c r="B4453" t="str">
        <f>"300701"</f>
        <v>300701</v>
      </c>
      <c r="C4453" t="s">
        <v>9250</v>
      </c>
      <c r="D4453" t="s">
        <v>164</v>
      </c>
      <c r="F4453">
        <v>147.47059999999999</v>
      </c>
      <c r="G4453">
        <v>85.534300000000002</v>
      </c>
      <c r="H4453">
        <v>112.4395</v>
      </c>
      <c r="I4453">
        <v>126.8622</v>
      </c>
      <c r="J4453">
        <v>126.2089</v>
      </c>
      <c r="K4453">
        <v>59.254600000000003</v>
      </c>
      <c r="P4453">
        <v>746</v>
      </c>
      <c r="Q4453" t="s">
        <v>9251</v>
      </c>
    </row>
    <row r="4454" spans="1:17" x14ac:dyDescent="0.3">
      <c r="A4454" t="s">
        <v>4664</v>
      </c>
      <c r="B4454" t="str">
        <f>"300702"</f>
        <v>300702</v>
      </c>
      <c r="C4454" t="s">
        <v>9252</v>
      </c>
      <c r="D4454" t="s">
        <v>496</v>
      </c>
      <c r="F4454">
        <v>358.24169999999998</v>
      </c>
      <c r="G4454">
        <v>353.5326</v>
      </c>
      <c r="H4454">
        <v>328.75189999999998</v>
      </c>
      <c r="I4454">
        <v>283.52140000000003</v>
      </c>
      <c r="J4454">
        <v>266.97239999999999</v>
      </c>
      <c r="K4454">
        <v>114.49250000000001</v>
      </c>
      <c r="P4454">
        <v>411</v>
      </c>
      <c r="Q4454" t="s">
        <v>9253</v>
      </c>
    </row>
    <row r="4455" spans="1:17" x14ac:dyDescent="0.3">
      <c r="A4455" t="s">
        <v>4664</v>
      </c>
      <c r="B4455" t="str">
        <f>"300703"</f>
        <v>300703</v>
      </c>
      <c r="C4455" t="s">
        <v>9254</v>
      </c>
      <c r="D4455" t="s">
        <v>3383</v>
      </c>
      <c r="F4455">
        <v>108.3419</v>
      </c>
      <c r="G4455">
        <v>88.687399999999997</v>
      </c>
      <c r="H4455">
        <v>59.193899999999999</v>
      </c>
      <c r="I4455">
        <v>59.906500000000001</v>
      </c>
      <c r="J4455">
        <v>71.014600000000002</v>
      </c>
      <c r="K4455">
        <v>29.2621</v>
      </c>
      <c r="P4455">
        <v>109</v>
      </c>
      <c r="Q4455" t="s">
        <v>9255</v>
      </c>
    </row>
    <row r="4456" spans="1:17" x14ac:dyDescent="0.3">
      <c r="A4456" t="s">
        <v>4664</v>
      </c>
      <c r="B4456" t="str">
        <f>"300705"</f>
        <v>300705</v>
      </c>
      <c r="C4456" t="s">
        <v>9256</v>
      </c>
      <c r="D4456" t="s">
        <v>143</v>
      </c>
      <c r="F4456">
        <v>276.68669999999997</v>
      </c>
      <c r="G4456">
        <v>312.42970000000003</v>
      </c>
      <c r="H4456">
        <v>203.82400000000001</v>
      </c>
      <c r="I4456">
        <v>165.09110000000001</v>
      </c>
      <c r="J4456">
        <v>179.79910000000001</v>
      </c>
      <c r="K4456">
        <v>91.671099999999996</v>
      </c>
      <c r="P4456">
        <v>167</v>
      </c>
      <c r="Q4456" t="s">
        <v>9257</v>
      </c>
    </row>
    <row r="4457" spans="1:17" x14ac:dyDescent="0.3">
      <c r="A4457" t="s">
        <v>4664</v>
      </c>
      <c r="B4457" t="str">
        <f>"300706"</f>
        <v>300706</v>
      </c>
      <c r="C4457" t="s">
        <v>9258</v>
      </c>
      <c r="D4457" t="s">
        <v>475</v>
      </c>
      <c r="F4457">
        <v>217.78540000000001</v>
      </c>
      <c r="G4457">
        <v>309.0487</v>
      </c>
      <c r="H4457">
        <v>166.19839999999999</v>
      </c>
      <c r="I4457">
        <v>192.07230000000001</v>
      </c>
      <c r="J4457">
        <v>145.66679999999999</v>
      </c>
      <c r="K4457">
        <v>63.675800000000002</v>
      </c>
      <c r="P4457">
        <v>178</v>
      </c>
      <c r="Q4457" t="s">
        <v>9259</v>
      </c>
    </row>
    <row r="4458" spans="1:17" x14ac:dyDescent="0.3">
      <c r="A4458" t="s">
        <v>4664</v>
      </c>
      <c r="B4458" t="str">
        <f>"300707"</f>
        <v>300707</v>
      </c>
      <c r="C4458" t="s">
        <v>9260</v>
      </c>
      <c r="D4458" t="s">
        <v>985</v>
      </c>
      <c r="F4458">
        <v>210.84299999999999</v>
      </c>
      <c r="G4458">
        <v>284.06610000000001</v>
      </c>
      <c r="H4458">
        <v>285.57049999999998</v>
      </c>
      <c r="I4458">
        <v>196.4366</v>
      </c>
      <c r="J4458">
        <v>202.55350000000001</v>
      </c>
      <c r="P4458">
        <v>140</v>
      </c>
      <c r="Q4458" t="s">
        <v>9261</v>
      </c>
    </row>
    <row r="4459" spans="1:17" x14ac:dyDescent="0.3">
      <c r="A4459" t="s">
        <v>4664</v>
      </c>
      <c r="B4459" t="str">
        <f>"300708"</f>
        <v>300708</v>
      </c>
      <c r="C4459" t="s">
        <v>9262</v>
      </c>
      <c r="D4459" t="s">
        <v>803</v>
      </c>
      <c r="F4459">
        <v>60.342700000000001</v>
      </c>
      <c r="G4459">
        <v>73.678100000000001</v>
      </c>
      <c r="H4459">
        <v>120.5322</v>
      </c>
      <c r="I4459">
        <v>150.9495</v>
      </c>
      <c r="J4459">
        <v>83.240099999999998</v>
      </c>
      <c r="K4459">
        <v>56.958500000000001</v>
      </c>
      <c r="P4459">
        <v>164</v>
      </c>
      <c r="Q4459" t="s">
        <v>9263</v>
      </c>
    </row>
    <row r="4460" spans="1:17" x14ac:dyDescent="0.3">
      <c r="A4460" t="s">
        <v>4664</v>
      </c>
      <c r="B4460" t="str">
        <f>"300709"</f>
        <v>300709</v>
      </c>
      <c r="C4460" t="s">
        <v>9264</v>
      </c>
      <c r="D4460" t="s">
        <v>313</v>
      </c>
      <c r="F4460">
        <v>129.75489999999999</v>
      </c>
      <c r="G4460">
        <v>134.40870000000001</v>
      </c>
      <c r="H4460">
        <v>94.568100000000001</v>
      </c>
      <c r="I4460">
        <v>110.7469</v>
      </c>
      <c r="J4460">
        <v>102.51649999999999</v>
      </c>
      <c r="K4460">
        <v>30.101099999999999</v>
      </c>
      <c r="P4460">
        <v>220</v>
      </c>
      <c r="Q4460" t="s">
        <v>9265</v>
      </c>
    </row>
    <row r="4461" spans="1:17" x14ac:dyDescent="0.3">
      <c r="A4461" t="s">
        <v>4664</v>
      </c>
      <c r="B4461" t="str">
        <f>"300710"</f>
        <v>300710</v>
      </c>
      <c r="C4461" t="s">
        <v>9266</v>
      </c>
      <c r="D4461" t="s">
        <v>1019</v>
      </c>
      <c r="F4461">
        <v>124.9041</v>
      </c>
      <c r="G4461">
        <v>133.99539999999999</v>
      </c>
      <c r="H4461">
        <v>170.21260000000001</v>
      </c>
      <c r="I4461">
        <v>222.54509999999999</v>
      </c>
      <c r="J4461">
        <v>168.53469999999999</v>
      </c>
      <c r="K4461">
        <v>108.54989999999999</v>
      </c>
      <c r="P4461">
        <v>107</v>
      </c>
      <c r="Q4461" t="s">
        <v>9267</v>
      </c>
    </row>
    <row r="4462" spans="1:17" x14ac:dyDescent="0.3">
      <c r="A4462" t="s">
        <v>4664</v>
      </c>
      <c r="B4462" t="str">
        <f>"300711"</f>
        <v>300711</v>
      </c>
      <c r="C4462" t="s">
        <v>9268</v>
      </c>
      <c r="D4462" t="s">
        <v>595</v>
      </c>
      <c r="F4462">
        <v>1420.0091</v>
      </c>
      <c r="G4462">
        <v>972.38459999999998</v>
      </c>
      <c r="H4462">
        <v>852.12310000000002</v>
      </c>
      <c r="I4462">
        <v>709.69200000000001</v>
      </c>
      <c r="J4462">
        <v>551.31780000000003</v>
      </c>
      <c r="P4462">
        <v>130</v>
      </c>
      <c r="Q4462" t="s">
        <v>9269</v>
      </c>
    </row>
    <row r="4463" spans="1:17" x14ac:dyDescent="0.3">
      <c r="A4463" t="s">
        <v>4664</v>
      </c>
      <c r="B4463" t="str">
        <f>"300712"</f>
        <v>300712</v>
      </c>
      <c r="C4463" t="s">
        <v>9270</v>
      </c>
      <c r="D4463" t="s">
        <v>1986</v>
      </c>
      <c r="F4463">
        <v>75.300700000000006</v>
      </c>
      <c r="G4463">
        <v>365.7559</v>
      </c>
      <c r="H4463">
        <v>174.87379999999999</v>
      </c>
      <c r="I4463">
        <v>188.9665</v>
      </c>
      <c r="J4463">
        <v>186.87909999999999</v>
      </c>
      <c r="K4463">
        <v>128.84569999999999</v>
      </c>
      <c r="P4463">
        <v>125</v>
      </c>
      <c r="Q4463" t="s">
        <v>9271</v>
      </c>
    </row>
    <row r="4464" spans="1:17" x14ac:dyDescent="0.3">
      <c r="A4464" t="s">
        <v>4664</v>
      </c>
      <c r="B4464" t="str">
        <f>"300713"</f>
        <v>300713</v>
      </c>
      <c r="C4464" t="s">
        <v>9272</v>
      </c>
      <c r="D4464" t="s">
        <v>880</v>
      </c>
      <c r="F4464">
        <v>267.50389999999999</v>
      </c>
      <c r="G4464">
        <v>384.93869999999998</v>
      </c>
      <c r="H4464">
        <v>310.8356</v>
      </c>
      <c r="I4464">
        <v>232.96170000000001</v>
      </c>
      <c r="J4464">
        <v>158.45529999999999</v>
      </c>
      <c r="K4464">
        <v>83.128600000000006</v>
      </c>
      <c r="P4464">
        <v>81</v>
      </c>
      <c r="Q4464" t="s">
        <v>9273</v>
      </c>
    </row>
    <row r="4465" spans="1:17" x14ac:dyDescent="0.3">
      <c r="A4465" t="s">
        <v>4664</v>
      </c>
      <c r="B4465" t="str">
        <f>"300715"</f>
        <v>300715</v>
      </c>
      <c r="C4465" t="s">
        <v>9274</v>
      </c>
      <c r="D4465" t="s">
        <v>6246</v>
      </c>
      <c r="F4465">
        <v>62.4968</v>
      </c>
      <c r="G4465">
        <v>91.008200000000002</v>
      </c>
      <c r="H4465">
        <v>105.8861</v>
      </c>
      <c r="I4465">
        <v>85.573899999999995</v>
      </c>
      <c r="J4465">
        <v>79.579899999999995</v>
      </c>
      <c r="K4465">
        <v>33.869599999999998</v>
      </c>
      <c r="P4465">
        <v>413</v>
      </c>
      <c r="Q4465" t="s">
        <v>9275</v>
      </c>
    </row>
    <row r="4466" spans="1:17" x14ac:dyDescent="0.3">
      <c r="A4466" t="s">
        <v>4664</v>
      </c>
      <c r="B4466" t="str">
        <f>"300716"</f>
        <v>300716</v>
      </c>
      <c r="C4466" t="s">
        <v>9276</v>
      </c>
      <c r="D4466" t="s">
        <v>341</v>
      </c>
      <c r="F4466">
        <v>77.338899999999995</v>
      </c>
      <c r="G4466">
        <v>62.043500000000002</v>
      </c>
      <c r="H4466">
        <v>48.706299999999999</v>
      </c>
      <c r="I4466">
        <v>82.575100000000006</v>
      </c>
      <c r="J4466">
        <v>95.0886</v>
      </c>
      <c r="P4466">
        <v>59</v>
      </c>
      <c r="Q4466" t="s">
        <v>9277</v>
      </c>
    </row>
    <row r="4467" spans="1:17" x14ac:dyDescent="0.3">
      <c r="A4467" t="s">
        <v>4664</v>
      </c>
      <c r="B4467" t="str">
        <f>"300717"</f>
        <v>300717</v>
      </c>
      <c r="C4467" t="s">
        <v>9278</v>
      </c>
      <c r="D4467" t="s">
        <v>1192</v>
      </c>
      <c r="F4467">
        <v>86.037300000000002</v>
      </c>
      <c r="G4467">
        <v>123.136</v>
      </c>
      <c r="H4467">
        <v>97.515500000000003</v>
      </c>
      <c r="I4467">
        <v>82.989000000000004</v>
      </c>
      <c r="J4467">
        <v>76.285899999999998</v>
      </c>
      <c r="K4467">
        <v>40.822800000000001</v>
      </c>
      <c r="P4467">
        <v>71</v>
      </c>
      <c r="Q4467" t="s">
        <v>9279</v>
      </c>
    </row>
    <row r="4468" spans="1:17" x14ac:dyDescent="0.3">
      <c r="A4468" t="s">
        <v>4664</v>
      </c>
      <c r="B4468" t="str">
        <f>"300718"</f>
        <v>300718</v>
      </c>
      <c r="C4468" t="s">
        <v>9280</v>
      </c>
      <c r="D4468" t="s">
        <v>2001</v>
      </c>
      <c r="F4468">
        <v>93.260900000000007</v>
      </c>
      <c r="G4468">
        <v>115.7081</v>
      </c>
      <c r="H4468">
        <v>102.8399</v>
      </c>
      <c r="I4468">
        <v>74.270300000000006</v>
      </c>
      <c r="J4468">
        <v>66.107799999999997</v>
      </c>
      <c r="P4468">
        <v>100</v>
      </c>
      <c r="Q4468" t="s">
        <v>9281</v>
      </c>
    </row>
    <row r="4469" spans="1:17" x14ac:dyDescent="0.3">
      <c r="A4469" t="s">
        <v>4664</v>
      </c>
      <c r="B4469" t="str">
        <f>"300719"</f>
        <v>300719</v>
      </c>
      <c r="C4469" t="s">
        <v>9282</v>
      </c>
      <c r="D4469" t="s">
        <v>98</v>
      </c>
      <c r="F4469">
        <v>726.63639999999998</v>
      </c>
      <c r="G4469">
        <v>491.06009999999998</v>
      </c>
      <c r="H4469">
        <v>477.51010000000002</v>
      </c>
      <c r="I4469">
        <v>461.08420000000001</v>
      </c>
      <c r="J4469">
        <v>374.90469999999999</v>
      </c>
      <c r="K4469">
        <v>184.88159999999999</v>
      </c>
      <c r="P4469">
        <v>93</v>
      </c>
      <c r="Q4469" t="s">
        <v>9283</v>
      </c>
    </row>
    <row r="4470" spans="1:17" x14ac:dyDescent="0.3">
      <c r="A4470" t="s">
        <v>4664</v>
      </c>
      <c r="B4470" t="str">
        <f>"300720"</f>
        <v>300720</v>
      </c>
      <c r="C4470" t="s">
        <v>9284</v>
      </c>
      <c r="D4470" t="s">
        <v>2551</v>
      </c>
      <c r="F4470">
        <v>505.2552</v>
      </c>
      <c r="G4470">
        <v>610.78809999999999</v>
      </c>
      <c r="H4470">
        <v>614.99779999999998</v>
      </c>
      <c r="I4470">
        <v>462.94729999999998</v>
      </c>
      <c r="J4470">
        <v>424.32089999999999</v>
      </c>
      <c r="K4470">
        <v>216.28620000000001</v>
      </c>
      <c r="P4470">
        <v>70</v>
      </c>
      <c r="Q4470" t="s">
        <v>9285</v>
      </c>
    </row>
    <row r="4471" spans="1:17" x14ac:dyDescent="0.3">
      <c r="A4471" t="s">
        <v>4664</v>
      </c>
      <c r="B4471" t="str">
        <f>"300721"</f>
        <v>300721</v>
      </c>
      <c r="C4471" t="s">
        <v>9286</v>
      </c>
      <c r="D4471" t="s">
        <v>386</v>
      </c>
      <c r="F4471">
        <v>70.218400000000003</v>
      </c>
      <c r="G4471">
        <v>91.448300000000003</v>
      </c>
      <c r="H4471">
        <v>109.79949999999999</v>
      </c>
      <c r="I4471">
        <v>77.959000000000003</v>
      </c>
      <c r="J4471">
        <v>58.825299999999999</v>
      </c>
      <c r="K4471">
        <v>38.350900000000003</v>
      </c>
      <c r="P4471">
        <v>73</v>
      </c>
      <c r="Q4471" t="s">
        <v>9287</v>
      </c>
    </row>
    <row r="4472" spans="1:17" x14ac:dyDescent="0.3">
      <c r="A4472" t="s">
        <v>4664</v>
      </c>
      <c r="B4472" t="str">
        <f>"300722"</f>
        <v>300722</v>
      </c>
      <c r="C4472" t="s">
        <v>9288</v>
      </c>
      <c r="D4472" t="s">
        <v>284</v>
      </c>
      <c r="F4472">
        <v>302.07569999999998</v>
      </c>
      <c r="G4472">
        <v>269.85730000000001</v>
      </c>
      <c r="H4472">
        <v>282.49180000000001</v>
      </c>
      <c r="I4472">
        <v>222.8827</v>
      </c>
      <c r="J4472">
        <v>249.91419999999999</v>
      </c>
      <c r="K4472">
        <v>137.93450000000001</v>
      </c>
      <c r="P4472">
        <v>113</v>
      </c>
      <c r="Q4472" t="s">
        <v>9289</v>
      </c>
    </row>
    <row r="4473" spans="1:17" x14ac:dyDescent="0.3">
      <c r="A4473" t="s">
        <v>4664</v>
      </c>
      <c r="B4473" t="str">
        <f>"300723"</f>
        <v>300723</v>
      </c>
      <c r="C4473" t="s">
        <v>9290</v>
      </c>
      <c r="D4473" t="s">
        <v>143</v>
      </c>
      <c r="F4473">
        <v>167.22890000000001</v>
      </c>
      <c r="G4473">
        <v>146.9196</v>
      </c>
      <c r="H4473">
        <v>123.0716</v>
      </c>
      <c r="I4473">
        <v>118.24890000000001</v>
      </c>
      <c r="J4473">
        <v>84.993799999999993</v>
      </c>
      <c r="K4473">
        <v>44.4315</v>
      </c>
      <c r="P4473">
        <v>222</v>
      </c>
      <c r="Q4473" t="s">
        <v>9291</v>
      </c>
    </row>
    <row r="4474" spans="1:17" x14ac:dyDescent="0.3">
      <c r="A4474" t="s">
        <v>4664</v>
      </c>
      <c r="B4474" t="str">
        <f>"300724"</f>
        <v>300724</v>
      </c>
      <c r="C4474" t="s">
        <v>9292</v>
      </c>
      <c r="D4474" t="s">
        <v>2654</v>
      </c>
      <c r="F4474">
        <v>528.70979999999997</v>
      </c>
      <c r="G4474">
        <v>527.8202</v>
      </c>
      <c r="H4474">
        <v>802.24279999999999</v>
      </c>
      <c r="I4474">
        <v>853.22329999999999</v>
      </c>
      <c r="J4474">
        <v>361.44920000000002</v>
      </c>
      <c r="P4474">
        <v>573</v>
      </c>
      <c r="Q4474" t="s">
        <v>9293</v>
      </c>
    </row>
    <row r="4475" spans="1:17" x14ac:dyDescent="0.3">
      <c r="A4475" t="s">
        <v>4664</v>
      </c>
      <c r="B4475" t="str">
        <f>"300725"</f>
        <v>300725</v>
      </c>
      <c r="C4475" t="s">
        <v>9294</v>
      </c>
      <c r="D4475" t="s">
        <v>1461</v>
      </c>
      <c r="F4475">
        <v>276.62920000000003</v>
      </c>
      <c r="G4475">
        <v>253.67269999999999</v>
      </c>
      <c r="H4475">
        <v>291.31650000000002</v>
      </c>
      <c r="I4475">
        <v>326.2817</v>
      </c>
      <c r="J4475">
        <v>451.15780000000001</v>
      </c>
      <c r="K4475">
        <v>171.12280000000001</v>
      </c>
      <c r="P4475">
        <v>1114</v>
      </c>
      <c r="Q4475" t="s">
        <v>9295</v>
      </c>
    </row>
    <row r="4476" spans="1:17" x14ac:dyDescent="0.3">
      <c r="A4476" t="s">
        <v>4664</v>
      </c>
      <c r="B4476" t="str">
        <f>"300726"</f>
        <v>300726</v>
      </c>
      <c r="C4476" t="s">
        <v>9296</v>
      </c>
      <c r="D4476" t="s">
        <v>1136</v>
      </c>
      <c r="F4476">
        <v>510.71980000000002</v>
      </c>
      <c r="G4476">
        <v>494.66899999999998</v>
      </c>
      <c r="H4476">
        <v>492.85570000000001</v>
      </c>
      <c r="I4476">
        <v>496.39299999999997</v>
      </c>
      <c r="J4476">
        <v>575.56439999999998</v>
      </c>
      <c r="P4476">
        <v>748</v>
      </c>
      <c r="Q4476" t="s">
        <v>9297</v>
      </c>
    </row>
    <row r="4477" spans="1:17" x14ac:dyDescent="0.3">
      <c r="A4477" t="s">
        <v>4664</v>
      </c>
      <c r="B4477" t="str">
        <f>"300727"</f>
        <v>300727</v>
      </c>
      <c r="C4477" t="s">
        <v>9298</v>
      </c>
      <c r="D4477" t="s">
        <v>1205</v>
      </c>
      <c r="F4477">
        <v>56.072800000000001</v>
      </c>
      <c r="G4477">
        <v>63.086799999999997</v>
      </c>
      <c r="H4477">
        <v>62.121000000000002</v>
      </c>
      <c r="I4477">
        <v>73.043000000000006</v>
      </c>
      <c r="J4477">
        <v>65.550799999999995</v>
      </c>
      <c r="P4477">
        <v>73</v>
      </c>
      <c r="Q4477" t="s">
        <v>9299</v>
      </c>
    </row>
    <row r="4478" spans="1:17" x14ac:dyDescent="0.3">
      <c r="A4478" t="s">
        <v>4664</v>
      </c>
      <c r="B4478" t="str">
        <f>"300728"</f>
        <v>300728</v>
      </c>
      <c r="C4478" t="s">
        <v>9300</v>
      </c>
      <c r="P4478">
        <v>10</v>
      </c>
      <c r="Q4478" t="s">
        <v>9301</v>
      </c>
    </row>
    <row r="4479" spans="1:17" x14ac:dyDescent="0.3">
      <c r="A4479" t="s">
        <v>4664</v>
      </c>
      <c r="B4479" t="str">
        <f>"300729"</f>
        <v>300729</v>
      </c>
      <c r="C4479" t="s">
        <v>9302</v>
      </c>
      <c r="D4479" t="s">
        <v>2436</v>
      </c>
      <c r="F4479">
        <v>141.63550000000001</v>
      </c>
      <c r="G4479">
        <v>172.703</v>
      </c>
      <c r="H4479">
        <v>162.2987</v>
      </c>
      <c r="I4479">
        <v>155.14340000000001</v>
      </c>
      <c r="J4479">
        <v>157.56</v>
      </c>
      <c r="P4479">
        <v>219</v>
      </c>
      <c r="Q4479" t="s">
        <v>9303</v>
      </c>
    </row>
    <row r="4480" spans="1:17" x14ac:dyDescent="0.3">
      <c r="A4480" t="s">
        <v>4664</v>
      </c>
      <c r="B4480" t="str">
        <f>"300730"</f>
        <v>300730</v>
      </c>
      <c r="C4480" t="s">
        <v>9304</v>
      </c>
      <c r="D4480" t="s">
        <v>945</v>
      </c>
      <c r="F4480">
        <v>311.30259999999998</v>
      </c>
      <c r="G4480">
        <v>346.38600000000002</v>
      </c>
      <c r="H4480">
        <v>309.62139999999999</v>
      </c>
      <c r="I4480">
        <v>286.6739</v>
      </c>
      <c r="J4480">
        <v>318.92649999999998</v>
      </c>
      <c r="K4480">
        <v>155.98939999999999</v>
      </c>
      <c r="P4480">
        <v>98</v>
      </c>
      <c r="Q4480" t="s">
        <v>9305</v>
      </c>
    </row>
    <row r="4481" spans="1:17" x14ac:dyDescent="0.3">
      <c r="A4481" t="s">
        <v>4664</v>
      </c>
      <c r="B4481" t="str">
        <f>"300731"</f>
        <v>300731</v>
      </c>
      <c r="C4481" t="s">
        <v>9306</v>
      </c>
      <c r="D4481" t="s">
        <v>2460</v>
      </c>
      <c r="F4481">
        <v>106.17230000000001</v>
      </c>
      <c r="G4481">
        <v>151.34450000000001</v>
      </c>
      <c r="H4481">
        <v>107.5979</v>
      </c>
      <c r="I4481">
        <v>108.3398</v>
      </c>
      <c r="J4481">
        <v>106.2375</v>
      </c>
      <c r="P4481">
        <v>186</v>
      </c>
      <c r="Q4481" t="s">
        <v>9307</v>
      </c>
    </row>
    <row r="4482" spans="1:17" x14ac:dyDescent="0.3">
      <c r="A4482" t="s">
        <v>4664</v>
      </c>
      <c r="B4482" t="str">
        <f>"300732"</f>
        <v>300732</v>
      </c>
      <c r="C4482" t="s">
        <v>9308</v>
      </c>
      <c r="D4482" t="s">
        <v>1272</v>
      </c>
      <c r="F4482">
        <v>241.51169999999999</v>
      </c>
      <c r="G4482">
        <v>325.16930000000002</v>
      </c>
      <c r="H4482">
        <v>387.38839999999999</v>
      </c>
      <c r="I4482">
        <v>326.8938</v>
      </c>
      <c r="J4482">
        <v>300.85969999999998</v>
      </c>
      <c r="P4482">
        <v>151</v>
      </c>
      <c r="Q4482" t="s">
        <v>9309</v>
      </c>
    </row>
    <row r="4483" spans="1:17" x14ac:dyDescent="0.3">
      <c r="A4483" t="s">
        <v>4664</v>
      </c>
      <c r="B4483" t="str">
        <f>"300733"</f>
        <v>300733</v>
      </c>
      <c r="C4483" t="s">
        <v>9310</v>
      </c>
      <c r="D4483" t="s">
        <v>348</v>
      </c>
      <c r="F4483">
        <v>209.60069999999999</v>
      </c>
      <c r="G4483">
        <v>206.89169999999999</v>
      </c>
      <c r="H4483">
        <v>208.7816</v>
      </c>
      <c r="I4483">
        <v>226.71</v>
      </c>
      <c r="J4483">
        <v>81.588899999999995</v>
      </c>
      <c r="P4483">
        <v>60</v>
      </c>
      <c r="Q4483" t="s">
        <v>9311</v>
      </c>
    </row>
    <row r="4484" spans="1:17" x14ac:dyDescent="0.3">
      <c r="A4484" t="s">
        <v>4664</v>
      </c>
      <c r="B4484" t="str">
        <f>"300735"</f>
        <v>300735</v>
      </c>
      <c r="C4484" t="s">
        <v>9312</v>
      </c>
      <c r="D4484" t="s">
        <v>313</v>
      </c>
      <c r="F4484">
        <v>29.418299999999999</v>
      </c>
      <c r="G4484">
        <v>13.4581</v>
      </c>
      <c r="H4484">
        <v>16.265699999999999</v>
      </c>
      <c r="I4484">
        <v>23.382899999999999</v>
      </c>
      <c r="J4484">
        <v>17.2088</v>
      </c>
      <c r="P4484">
        <v>453</v>
      </c>
      <c r="Q4484" t="s">
        <v>9313</v>
      </c>
    </row>
    <row r="4485" spans="1:17" x14ac:dyDescent="0.3">
      <c r="A4485" t="s">
        <v>4664</v>
      </c>
      <c r="B4485" t="str">
        <f>"300736"</f>
        <v>300736</v>
      </c>
      <c r="C4485" t="s">
        <v>9314</v>
      </c>
      <c r="D4485" t="s">
        <v>651</v>
      </c>
      <c r="F4485">
        <v>44.7881</v>
      </c>
      <c r="G4485">
        <v>18.829799999999999</v>
      </c>
      <c r="H4485">
        <v>90.372</v>
      </c>
      <c r="I4485">
        <v>49.990499999999997</v>
      </c>
      <c r="J4485">
        <v>16.133500000000002</v>
      </c>
      <c r="K4485">
        <v>7.1816000000000004</v>
      </c>
      <c r="P4485">
        <v>114</v>
      </c>
      <c r="Q4485" t="s">
        <v>9315</v>
      </c>
    </row>
    <row r="4486" spans="1:17" x14ac:dyDescent="0.3">
      <c r="A4486" t="s">
        <v>4664</v>
      </c>
      <c r="B4486" t="str">
        <f>"300737"</f>
        <v>300737</v>
      </c>
      <c r="C4486" t="s">
        <v>9316</v>
      </c>
      <c r="D4486" t="s">
        <v>6246</v>
      </c>
      <c r="F4486">
        <v>34.988300000000002</v>
      </c>
      <c r="G4486">
        <v>66.168899999999994</v>
      </c>
      <c r="H4486">
        <v>58.912700000000001</v>
      </c>
      <c r="I4486">
        <v>75.350200000000001</v>
      </c>
      <c r="J4486">
        <v>71.265199999999993</v>
      </c>
      <c r="K4486">
        <v>34.792900000000003</v>
      </c>
      <c r="P4486">
        <v>459</v>
      </c>
      <c r="Q4486" t="s">
        <v>9317</v>
      </c>
    </row>
    <row r="4487" spans="1:17" x14ac:dyDescent="0.3">
      <c r="A4487" t="s">
        <v>4664</v>
      </c>
      <c r="B4487" t="str">
        <f>"300738"</f>
        <v>300738</v>
      </c>
      <c r="C4487" t="s">
        <v>9318</v>
      </c>
      <c r="D4487" t="s">
        <v>316</v>
      </c>
      <c r="F4487">
        <v>1.2111000000000001</v>
      </c>
      <c r="G4487">
        <v>57.893700000000003</v>
      </c>
      <c r="H4487">
        <v>36.049700000000001</v>
      </c>
      <c r="I4487">
        <v>12.296900000000001</v>
      </c>
      <c r="J4487">
        <v>3.4922</v>
      </c>
      <c r="P4487">
        <v>300</v>
      </c>
      <c r="Q4487" t="s">
        <v>9319</v>
      </c>
    </row>
    <row r="4488" spans="1:17" x14ac:dyDescent="0.3">
      <c r="A4488" t="s">
        <v>4664</v>
      </c>
      <c r="B4488" t="str">
        <f>"300739"</f>
        <v>300739</v>
      </c>
      <c r="C4488" t="s">
        <v>9320</v>
      </c>
      <c r="D4488" t="s">
        <v>425</v>
      </c>
      <c r="F4488">
        <v>87.240799999999993</v>
      </c>
      <c r="G4488">
        <v>76.226299999999995</v>
      </c>
      <c r="H4488">
        <v>76.746499999999997</v>
      </c>
      <c r="I4488">
        <v>76.117199999999997</v>
      </c>
      <c r="J4488">
        <v>26.938800000000001</v>
      </c>
      <c r="P4488">
        <v>170</v>
      </c>
      <c r="Q4488" t="s">
        <v>9321</v>
      </c>
    </row>
    <row r="4489" spans="1:17" x14ac:dyDescent="0.3">
      <c r="A4489" t="s">
        <v>4664</v>
      </c>
      <c r="B4489" t="str">
        <f>"300740"</f>
        <v>300740</v>
      </c>
      <c r="C4489" t="s">
        <v>9322</v>
      </c>
      <c r="D4489" t="s">
        <v>709</v>
      </c>
      <c r="F4489">
        <v>177.04239999999999</v>
      </c>
      <c r="G4489">
        <v>259.00069999999999</v>
      </c>
      <c r="H4489">
        <v>303.78289999999998</v>
      </c>
      <c r="I4489">
        <v>237.73869999999999</v>
      </c>
      <c r="J4489">
        <v>114.6829</v>
      </c>
      <c r="P4489">
        <v>256</v>
      </c>
      <c r="Q4489" t="s">
        <v>9323</v>
      </c>
    </row>
    <row r="4490" spans="1:17" x14ac:dyDescent="0.3">
      <c r="A4490" t="s">
        <v>4664</v>
      </c>
      <c r="B4490" t="str">
        <f>"300741"</f>
        <v>300741</v>
      </c>
      <c r="C4490" t="s">
        <v>9324</v>
      </c>
      <c r="D4490" t="s">
        <v>677</v>
      </c>
      <c r="F4490">
        <v>407.90100000000001</v>
      </c>
      <c r="G4490">
        <v>451.875</v>
      </c>
      <c r="H4490">
        <v>406.14789999999999</v>
      </c>
      <c r="I4490">
        <v>382.93400000000003</v>
      </c>
      <c r="J4490">
        <v>192.87110000000001</v>
      </c>
      <c r="P4490">
        <v>458</v>
      </c>
      <c r="Q4490" t="s">
        <v>9325</v>
      </c>
    </row>
    <row r="4491" spans="1:17" x14ac:dyDescent="0.3">
      <c r="A4491" t="s">
        <v>4664</v>
      </c>
      <c r="B4491" t="str">
        <f>"300742"</f>
        <v>300742</v>
      </c>
      <c r="C4491" t="s">
        <v>9326</v>
      </c>
      <c r="D4491" t="s">
        <v>348</v>
      </c>
      <c r="F4491">
        <v>588.76490000000001</v>
      </c>
      <c r="G4491">
        <v>382.93950000000001</v>
      </c>
      <c r="H4491">
        <v>365.60320000000002</v>
      </c>
      <c r="I4491">
        <v>169.35759999999999</v>
      </c>
      <c r="J4491">
        <v>58.390099999999997</v>
      </c>
      <c r="P4491">
        <v>90</v>
      </c>
      <c r="Q4491" t="s">
        <v>9327</v>
      </c>
    </row>
    <row r="4492" spans="1:17" x14ac:dyDescent="0.3">
      <c r="A4492" t="s">
        <v>4664</v>
      </c>
      <c r="B4492" t="str">
        <f>"300743"</f>
        <v>300743</v>
      </c>
      <c r="C4492" t="s">
        <v>9328</v>
      </c>
      <c r="D4492" t="s">
        <v>236</v>
      </c>
      <c r="F4492">
        <v>132.35679999999999</v>
      </c>
      <c r="G4492">
        <v>151.94999999999999</v>
      </c>
      <c r="H4492">
        <v>153.9118</v>
      </c>
      <c r="I4492">
        <v>140.9897</v>
      </c>
      <c r="J4492">
        <v>42.047899999999998</v>
      </c>
      <c r="P4492">
        <v>54</v>
      </c>
      <c r="Q4492" t="s">
        <v>9329</v>
      </c>
    </row>
    <row r="4493" spans="1:17" x14ac:dyDescent="0.3">
      <c r="A4493" t="s">
        <v>4664</v>
      </c>
      <c r="B4493" t="str">
        <f>"300745"</f>
        <v>300745</v>
      </c>
      <c r="C4493" t="s">
        <v>9330</v>
      </c>
      <c r="D4493" t="s">
        <v>985</v>
      </c>
      <c r="F4493">
        <v>212.06379999999999</v>
      </c>
      <c r="G4493">
        <v>467.24529999999999</v>
      </c>
      <c r="H4493">
        <v>333.3777</v>
      </c>
      <c r="I4493">
        <v>265.31709999999998</v>
      </c>
      <c r="J4493">
        <v>112.4199</v>
      </c>
      <c r="P4493">
        <v>76</v>
      </c>
      <c r="Q4493" t="s">
        <v>9331</v>
      </c>
    </row>
    <row r="4494" spans="1:17" x14ac:dyDescent="0.3">
      <c r="A4494" t="s">
        <v>4664</v>
      </c>
      <c r="B4494" t="str">
        <f>"300746"</f>
        <v>300746</v>
      </c>
      <c r="C4494" t="s">
        <v>9332</v>
      </c>
      <c r="D4494" t="s">
        <v>1272</v>
      </c>
      <c r="F4494">
        <v>0</v>
      </c>
      <c r="G4494">
        <v>0.1268</v>
      </c>
      <c r="H4494">
        <v>4.8868999999999998</v>
      </c>
      <c r="I4494">
        <v>0.50819999999999999</v>
      </c>
      <c r="J4494">
        <v>0</v>
      </c>
      <c r="P4494">
        <v>66</v>
      </c>
      <c r="Q4494" t="s">
        <v>9333</v>
      </c>
    </row>
    <row r="4495" spans="1:17" x14ac:dyDescent="0.3">
      <c r="A4495" t="s">
        <v>4664</v>
      </c>
      <c r="B4495" t="str">
        <f>"300747"</f>
        <v>300747</v>
      </c>
      <c r="C4495" t="s">
        <v>9334</v>
      </c>
      <c r="D4495" t="s">
        <v>3784</v>
      </c>
      <c r="F4495">
        <v>182.90549999999999</v>
      </c>
      <c r="G4495">
        <v>251.15649999999999</v>
      </c>
      <c r="H4495">
        <v>174.19229999999999</v>
      </c>
      <c r="I4495">
        <v>151.93969999999999</v>
      </c>
      <c r="J4495">
        <v>65.570700000000002</v>
      </c>
      <c r="P4495">
        <v>3347</v>
      </c>
      <c r="Q4495" t="s">
        <v>9335</v>
      </c>
    </row>
    <row r="4496" spans="1:17" x14ac:dyDescent="0.3">
      <c r="A4496" t="s">
        <v>4664</v>
      </c>
      <c r="B4496" t="str">
        <f>"300748"</f>
        <v>300748</v>
      </c>
      <c r="C4496" t="s">
        <v>9336</v>
      </c>
      <c r="D4496" t="s">
        <v>808</v>
      </c>
      <c r="F4496">
        <v>166.06270000000001</v>
      </c>
      <c r="G4496">
        <v>214.59569999999999</v>
      </c>
      <c r="H4496">
        <v>236.83359999999999</v>
      </c>
      <c r="I4496">
        <v>185.2841</v>
      </c>
      <c r="J4496">
        <v>121.1717</v>
      </c>
      <c r="P4496">
        <v>341</v>
      </c>
      <c r="Q4496" t="s">
        <v>9337</v>
      </c>
    </row>
    <row r="4497" spans="1:17" x14ac:dyDescent="0.3">
      <c r="A4497" t="s">
        <v>4664</v>
      </c>
      <c r="B4497" t="str">
        <f>"300749"</f>
        <v>300749</v>
      </c>
      <c r="C4497" t="s">
        <v>9338</v>
      </c>
      <c r="D4497" t="s">
        <v>2647</v>
      </c>
      <c r="F4497">
        <v>124.44499999999999</v>
      </c>
      <c r="G4497">
        <v>162.1952</v>
      </c>
      <c r="H4497">
        <v>144.97479999999999</v>
      </c>
      <c r="I4497">
        <v>130.79390000000001</v>
      </c>
      <c r="J4497">
        <v>53.1877</v>
      </c>
      <c r="P4497">
        <v>97</v>
      </c>
      <c r="Q4497" t="s">
        <v>9339</v>
      </c>
    </row>
    <row r="4498" spans="1:17" x14ac:dyDescent="0.3">
      <c r="A4498" t="s">
        <v>4664</v>
      </c>
      <c r="B4498" t="str">
        <f>"300750"</f>
        <v>300750</v>
      </c>
      <c r="C4498" t="s">
        <v>9340</v>
      </c>
      <c r="D4498" t="s">
        <v>359</v>
      </c>
      <c r="F4498">
        <v>163.10069999999999</v>
      </c>
      <c r="G4498">
        <v>163.82820000000001</v>
      </c>
      <c r="H4498">
        <v>131.95160000000001</v>
      </c>
      <c r="I4498">
        <v>119.14100000000001</v>
      </c>
      <c r="P4498">
        <v>4825</v>
      </c>
      <c r="Q4498" t="s">
        <v>9341</v>
      </c>
    </row>
    <row r="4499" spans="1:17" x14ac:dyDescent="0.3">
      <c r="A4499" t="s">
        <v>4664</v>
      </c>
      <c r="B4499" t="str">
        <f>"300751"</f>
        <v>300751</v>
      </c>
      <c r="C4499" t="s">
        <v>9342</v>
      </c>
      <c r="D4499" t="s">
        <v>2654</v>
      </c>
      <c r="F4499">
        <v>654.22699999999998</v>
      </c>
      <c r="G4499">
        <v>672.77539999999999</v>
      </c>
      <c r="H4499">
        <v>852.91809999999998</v>
      </c>
      <c r="P4499">
        <v>627</v>
      </c>
      <c r="Q4499" t="s">
        <v>9343</v>
      </c>
    </row>
    <row r="4500" spans="1:17" x14ac:dyDescent="0.3">
      <c r="A4500" t="s">
        <v>4664</v>
      </c>
      <c r="B4500" t="str">
        <f>"300752"</f>
        <v>300752</v>
      </c>
      <c r="C4500" t="s">
        <v>9344</v>
      </c>
      <c r="D4500" t="s">
        <v>803</v>
      </c>
      <c r="F4500">
        <v>47.931899999999999</v>
      </c>
      <c r="G4500">
        <v>96.459299999999999</v>
      </c>
      <c r="H4500">
        <v>75.466700000000003</v>
      </c>
      <c r="I4500">
        <v>70.491100000000003</v>
      </c>
      <c r="P4500">
        <v>140</v>
      </c>
      <c r="Q4500" t="s">
        <v>9345</v>
      </c>
    </row>
    <row r="4501" spans="1:17" x14ac:dyDescent="0.3">
      <c r="A4501" t="s">
        <v>4664</v>
      </c>
      <c r="B4501" t="str">
        <f>"300753"</f>
        <v>300753</v>
      </c>
      <c r="C4501" t="s">
        <v>9346</v>
      </c>
      <c r="D4501" t="s">
        <v>122</v>
      </c>
      <c r="F4501">
        <v>143.97020000000001</v>
      </c>
      <c r="G4501">
        <v>143.04939999999999</v>
      </c>
      <c r="H4501">
        <v>132.38900000000001</v>
      </c>
      <c r="I4501">
        <v>189.46559999999999</v>
      </c>
      <c r="J4501">
        <v>102.97069999999999</v>
      </c>
      <c r="P4501">
        <v>243</v>
      </c>
      <c r="Q4501" t="s">
        <v>9347</v>
      </c>
    </row>
    <row r="4502" spans="1:17" x14ac:dyDescent="0.3">
      <c r="A4502" t="s">
        <v>4664</v>
      </c>
      <c r="B4502" t="str">
        <f>"300755"</f>
        <v>300755</v>
      </c>
      <c r="C4502" t="s">
        <v>9348</v>
      </c>
      <c r="D4502" t="s">
        <v>295</v>
      </c>
      <c r="F4502">
        <v>165.08500000000001</v>
      </c>
      <c r="G4502">
        <v>208.16419999999999</v>
      </c>
      <c r="H4502">
        <v>257.77080000000001</v>
      </c>
      <c r="I4502">
        <v>110.7106</v>
      </c>
      <c r="P4502">
        <v>246</v>
      </c>
      <c r="Q4502" t="s">
        <v>9349</v>
      </c>
    </row>
    <row r="4503" spans="1:17" x14ac:dyDescent="0.3">
      <c r="A4503" t="s">
        <v>4664</v>
      </c>
      <c r="B4503" t="str">
        <f>"300756"</f>
        <v>300756</v>
      </c>
      <c r="C4503" t="s">
        <v>9350</v>
      </c>
      <c r="D4503" t="s">
        <v>2904</v>
      </c>
      <c r="F4503">
        <v>544.14</v>
      </c>
      <c r="G4503">
        <v>865.43489999999997</v>
      </c>
      <c r="H4503">
        <v>638.96270000000004</v>
      </c>
      <c r="I4503">
        <v>637.86339999999996</v>
      </c>
      <c r="J4503">
        <v>334.58659999999998</v>
      </c>
      <c r="P4503">
        <v>76</v>
      </c>
      <c r="Q4503" t="s">
        <v>9351</v>
      </c>
    </row>
    <row r="4504" spans="1:17" x14ac:dyDescent="0.3">
      <c r="A4504" t="s">
        <v>4664</v>
      </c>
      <c r="B4504" t="str">
        <f>"300757"</f>
        <v>300757</v>
      </c>
      <c r="C4504" t="s">
        <v>9352</v>
      </c>
      <c r="D4504" t="s">
        <v>3450</v>
      </c>
      <c r="F4504">
        <v>256.4674</v>
      </c>
      <c r="G4504">
        <v>542.80029999999999</v>
      </c>
      <c r="H4504">
        <v>260.25229999999999</v>
      </c>
      <c r="I4504">
        <v>356.27449999999999</v>
      </c>
      <c r="J4504">
        <v>232.2955</v>
      </c>
      <c r="P4504">
        <v>76</v>
      </c>
      <c r="Q4504" t="s">
        <v>9353</v>
      </c>
    </row>
    <row r="4505" spans="1:17" x14ac:dyDescent="0.3">
      <c r="A4505" t="s">
        <v>4664</v>
      </c>
      <c r="B4505" t="str">
        <f>"300758"</f>
        <v>300758</v>
      </c>
      <c r="C4505" t="s">
        <v>9354</v>
      </c>
      <c r="D4505" t="s">
        <v>2570</v>
      </c>
      <c r="F4505">
        <v>158.9486</v>
      </c>
      <c r="G4505">
        <v>171.48580000000001</v>
      </c>
      <c r="H4505">
        <v>136.24690000000001</v>
      </c>
      <c r="I4505">
        <v>154.0967</v>
      </c>
      <c r="J4505">
        <v>75.974800000000002</v>
      </c>
      <c r="P4505">
        <v>104</v>
      </c>
      <c r="Q4505" t="s">
        <v>9355</v>
      </c>
    </row>
    <row r="4506" spans="1:17" x14ac:dyDescent="0.3">
      <c r="A4506" t="s">
        <v>4664</v>
      </c>
      <c r="B4506" t="str">
        <f>"300759"</f>
        <v>300759</v>
      </c>
      <c r="C4506" t="s">
        <v>9356</v>
      </c>
      <c r="D4506" t="s">
        <v>1461</v>
      </c>
      <c r="F4506">
        <v>45.450699999999998</v>
      </c>
      <c r="G4506">
        <v>33.437899999999999</v>
      </c>
      <c r="H4506">
        <v>29.081900000000001</v>
      </c>
      <c r="I4506">
        <v>28.584700000000002</v>
      </c>
      <c r="J4506">
        <v>15.577</v>
      </c>
      <c r="P4506">
        <v>1080</v>
      </c>
      <c r="Q4506" t="s">
        <v>9357</v>
      </c>
    </row>
    <row r="4507" spans="1:17" x14ac:dyDescent="0.3">
      <c r="A4507" t="s">
        <v>4664</v>
      </c>
      <c r="B4507" t="str">
        <f>"300760"</f>
        <v>300760</v>
      </c>
      <c r="C4507" t="s">
        <v>9358</v>
      </c>
      <c r="D4507" t="s">
        <v>122</v>
      </c>
      <c r="F4507">
        <v>184.64160000000001</v>
      </c>
      <c r="G4507">
        <v>195.131</v>
      </c>
      <c r="H4507">
        <v>161.29519999999999</v>
      </c>
      <c r="I4507">
        <v>182.2473</v>
      </c>
      <c r="P4507">
        <v>4593</v>
      </c>
      <c r="Q4507" t="s">
        <v>9359</v>
      </c>
    </row>
    <row r="4508" spans="1:17" x14ac:dyDescent="0.3">
      <c r="A4508" t="s">
        <v>4664</v>
      </c>
      <c r="B4508" t="str">
        <f>"300761"</f>
        <v>300761</v>
      </c>
      <c r="C4508" t="s">
        <v>9360</v>
      </c>
      <c r="D4508" t="s">
        <v>6173</v>
      </c>
      <c r="F4508">
        <v>77.037899999999993</v>
      </c>
      <c r="G4508">
        <v>89.483099999999993</v>
      </c>
      <c r="H4508">
        <v>78.350200000000001</v>
      </c>
      <c r="I4508">
        <v>80.185400000000001</v>
      </c>
      <c r="J4508">
        <v>43.045000000000002</v>
      </c>
      <c r="P4508">
        <v>369</v>
      </c>
      <c r="Q4508" t="s">
        <v>9361</v>
      </c>
    </row>
    <row r="4509" spans="1:17" x14ac:dyDescent="0.3">
      <c r="A4509" t="s">
        <v>4664</v>
      </c>
      <c r="B4509" t="str">
        <f>"300762"</f>
        <v>300762</v>
      </c>
      <c r="C4509" t="s">
        <v>9362</v>
      </c>
      <c r="D4509" t="s">
        <v>1136</v>
      </c>
      <c r="F4509">
        <v>486.59930000000003</v>
      </c>
      <c r="G4509">
        <v>523.08720000000005</v>
      </c>
      <c r="H4509">
        <v>544.56460000000004</v>
      </c>
      <c r="I4509">
        <v>259.06099999999998</v>
      </c>
      <c r="P4509">
        <v>181</v>
      </c>
      <c r="Q4509" t="s">
        <v>9363</v>
      </c>
    </row>
    <row r="4510" spans="1:17" x14ac:dyDescent="0.3">
      <c r="A4510" t="s">
        <v>4664</v>
      </c>
      <c r="B4510" t="str">
        <f>"300763"</f>
        <v>300763</v>
      </c>
      <c r="C4510" t="s">
        <v>9364</v>
      </c>
      <c r="D4510" t="s">
        <v>3797</v>
      </c>
      <c r="F4510">
        <v>162.23079999999999</v>
      </c>
      <c r="G4510">
        <v>114.1267</v>
      </c>
      <c r="H4510">
        <v>78.543300000000002</v>
      </c>
      <c r="I4510">
        <v>29.9086</v>
      </c>
      <c r="P4510">
        <v>582</v>
      </c>
      <c r="Q4510" t="s">
        <v>9365</v>
      </c>
    </row>
    <row r="4511" spans="1:17" x14ac:dyDescent="0.3">
      <c r="A4511" t="s">
        <v>4664</v>
      </c>
      <c r="B4511" t="str">
        <f>"300765"</f>
        <v>300765</v>
      </c>
      <c r="C4511" t="s">
        <v>9366</v>
      </c>
      <c r="D4511" t="s">
        <v>496</v>
      </c>
      <c r="F4511">
        <v>99.430800000000005</v>
      </c>
      <c r="G4511">
        <v>90.215599999999995</v>
      </c>
      <c r="H4511">
        <v>108.54179999999999</v>
      </c>
      <c r="I4511">
        <v>45.068199999999997</v>
      </c>
      <c r="P4511">
        <v>173</v>
      </c>
      <c r="Q4511" t="s">
        <v>9367</v>
      </c>
    </row>
    <row r="4512" spans="1:17" x14ac:dyDescent="0.3">
      <c r="A4512" t="s">
        <v>4664</v>
      </c>
      <c r="B4512" t="str">
        <f>"300766"</f>
        <v>300766</v>
      </c>
      <c r="C4512" t="s">
        <v>9368</v>
      </c>
      <c r="D4512" t="s">
        <v>1189</v>
      </c>
      <c r="F4512">
        <v>18.448599999999999</v>
      </c>
      <c r="G4512">
        <v>21.604900000000001</v>
      </c>
      <c r="H4512">
        <v>13.095599999999999</v>
      </c>
      <c r="I4512">
        <v>3.5543999999999998</v>
      </c>
      <c r="P4512">
        <v>140</v>
      </c>
      <c r="Q4512" t="s">
        <v>9369</v>
      </c>
    </row>
    <row r="4513" spans="1:17" x14ac:dyDescent="0.3">
      <c r="A4513" t="s">
        <v>4664</v>
      </c>
      <c r="B4513" t="str">
        <f>"300767"</f>
        <v>300767</v>
      </c>
      <c r="C4513" t="s">
        <v>9370</v>
      </c>
      <c r="D4513" t="s">
        <v>2460</v>
      </c>
      <c r="F4513">
        <v>340.42430000000002</v>
      </c>
      <c r="G4513">
        <v>268.69690000000003</v>
      </c>
      <c r="H4513">
        <v>311.53149999999999</v>
      </c>
      <c r="I4513">
        <v>112.2248</v>
      </c>
      <c r="P4513">
        <v>197</v>
      </c>
      <c r="Q4513" t="s">
        <v>9371</v>
      </c>
    </row>
    <row r="4514" spans="1:17" x14ac:dyDescent="0.3">
      <c r="A4514" t="s">
        <v>4664</v>
      </c>
      <c r="B4514" t="str">
        <f>"300768"</f>
        <v>300768</v>
      </c>
      <c r="C4514" t="s">
        <v>9372</v>
      </c>
      <c r="D4514" t="s">
        <v>1189</v>
      </c>
      <c r="F4514">
        <v>354.77879999999999</v>
      </c>
      <c r="G4514">
        <v>478.2133</v>
      </c>
      <c r="H4514">
        <v>402.80630000000002</v>
      </c>
      <c r="I4514">
        <v>175.1754</v>
      </c>
      <c r="P4514">
        <v>240</v>
      </c>
      <c r="Q4514" t="s">
        <v>9373</v>
      </c>
    </row>
    <row r="4515" spans="1:17" x14ac:dyDescent="0.3">
      <c r="A4515" t="s">
        <v>4664</v>
      </c>
      <c r="B4515" t="str">
        <f>"300769"</f>
        <v>300769</v>
      </c>
      <c r="C4515" t="s">
        <v>9374</v>
      </c>
      <c r="D4515" t="s">
        <v>1786</v>
      </c>
      <c r="F4515">
        <v>117.4256</v>
      </c>
      <c r="G4515">
        <v>100.13849999999999</v>
      </c>
      <c r="H4515">
        <v>66.290300000000002</v>
      </c>
      <c r="I4515">
        <v>21.184200000000001</v>
      </c>
      <c r="J4515">
        <v>63.7241</v>
      </c>
      <c r="P4515">
        <v>325</v>
      </c>
      <c r="Q4515" t="s">
        <v>9375</v>
      </c>
    </row>
    <row r="4516" spans="1:17" x14ac:dyDescent="0.3">
      <c r="A4516" t="s">
        <v>4664</v>
      </c>
      <c r="B4516" t="str">
        <f>"300770"</f>
        <v>300770</v>
      </c>
      <c r="C4516" t="s">
        <v>9376</v>
      </c>
      <c r="D4516" t="s">
        <v>95</v>
      </c>
      <c r="F4516">
        <v>2.8299999999999999E-2</v>
      </c>
      <c r="G4516">
        <v>6.93E-2</v>
      </c>
      <c r="H4516">
        <v>9.8199999999999996E-2</v>
      </c>
      <c r="I4516">
        <v>0.21260000000000001</v>
      </c>
      <c r="P4516">
        <v>632</v>
      </c>
      <c r="Q4516" t="s">
        <v>9377</v>
      </c>
    </row>
    <row r="4517" spans="1:17" x14ac:dyDescent="0.3">
      <c r="A4517" t="s">
        <v>4664</v>
      </c>
      <c r="B4517" t="str">
        <f>"300771"</f>
        <v>300771</v>
      </c>
      <c r="C4517" t="s">
        <v>9378</v>
      </c>
      <c r="D4517" t="s">
        <v>236</v>
      </c>
      <c r="F4517">
        <v>253.71520000000001</v>
      </c>
      <c r="G4517">
        <v>255.79949999999999</v>
      </c>
      <c r="H4517">
        <v>254.3314</v>
      </c>
      <c r="I4517">
        <v>99.339799999999997</v>
      </c>
      <c r="P4517">
        <v>229</v>
      </c>
      <c r="Q4517" t="s">
        <v>9379</v>
      </c>
    </row>
    <row r="4518" spans="1:17" x14ac:dyDescent="0.3">
      <c r="A4518" t="s">
        <v>4664</v>
      </c>
      <c r="B4518" t="str">
        <f>"300772"</f>
        <v>300772</v>
      </c>
      <c r="C4518" t="s">
        <v>9380</v>
      </c>
      <c r="D4518" t="s">
        <v>895</v>
      </c>
      <c r="F4518">
        <v>229.60919999999999</v>
      </c>
      <c r="G4518">
        <v>174.5402</v>
      </c>
      <c r="H4518">
        <v>170.89699999999999</v>
      </c>
      <c r="I4518">
        <v>120.8822</v>
      </c>
      <c r="P4518">
        <v>177</v>
      </c>
      <c r="Q4518" t="s">
        <v>9381</v>
      </c>
    </row>
    <row r="4519" spans="1:17" x14ac:dyDescent="0.3">
      <c r="A4519" t="s">
        <v>4664</v>
      </c>
      <c r="B4519" t="str">
        <f>"300773"</f>
        <v>300773</v>
      </c>
      <c r="C4519" t="s">
        <v>9382</v>
      </c>
      <c r="D4519" t="s">
        <v>6337</v>
      </c>
      <c r="F4519">
        <v>1.3605</v>
      </c>
      <c r="G4519">
        <v>2.7351000000000001</v>
      </c>
      <c r="H4519">
        <v>3.1684000000000001</v>
      </c>
      <c r="I4519">
        <v>1.5366</v>
      </c>
      <c r="P4519">
        <v>472</v>
      </c>
      <c r="Q4519" t="s">
        <v>9383</v>
      </c>
    </row>
    <row r="4520" spans="1:17" x14ac:dyDescent="0.3">
      <c r="A4520" t="s">
        <v>4664</v>
      </c>
      <c r="B4520" t="str">
        <f>"300774"</f>
        <v>300774</v>
      </c>
      <c r="C4520" t="s">
        <v>9384</v>
      </c>
      <c r="D4520" t="s">
        <v>33</v>
      </c>
      <c r="F4520">
        <v>219.69569999999999</v>
      </c>
      <c r="P4520">
        <v>24</v>
      </c>
      <c r="Q4520" t="s">
        <v>9385</v>
      </c>
    </row>
    <row r="4521" spans="1:17" x14ac:dyDescent="0.3">
      <c r="A4521" t="s">
        <v>4664</v>
      </c>
      <c r="B4521" t="str">
        <f>"300775"</f>
        <v>300775</v>
      </c>
      <c r="C4521" t="s">
        <v>9386</v>
      </c>
      <c r="D4521" t="s">
        <v>98</v>
      </c>
      <c r="F4521">
        <v>774.74289999999996</v>
      </c>
      <c r="G4521">
        <v>892.23289999999997</v>
      </c>
      <c r="H4521">
        <v>501.80279999999999</v>
      </c>
      <c r="I4521">
        <v>311.61349999999999</v>
      </c>
      <c r="P4521">
        <v>186</v>
      </c>
      <c r="Q4521" t="s">
        <v>9387</v>
      </c>
    </row>
    <row r="4522" spans="1:17" x14ac:dyDescent="0.3">
      <c r="A4522" t="s">
        <v>4664</v>
      </c>
      <c r="B4522" t="str">
        <f>"300776"</f>
        <v>300776</v>
      </c>
      <c r="C4522" t="s">
        <v>9388</v>
      </c>
      <c r="D4522" t="s">
        <v>2654</v>
      </c>
      <c r="F4522">
        <v>506.83179999999999</v>
      </c>
      <c r="G4522">
        <v>688.55880000000002</v>
      </c>
      <c r="H4522">
        <v>971.03700000000003</v>
      </c>
      <c r="I4522">
        <v>291.89580000000001</v>
      </c>
      <c r="P4522">
        <v>397</v>
      </c>
      <c r="Q4522" t="s">
        <v>9389</v>
      </c>
    </row>
    <row r="4523" spans="1:17" x14ac:dyDescent="0.3">
      <c r="A4523" t="s">
        <v>4664</v>
      </c>
      <c r="B4523" t="str">
        <f>"300777"</f>
        <v>300777</v>
      </c>
      <c r="C4523" t="s">
        <v>9390</v>
      </c>
      <c r="D4523" t="s">
        <v>98</v>
      </c>
      <c r="F4523">
        <v>158.88720000000001</v>
      </c>
      <c r="G4523">
        <v>254.42959999999999</v>
      </c>
      <c r="H4523">
        <v>214.49610000000001</v>
      </c>
      <c r="I4523">
        <v>135.97309999999999</v>
      </c>
      <c r="P4523">
        <v>371</v>
      </c>
      <c r="Q4523" t="s">
        <v>9391</v>
      </c>
    </row>
    <row r="4524" spans="1:17" x14ac:dyDescent="0.3">
      <c r="A4524" t="s">
        <v>4664</v>
      </c>
      <c r="B4524" t="str">
        <f>"300778"</f>
        <v>300778</v>
      </c>
      <c r="C4524" t="s">
        <v>9392</v>
      </c>
      <c r="D4524" t="s">
        <v>1272</v>
      </c>
      <c r="F4524">
        <v>3.5799999999999998E-2</v>
      </c>
      <c r="G4524">
        <v>0</v>
      </c>
      <c r="H4524">
        <v>0</v>
      </c>
      <c r="I4524">
        <v>0</v>
      </c>
      <c r="P4524">
        <v>104</v>
      </c>
      <c r="Q4524" t="s">
        <v>9393</v>
      </c>
    </row>
    <row r="4525" spans="1:17" x14ac:dyDescent="0.3">
      <c r="A4525" t="s">
        <v>4664</v>
      </c>
      <c r="B4525" t="str">
        <f>"300779"</f>
        <v>300779</v>
      </c>
      <c r="C4525" t="s">
        <v>9394</v>
      </c>
      <c r="D4525" t="s">
        <v>499</v>
      </c>
      <c r="F4525">
        <v>175.54849999999999</v>
      </c>
      <c r="G4525">
        <v>103.59650000000001</v>
      </c>
      <c r="H4525">
        <v>80.266599999999997</v>
      </c>
      <c r="I4525">
        <v>47.42</v>
      </c>
      <c r="P4525">
        <v>62</v>
      </c>
      <c r="Q4525" t="s">
        <v>9395</v>
      </c>
    </row>
    <row r="4526" spans="1:17" x14ac:dyDescent="0.3">
      <c r="A4526" t="s">
        <v>4664</v>
      </c>
      <c r="B4526" t="str">
        <f>"300780"</f>
        <v>300780</v>
      </c>
      <c r="C4526" t="s">
        <v>9396</v>
      </c>
      <c r="D4526" t="s">
        <v>274</v>
      </c>
      <c r="F4526">
        <v>305.62079999999997</v>
      </c>
      <c r="G4526">
        <v>342.75029999999998</v>
      </c>
      <c r="H4526">
        <v>291.53399999999999</v>
      </c>
      <c r="I4526">
        <v>115.17310000000001</v>
      </c>
      <c r="P4526">
        <v>56</v>
      </c>
      <c r="Q4526" t="s">
        <v>9397</v>
      </c>
    </row>
    <row r="4527" spans="1:17" x14ac:dyDescent="0.3">
      <c r="A4527" t="s">
        <v>4664</v>
      </c>
      <c r="B4527" t="str">
        <f>"300781"</f>
        <v>300781</v>
      </c>
      <c r="C4527" t="s">
        <v>9398</v>
      </c>
      <c r="D4527" t="s">
        <v>207</v>
      </c>
      <c r="F4527">
        <v>0</v>
      </c>
      <c r="G4527">
        <v>0</v>
      </c>
      <c r="H4527">
        <v>0</v>
      </c>
      <c r="I4527">
        <v>0</v>
      </c>
      <c r="P4527">
        <v>100</v>
      </c>
      <c r="Q4527" t="s">
        <v>9399</v>
      </c>
    </row>
    <row r="4528" spans="1:17" x14ac:dyDescent="0.3">
      <c r="A4528" t="s">
        <v>4664</v>
      </c>
      <c r="B4528" t="str">
        <f>"300782"</f>
        <v>300782</v>
      </c>
      <c r="C4528" t="s">
        <v>9400</v>
      </c>
      <c r="D4528" t="s">
        <v>401</v>
      </c>
      <c r="F4528">
        <v>220.14519999999999</v>
      </c>
      <c r="G4528">
        <v>145.53139999999999</v>
      </c>
      <c r="H4528">
        <v>155.09059999999999</v>
      </c>
      <c r="I4528">
        <v>76.478700000000003</v>
      </c>
      <c r="P4528">
        <v>1609</v>
      </c>
      <c r="Q4528" t="s">
        <v>9401</v>
      </c>
    </row>
    <row r="4529" spans="1:17" x14ac:dyDescent="0.3">
      <c r="A4529" t="s">
        <v>4664</v>
      </c>
      <c r="B4529" t="str">
        <f>"300783"</f>
        <v>300783</v>
      </c>
      <c r="C4529" t="s">
        <v>9402</v>
      </c>
      <c r="D4529" t="s">
        <v>3167</v>
      </c>
      <c r="F4529">
        <v>73.384</v>
      </c>
      <c r="G4529">
        <v>112.0091</v>
      </c>
      <c r="H4529">
        <v>90.9893</v>
      </c>
      <c r="I4529">
        <v>59.211199999999998</v>
      </c>
      <c r="P4529">
        <v>730</v>
      </c>
      <c r="Q4529" t="s">
        <v>9403</v>
      </c>
    </row>
    <row r="4530" spans="1:17" x14ac:dyDescent="0.3">
      <c r="A4530" t="s">
        <v>4664</v>
      </c>
      <c r="B4530" t="str">
        <f>"300785"</f>
        <v>300785</v>
      </c>
      <c r="C4530" t="s">
        <v>9404</v>
      </c>
      <c r="D4530" t="s">
        <v>522</v>
      </c>
      <c r="F4530">
        <v>17.439</v>
      </c>
      <c r="G4530">
        <v>8.6506000000000007</v>
      </c>
      <c r="H4530">
        <v>5.8822000000000001</v>
      </c>
      <c r="I4530">
        <v>6.4851999999999999</v>
      </c>
      <c r="P4530">
        <v>332</v>
      </c>
      <c r="Q4530" t="s">
        <v>9405</v>
      </c>
    </row>
    <row r="4531" spans="1:17" x14ac:dyDescent="0.3">
      <c r="A4531" t="s">
        <v>4664</v>
      </c>
      <c r="B4531" t="str">
        <f>"300786"</f>
        <v>300786</v>
      </c>
      <c r="C4531" t="s">
        <v>9406</v>
      </c>
      <c r="D4531" t="s">
        <v>1070</v>
      </c>
      <c r="F4531">
        <v>428.20069999999998</v>
      </c>
      <c r="G4531">
        <v>537.75220000000002</v>
      </c>
      <c r="H4531">
        <v>437.57810000000001</v>
      </c>
      <c r="I4531">
        <v>189.328</v>
      </c>
      <c r="P4531">
        <v>95</v>
      </c>
      <c r="Q4531" t="s">
        <v>9407</v>
      </c>
    </row>
    <row r="4532" spans="1:17" x14ac:dyDescent="0.3">
      <c r="A4532" t="s">
        <v>4664</v>
      </c>
      <c r="B4532" t="str">
        <f>"300787"</f>
        <v>300787</v>
      </c>
      <c r="C4532" t="s">
        <v>9408</v>
      </c>
      <c r="D4532" t="s">
        <v>313</v>
      </c>
      <c r="F4532">
        <v>149.40780000000001</v>
      </c>
      <c r="G4532">
        <v>113.7338</v>
      </c>
      <c r="H4532">
        <v>104.6451</v>
      </c>
      <c r="I4532">
        <v>42.5974</v>
      </c>
      <c r="P4532">
        <v>87</v>
      </c>
      <c r="Q4532" t="s">
        <v>9409</v>
      </c>
    </row>
    <row r="4533" spans="1:17" x14ac:dyDescent="0.3">
      <c r="A4533" t="s">
        <v>4664</v>
      </c>
      <c r="B4533" t="str">
        <f>"300788"</f>
        <v>300788</v>
      </c>
      <c r="C4533" t="s">
        <v>9410</v>
      </c>
      <c r="D4533" t="s">
        <v>525</v>
      </c>
      <c r="F4533">
        <v>316.63139999999999</v>
      </c>
      <c r="G4533">
        <v>357.72579999999999</v>
      </c>
      <c r="H4533">
        <v>301.47410000000002</v>
      </c>
      <c r="I4533">
        <v>160.8116</v>
      </c>
      <c r="P4533">
        <v>347</v>
      </c>
      <c r="Q4533" t="s">
        <v>9411</v>
      </c>
    </row>
    <row r="4534" spans="1:17" x14ac:dyDescent="0.3">
      <c r="A4534" t="s">
        <v>4664</v>
      </c>
      <c r="B4534" t="str">
        <f>"300789"</f>
        <v>300789</v>
      </c>
      <c r="C4534" t="s">
        <v>9412</v>
      </c>
      <c r="D4534" t="s">
        <v>236</v>
      </c>
      <c r="F4534">
        <v>509.44479999999999</v>
      </c>
      <c r="G4534">
        <v>548.18399999999997</v>
      </c>
      <c r="H4534">
        <v>351.30259999999998</v>
      </c>
      <c r="I4534">
        <v>200.7833</v>
      </c>
      <c r="P4534">
        <v>79</v>
      </c>
      <c r="Q4534" t="s">
        <v>9413</v>
      </c>
    </row>
    <row r="4535" spans="1:17" x14ac:dyDescent="0.3">
      <c r="A4535" t="s">
        <v>4664</v>
      </c>
      <c r="B4535" t="str">
        <f>"300790"</f>
        <v>300790</v>
      </c>
      <c r="C4535" t="s">
        <v>9414</v>
      </c>
      <c r="D4535" t="s">
        <v>2953</v>
      </c>
      <c r="F4535">
        <v>153.3252</v>
      </c>
      <c r="G4535">
        <v>166.71270000000001</v>
      </c>
      <c r="H4535">
        <v>148.56489999999999</v>
      </c>
      <c r="I4535">
        <v>82.546199999999999</v>
      </c>
      <c r="P4535">
        <v>158</v>
      </c>
      <c r="Q4535" t="s">
        <v>9415</v>
      </c>
    </row>
    <row r="4536" spans="1:17" x14ac:dyDescent="0.3">
      <c r="A4536" t="s">
        <v>4664</v>
      </c>
      <c r="B4536" t="str">
        <f>"300791"</f>
        <v>300791</v>
      </c>
      <c r="C4536" t="s">
        <v>9416</v>
      </c>
      <c r="D4536" t="s">
        <v>838</v>
      </c>
      <c r="F4536">
        <v>91.877300000000005</v>
      </c>
      <c r="G4536">
        <v>89.104500000000002</v>
      </c>
      <c r="H4536">
        <v>101.1035</v>
      </c>
      <c r="I4536">
        <v>46.090899999999998</v>
      </c>
      <c r="P4536">
        <v>286</v>
      </c>
      <c r="Q4536" t="s">
        <v>9417</v>
      </c>
    </row>
    <row r="4537" spans="1:17" x14ac:dyDescent="0.3">
      <c r="A4537" t="s">
        <v>4664</v>
      </c>
      <c r="B4537" t="str">
        <f>"300792"</f>
        <v>300792</v>
      </c>
      <c r="C4537" t="s">
        <v>9418</v>
      </c>
      <c r="D4537" t="s">
        <v>3590</v>
      </c>
      <c r="F4537">
        <v>113.979</v>
      </c>
      <c r="G4537">
        <v>90.814400000000006</v>
      </c>
      <c r="H4537">
        <v>73.447999999999993</v>
      </c>
      <c r="I4537">
        <v>14.580299999999999</v>
      </c>
      <c r="P4537">
        <v>369</v>
      </c>
      <c r="Q4537" t="s">
        <v>9419</v>
      </c>
    </row>
    <row r="4538" spans="1:17" x14ac:dyDescent="0.3">
      <c r="A4538" t="s">
        <v>4664</v>
      </c>
      <c r="B4538" t="str">
        <f>"300793"</f>
        <v>300793</v>
      </c>
      <c r="C4538" t="s">
        <v>9420</v>
      </c>
      <c r="D4538" t="s">
        <v>313</v>
      </c>
      <c r="F4538">
        <v>109.85420000000001</v>
      </c>
      <c r="G4538">
        <v>122.04770000000001</v>
      </c>
      <c r="H4538">
        <v>103.61150000000001</v>
      </c>
      <c r="I4538">
        <v>56.044499999999999</v>
      </c>
      <c r="P4538">
        <v>144</v>
      </c>
      <c r="Q4538" t="s">
        <v>9421</v>
      </c>
    </row>
    <row r="4539" spans="1:17" x14ac:dyDescent="0.3">
      <c r="A4539" t="s">
        <v>4664</v>
      </c>
      <c r="B4539" t="str">
        <f>"300795"</f>
        <v>300795</v>
      </c>
      <c r="C4539" t="s">
        <v>9422</v>
      </c>
      <c r="D4539" t="s">
        <v>1671</v>
      </c>
      <c r="F4539">
        <v>7.8441000000000001</v>
      </c>
      <c r="G4539">
        <v>0</v>
      </c>
      <c r="H4539">
        <v>0</v>
      </c>
      <c r="I4539">
        <v>0</v>
      </c>
      <c r="P4539">
        <v>109</v>
      </c>
      <c r="Q4539" t="s">
        <v>9423</v>
      </c>
    </row>
    <row r="4540" spans="1:17" x14ac:dyDescent="0.3">
      <c r="A4540" t="s">
        <v>4664</v>
      </c>
      <c r="B4540" t="str">
        <f>"300796"</f>
        <v>300796</v>
      </c>
      <c r="C4540" t="s">
        <v>9424</v>
      </c>
      <c r="D4540" t="s">
        <v>853</v>
      </c>
      <c r="F4540">
        <v>108.2924</v>
      </c>
      <c r="G4540">
        <v>143.85149999999999</v>
      </c>
      <c r="H4540">
        <v>93.461399999999998</v>
      </c>
      <c r="I4540">
        <v>48.819600000000001</v>
      </c>
      <c r="P4540">
        <v>45</v>
      </c>
      <c r="Q4540" t="s">
        <v>9425</v>
      </c>
    </row>
    <row r="4541" spans="1:17" x14ac:dyDescent="0.3">
      <c r="A4541" t="s">
        <v>4664</v>
      </c>
      <c r="B4541" t="str">
        <f>"300797"</f>
        <v>300797</v>
      </c>
      <c r="C4541" t="s">
        <v>9426</v>
      </c>
      <c r="D4541" t="s">
        <v>110</v>
      </c>
      <c r="F4541">
        <v>247.4281</v>
      </c>
      <c r="G4541">
        <v>285.70089999999999</v>
      </c>
      <c r="H4541">
        <v>267.25119999999998</v>
      </c>
      <c r="I4541">
        <v>136.5172</v>
      </c>
      <c r="P4541">
        <v>67</v>
      </c>
      <c r="Q4541" t="s">
        <v>9427</v>
      </c>
    </row>
    <row r="4542" spans="1:17" x14ac:dyDescent="0.3">
      <c r="A4542" t="s">
        <v>4664</v>
      </c>
      <c r="B4542" t="str">
        <f>"300798"</f>
        <v>300798</v>
      </c>
      <c r="C4542" t="s">
        <v>9428</v>
      </c>
      <c r="D4542" t="s">
        <v>779</v>
      </c>
      <c r="F4542">
        <v>166.1328</v>
      </c>
      <c r="G4542">
        <v>227.6447</v>
      </c>
      <c r="H4542">
        <v>137.07740000000001</v>
      </c>
      <c r="I4542">
        <v>59.9191</v>
      </c>
      <c r="P4542">
        <v>55</v>
      </c>
      <c r="Q4542" t="s">
        <v>9429</v>
      </c>
    </row>
    <row r="4543" spans="1:17" x14ac:dyDescent="0.3">
      <c r="A4543" t="s">
        <v>4664</v>
      </c>
      <c r="B4543" t="str">
        <f>"300799"</f>
        <v>300799</v>
      </c>
      <c r="C4543" t="s">
        <v>9430</v>
      </c>
      <c r="D4543" t="s">
        <v>1189</v>
      </c>
      <c r="F4543">
        <v>1402.3649</v>
      </c>
      <c r="G4543">
        <v>1179.607</v>
      </c>
      <c r="H4543">
        <v>667.62249999999995</v>
      </c>
      <c r="I4543">
        <v>310.44200000000001</v>
      </c>
      <c r="P4543">
        <v>140</v>
      </c>
      <c r="Q4543" t="s">
        <v>9431</v>
      </c>
    </row>
    <row r="4544" spans="1:17" x14ac:dyDescent="0.3">
      <c r="A4544" t="s">
        <v>4664</v>
      </c>
      <c r="B4544" t="str">
        <f>"300800"</f>
        <v>300800</v>
      </c>
      <c r="C4544" t="s">
        <v>9432</v>
      </c>
      <c r="D4544" t="s">
        <v>1070</v>
      </c>
      <c r="F4544">
        <v>191.24160000000001</v>
      </c>
      <c r="G4544">
        <v>225.77959999999999</v>
      </c>
      <c r="H4544">
        <v>269.21789999999999</v>
      </c>
      <c r="I4544">
        <v>84.088999999999999</v>
      </c>
      <c r="P4544">
        <v>362</v>
      </c>
      <c r="Q4544" t="s">
        <v>9433</v>
      </c>
    </row>
    <row r="4545" spans="1:17" x14ac:dyDescent="0.3">
      <c r="A4545" t="s">
        <v>4664</v>
      </c>
      <c r="B4545" t="str">
        <f>"300801"</f>
        <v>300801</v>
      </c>
      <c r="C4545" t="s">
        <v>9434</v>
      </c>
      <c r="D4545" t="s">
        <v>386</v>
      </c>
      <c r="F4545">
        <v>39.368000000000002</v>
      </c>
      <c r="G4545">
        <v>34.8521</v>
      </c>
      <c r="H4545">
        <v>36.614699999999999</v>
      </c>
      <c r="I4545">
        <v>18.247199999999999</v>
      </c>
      <c r="P4545">
        <v>112</v>
      </c>
      <c r="Q4545" t="s">
        <v>9435</v>
      </c>
    </row>
    <row r="4546" spans="1:17" x14ac:dyDescent="0.3">
      <c r="A4546" t="s">
        <v>4664</v>
      </c>
      <c r="B4546" t="str">
        <f>"300802"</f>
        <v>300802</v>
      </c>
      <c r="C4546" t="s">
        <v>9436</v>
      </c>
      <c r="D4546" t="s">
        <v>3450</v>
      </c>
      <c r="F4546">
        <v>261.75130000000001</v>
      </c>
      <c r="G4546">
        <v>185.47280000000001</v>
      </c>
      <c r="H4546">
        <v>179.56610000000001</v>
      </c>
      <c r="I4546">
        <v>73.537499999999994</v>
      </c>
      <c r="P4546">
        <v>182</v>
      </c>
      <c r="Q4546" t="s">
        <v>9437</v>
      </c>
    </row>
    <row r="4547" spans="1:17" x14ac:dyDescent="0.3">
      <c r="A4547" t="s">
        <v>4664</v>
      </c>
      <c r="B4547" t="str">
        <f>"300803"</f>
        <v>300803</v>
      </c>
      <c r="C4547" t="s">
        <v>9438</v>
      </c>
      <c r="D4547" t="s">
        <v>945</v>
      </c>
      <c r="F4547">
        <v>2.1128</v>
      </c>
      <c r="G4547">
        <v>1.6877</v>
      </c>
      <c r="H4547">
        <v>2.5741000000000001</v>
      </c>
      <c r="I4547">
        <v>1.5093000000000001</v>
      </c>
      <c r="P4547">
        <v>194</v>
      </c>
      <c r="Q4547" t="s">
        <v>9439</v>
      </c>
    </row>
    <row r="4548" spans="1:17" x14ac:dyDescent="0.3">
      <c r="A4548" t="s">
        <v>4664</v>
      </c>
      <c r="B4548" t="str">
        <f>"300805"</f>
        <v>300805</v>
      </c>
      <c r="C4548" t="s">
        <v>9440</v>
      </c>
      <c r="D4548" t="s">
        <v>207</v>
      </c>
      <c r="F4548">
        <v>14.4414</v>
      </c>
      <c r="G4548">
        <v>15.0237</v>
      </c>
      <c r="H4548">
        <v>19.427199999999999</v>
      </c>
      <c r="I4548">
        <v>8.5587999999999997</v>
      </c>
      <c r="P4548">
        <v>71</v>
      </c>
      <c r="Q4548" t="s">
        <v>9441</v>
      </c>
    </row>
    <row r="4549" spans="1:17" x14ac:dyDescent="0.3">
      <c r="A4549" t="s">
        <v>4664</v>
      </c>
      <c r="B4549" t="str">
        <f>"300806"</f>
        <v>300806</v>
      </c>
      <c r="C4549" t="s">
        <v>9442</v>
      </c>
      <c r="D4549" t="s">
        <v>324</v>
      </c>
      <c r="F4549">
        <v>87.73</v>
      </c>
      <c r="G4549">
        <v>69.025499999999994</v>
      </c>
      <c r="H4549">
        <v>65.747500000000002</v>
      </c>
      <c r="I4549">
        <v>52.496299999999998</v>
      </c>
      <c r="P4549">
        <v>168</v>
      </c>
      <c r="Q4549" t="s">
        <v>9443</v>
      </c>
    </row>
    <row r="4550" spans="1:17" x14ac:dyDescent="0.3">
      <c r="A4550" t="s">
        <v>4664</v>
      </c>
      <c r="B4550" t="str">
        <f>"300807"</f>
        <v>300807</v>
      </c>
      <c r="C4550" t="s">
        <v>9444</v>
      </c>
      <c r="D4550" t="s">
        <v>236</v>
      </c>
      <c r="F4550">
        <v>1051.4124999999999</v>
      </c>
      <c r="G4550">
        <v>652.52570000000003</v>
      </c>
      <c r="H4550">
        <v>297.27600000000001</v>
      </c>
      <c r="I4550">
        <v>263.92419999999998</v>
      </c>
      <c r="P4550">
        <v>103</v>
      </c>
      <c r="Q4550" t="s">
        <v>9445</v>
      </c>
    </row>
    <row r="4551" spans="1:17" x14ac:dyDescent="0.3">
      <c r="A4551" t="s">
        <v>4664</v>
      </c>
      <c r="B4551" t="str">
        <f>"300808"</f>
        <v>300808</v>
      </c>
      <c r="C4551" t="s">
        <v>9446</v>
      </c>
      <c r="D4551" t="s">
        <v>803</v>
      </c>
      <c r="F4551">
        <v>174.73910000000001</v>
      </c>
      <c r="G4551">
        <v>203.3047</v>
      </c>
      <c r="H4551">
        <v>142.375</v>
      </c>
      <c r="I4551">
        <v>72.398600000000002</v>
      </c>
      <c r="P4551">
        <v>55</v>
      </c>
      <c r="Q4551" t="s">
        <v>9447</v>
      </c>
    </row>
    <row r="4552" spans="1:17" x14ac:dyDescent="0.3">
      <c r="A4552" t="s">
        <v>4664</v>
      </c>
      <c r="B4552" t="str">
        <f>"300809"</f>
        <v>300809</v>
      </c>
      <c r="C4552" t="s">
        <v>9448</v>
      </c>
      <c r="D4552" t="s">
        <v>2312</v>
      </c>
      <c r="F4552">
        <v>453.20510000000002</v>
      </c>
      <c r="G4552">
        <v>1371.1446000000001</v>
      </c>
      <c r="H4552">
        <v>383.27499999999998</v>
      </c>
      <c r="I4552">
        <v>242.27099999999999</v>
      </c>
      <c r="P4552">
        <v>110</v>
      </c>
      <c r="Q4552" t="s">
        <v>9449</v>
      </c>
    </row>
    <row r="4553" spans="1:17" x14ac:dyDescent="0.3">
      <c r="A4553" t="s">
        <v>4664</v>
      </c>
      <c r="B4553" t="str">
        <f>"300810"</f>
        <v>300810</v>
      </c>
      <c r="C4553" t="s">
        <v>9450</v>
      </c>
      <c r="D4553" t="s">
        <v>167</v>
      </c>
      <c r="F4553">
        <v>981.81899999999996</v>
      </c>
      <c r="G4553">
        <v>2640.27</v>
      </c>
      <c r="H4553">
        <v>665.99459999999999</v>
      </c>
      <c r="P4553">
        <v>57</v>
      </c>
      <c r="Q4553" t="s">
        <v>9451</v>
      </c>
    </row>
    <row r="4554" spans="1:17" x14ac:dyDescent="0.3">
      <c r="A4554" t="s">
        <v>4664</v>
      </c>
      <c r="B4554" t="str">
        <f>"300811"</f>
        <v>300811</v>
      </c>
      <c r="C4554" t="s">
        <v>9452</v>
      </c>
      <c r="D4554" t="s">
        <v>808</v>
      </c>
      <c r="F4554">
        <v>81.845200000000006</v>
      </c>
      <c r="G4554">
        <v>114.5359</v>
      </c>
      <c r="H4554">
        <v>129.83330000000001</v>
      </c>
      <c r="I4554">
        <v>62.746499999999997</v>
      </c>
      <c r="P4554">
        <v>163</v>
      </c>
      <c r="Q4554" t="s">
        <v>9453</v>
      </c>
    </row>
    <row r="4555" spans="1:17" x14ac:dyDescent="0.3">
      <c r="A4555" t="s">
        <v>4664</v>
      </c>
      <c r="B4555" t="str">
        <f>"300812"</f>
        <v>300812</v>
      </c>
      <c r="C4555" t="s">
        <v>9454</v>
      </c>
      <c r="D4555" t="s">
        <v>3160</v>
      </c>
      <c r="F4555">
        <v>926.64300000000003</v>
      </c>
      <c r="G4555">
        <v>734.43790000000001</v>
      </c>
      <c r="H4555">
        <v>504.74700000000001</v>
      </c>
      <c r="P4555">
        <v>111</v>
      </c>
      <c r="Q4555" t="s">
        <v>9455</v>
      </c>
    </row>
    <row r="4556" spans="1:17" x14ac:dyDescent="0.3">
      <c r="A4556" t="s">
        <v>4664</v>
      </c>
      <c r="B4556" t="str">
        <f>"300813"</f>
        <v>300813</v>
      </c>
      <c r="C4556" t="s">
        <v>9456</v>
      </c>
      <c r="D4556" t="s">
        <v>741</v>
      </c>
      <c r="F4556">
        <v>483.44880000000001</v>
      </c>
      <c r="G4556">
        <v>385.73599999999999</v>
      </c>
      <c r="H4556">
        <v>358.1343</v>
      </c>
      <c r="I4556">
        <v>125.6142</v>
      </c>
      <c r="P4556">
        <v>106</v>
      </c>
      <c r="Q4556" t="s">
        <v>9457</v>
      </c>
    </row>
    <row r="4557" spans="1:17" x14ac:dyDescent="0.3">
      <c r="A4557" t="s">
        <v>4664</v>
      </c>
      <c r="B4557" t="str">
        <f>"300814"</f>
        <v>300814</v>
      </c>
      <c r="C4557" t="s">
        <v>9458</v>
      </c>
      <c r="D4557" t="s">
        <v>425</v>
      </c>
      <c r="F4557">
        <v>164.3228</v>
      </c>
      <c r="P4557">
        <v>14</v>
      </c>
      <c r="Q4557" t="s">
        <v>9459</v>
      </c>
    </row>
    <row r="4558" spans="1:17" x14ac:dyDescent="0.3">
      <c r="A4558" t="s">
        <v>4664</v>
      </c>
      <c r="B4558" t="str">
        <f>"300815"</f>
        <v>300815</v>
      </c>
      <c r="C4558" t="s">
        <v>9460</v>
      </c>
      <c r="D4558" t="s">
        <v>499</v>
      </c>
      <c r="F4558">
        <v>1.202</v>
      </c>
      <c r="G4558">
        <v>1.0804</v>
      </c>
      <c r="H4558">
        <v>1.7434000000000001</v>
      </c>
      <c r="I4558">
        <v>0.2</v>
      </c>
      <c r="P4558">
        <v>345</v>
      </c>
      <c r="Q4558" t="s">
        <v>9461</v>
      </c>
    </row>
    <row r="4559" spans="1:17" x14ac:dyDescent="0.3">
      <c r="A4559" t="s">
        <v>4664</v>
      </c>
      <c r="B4559" t="str">
        <f>"300816"</f>
        <v>300816</v>
      </c>
      <c r="C4559" t="s">
        <v>9462</v>
      </c>
      <c r="D4559" t="s">
        <v>985</v>
      </c>
      <c r="F4559">
        <v>148.8853</v>
      </c>
      <c r="G4559">
        <v>171.76499999999999</v>
      </c>
      <c r="H4559">
        <v>106.3279</v>
      </c>
      <c r="P4559">
        <v>150</v>
      </c>
      <c r="Q4559" t="s">
        <v>9463</v>
      </c>
    </row>
    <row r="4560" spans="1:17" x14ac:dyDescent="0.3">
      <c r="A4560" t="s">
        <v>4664</v>
      </c>
      <c r="B4560" t="str">
        <f>"300817"</f>
        <v>300817</v>
      </c>
      <c r="C4560" t="s">
        <v>9464</v>
      </c>
      <c r="D4560" t="s">
        <v>274</v>
      </c>
      <c r="F4560">
        <v>92.550299999999993</v>
      </c>
      <c r="G4560">
        <v>89.691800000000001</v>
      </c>
      <c r="H4560">
        <v>87.643900000000002</v>
      </c>
      <c r="P4560">
        <v>63</v>
      </c>
      <c r="Q4560" t="s">
        <v>9465</v>
      </c>
    </row>
    <row r="4561" spans="1:17" x14ac:dyDescent="0.3">
      <c r="A4561" t="s">
        <v>4664</v>
      </c>
      <c r="B4561" t="str">
        <f>"300818"</f>
        <v>300818</v>
      </c>
      <c r="C4561" t="s">
        <v>9466</v>
      </c>
      <c r="D4561" t="s">
        <v>404</v>
      </c>
      <c r="F4561">
        <v>118.1161</v>
      </c>
      <c r="G4561">
        <v>257.7955</v>
      </c>
      <c r="H4561">
        <v>131.86369999999999</v>
      </c>
      <c r="P4561">
        <v>92</v>
      </c>
      <c r="Q4561" t="s">
        <v>9467</v>
      </c>
    </row>
    <row r="4562" spans="1:17" x14ac:dyDescent="0.3">
      <c r="A4562" t="s">
        <v>4664</v>
      </c>
      <c r="B4562" t="str">
        <f>"300819"</f>
        <v>300819</v>
      </c>
      <c r="C4562" t="s">
        <v>9468</v>
      </c>
      <c r="D4562" t="s">
        <v>366</v>
      </c>
      <c r="F4562">
        <v>116.00879999999999</v>
      </c>
      <c r="G4562">
        <v>153.70779999999999</v>
      </c>
      <c r="H4562">
        <v>117.0896</v>
      </c>
      <c r="I4562">
        <v>62.972700000000003</v>
      </c>
      <c r="P4562">
        <v>50</v>
      </c>
      <c r="Q4562" t="s">
        <v>9469</v>
      </c>
    </row>
    <row r="4563" spans="1:17" x14ac:dyDescent="0.3">
      <c r="A4563" t="s">
        <v>4664</v>
      </c>
      <c r="B4563" t="str">
        <f>"300820"</f>
        <v>300820</v>
      </c>
      <c r="C4563" t="s">
        <v>9470</v>
      </c>
      <c r="D4563" t="s">
        <v>880</v>
      </c>
      <c r="F4563">
        <v>686.18129999999996</v>
      </c>
      <c r="G4563">
        <v>593.18140000000005</v>
      </c>
      <c r="H4563">
        <v>277.86189999999999</v>
      </c>
      <c r="P4563">
        <v>369</v>
      </c>
      <c r="Q4563" t="s">
        <v>9471</v>
      </c>
    </row>
    <row r="4564" spans="1:17" x14ac:dyDescent="0.3">
      <c r="A4564" t="s">
        <v>4664</v>
      </c>
      <c r="B4564" t="str">
        <f>"300821"</f>
        <v>300821</v>
      </c>
      <c r="C4564" t="s">
        <v>9472</v>
      </c>
      <c r="D4564" t="s">
        <v>1205</v>
      </c>
      <c r="F4564">
        <v>59.136600000000001</v>
      </c>
      <c r="G4564">
        <v>44.948900000000002</v>
      </c>
      <c r="H4564">
        <v>28.4087</v>
      </c>
      <c r="P4564">
        <v>159</v>
      </c>
      <c r="Q4564" t="s">
        <v>9473</v>
      </c>
    </row>
    <row r="4565" spans="1:17" x14ac:dyDescent="0.3">
      <c r="A4565" t="s">
        <v>4664</v>
      </c>
      <c r="B4565" t="str">
        <f>"300822"</f>
        <v>300822</v>
      </c>
      <c r="C4565" t="s">
        <v>9474</v>
      </c>
      <c r="D4565" t="s">
        <v>313</v>
      </c>
      <c r="F4565">
        <v>165.2602</v>
      </c>
      <c r="G4565">
        <v>100.8687</v>
      </c>
      <c r="H4565">
        <v>65.351299999999995</v>
      </c>
      <c r="P4565">
        <v>131</v>
      </c>
      <c r="Q4565" t="s">
        <v>9475</v>
      </c>
    </row>
    <row r="4566" spans="1:17" x14ac:dyDescent="0.3">
      <c r="A4566" t="s">
        <v>4664</v>
      </c>
      <c r="B4566" t="str">
        <f>"300823"</f>
        <v>300823</v>
      </c>
      <c r="C4566" t="s">
        <v>9476</v>
      </c>
      <c r="D4566" t="s">
        <v>741</v>
      </c>
      <c r="F4566">
        <v>434.72930000000002</v>
      </c>
      <c r="G4566">
        <v>414.64960000000002</v>
      </c>
      <c r="H4566">
        <v>198.13659999999999</v>
      </c>
      <c r="P4566">
        <v>109</v>
      </c>
      <c r="Q4566" t="s">
        <v>9477</v>
      </c>
    </row>
    <row r="4567" spans="1:17" x14ac:dyDescent="0.3">
      <c r="A4567" t="s">
        <v>4664</v>
      </c>
      <c r="B4567" t="str">
        <f>"300824"</f>
        <v>300824</v>
      </c>
      <c r="C4567" t="s">
        <v>9478</v>
      </c>
      <c r="D4567" t="s">
        <v>5712</v>
      </c>
      <c r="F4567">
        <v>237.5977</v>
      </c>
      <c r="G4567">
        <v>178.94399999999999</v>
      </c>
      <c r="H4567">
        <v>74.197900000000004</v>
      </c>
      <c r="P4567">
        <v>167</v>
      </c>
      <c r="Q4567" t="s">
        <v>9479</v>
      </c>
    </row>
    <row r="4568" spans="1:17" x14ac:dyDescent="0.3">
      <c r="A4568" t="s">
        <v>4664</v>
      </c>
      <c r="B4568" t="str">
        <f>"300825"</f>
        <v>300825</v>
      </c>
      <c r="C4568" t="s">
        <v>9480</v>
      </c>
      <c r="D4568" t="s">
        <v>2359</v>
      </c>
      <c r="F4568">
        <v>230.4126</v>
      </c>
      <c r="G4568">
        <v>393.51310000000001</v>
      </c>
      <c r="H4568">
        <v>107.41419999999999</v>
      </c>
      <c r="P4568">
        <v>92</v>
      </c>
      <c r="Q4568" t="s">
        <v>9481</v>
      </c>
    </row>
    <row r="4569" spans="1:17" x14ac:dyDescent="0.3">
      <c r="A4569" t="s">
        <v>4664</v>
      </c>
      <c r="B4569" t="str">
        <f>"300826"</f>
        <v>300826</v>
      </c>
      <c r="C4569" t="s">
        <v>9482</v>
      </c>
      <c r="D4569" t="s">
        <v>1272</v>
      </c>
      <c r="F4569">
        <v>1108.4291000000001</v>
      </c>
      <c r="G4569">
        <v>1029.6506999999999</v>
      </c>
      <c r="H4569">
        <v>360.88850000000002</v>
      </c>
      <c r="P4569">
        <v>61</v>
      </c>
      <c r="Q4569" t="s">
        <v>9483</v>
      </c>
    </row>
    <row r="4570" spans="1:17" x14ac:dyDescent="0.3">
      <c r="A4570" t="s">
        <v>4664</v>
      </c>
      <c r="B4570" t="str">
        <f>"300827"</f>
        <v>300827</v>
      </c>
      <c r="C4570" t="s">
        <v>9484</v>
      </c>
      <c r="D4570" t="s">
        <v>3797</v>
      </c>
      <c r="F4570">
        <v>376.90339999999998</v>
      </c>
      <c r="G4570">
        <v>248.99529999999999</v>
      </c>
      <c r="H4570">
        <v>88.758600000000001</v>
      </c>
      <c r="P4570">
        <v>233</v>
      </c>
      <c r="Q4570" t="s">
        <v>9485</v>
      </c>
    </row>
    <row r="4571" spans="1:17" x14ac:dyDescent="0.3">
      <c r="A4571" t="s">
        <v>4664</v>
      </c>
      <c r="B4571" t="str">
        <f>"300828"</f>
        <v>300828</v>
      </c>
      <c r="C4571" t="s">
        <v>9486</v>
      </c>
      <c r="D4571" t="s">
        <v>274</v>
      </c>
      <c r="F4571">
        <v>167.5795</v>
      </c>
      <c r="G4571">
        <v>221.41480000000001</v>
      </c>
      <c r="H4571">
        <v>82.404600000000002</v>
      </c>
      <c r="P4571">
        <v>91</v>
      </c>
      <c r="Q4571" t="s">
        <v>9487</v>
      </c>
    </row>
    <row r="4572" spans="1:17" x14ac:dyDescent="0.3">
      <c r="A4572" t="s">
        <v>4664</v>
      </c>
      <c r="B4572" t="str">
        <f>"300829"</f>
        <v>300829</v>
      </c>
      <c r="C4572" t="s">
        <v>9488</v>
      </c>
      <c r="D4572" t="s">
        <v>677</v>
      </c>
      <c r="F4572">
        <v>68.649799999999999</v>
      </c>
      <c r="G4572">
        <v>73.971400000000003</v>
      </c>
      <c r="H4572">
        <v>44.323900000000002</v>
      </c>
      <c r="P4572">
        <v>125</v>
      </c>
      <c r="Q4572" t="s">
        <v>9489</v>
      </c>
    </row>
    <row r="4573" spans="1:17" x14ac:dyDescent="0.3">
      <c r="A4573" t="s">
        <v>4664</v>
      </c>
      <c r="B4573" t="str">
        <f>"300830"</f>
        <v>300830</v>
      </c>
      <c r="C4573" t="s">
        <v>9490</v>
      </c>
      <c r="D4573" t="s">
        <v>945</v>
      </c>
      <c r="F4573">
        <v>226.60589999999999</v>
      </c>
      <c r="G4573">
        <v>182.99160000000001</v>
      </c>
      <c r="H4573">
        <v>46.369399999999999</v>
      </c>
      <c r="P4573">
        <v>74</v>
      </c>
      <c r="Q4573" t="s">
        <v>9491</v>
      </c>
    </row>
    <row r="4574" spans="1:17" x14ac:dyDescent="0.3">
      <c r="A4574" t="s">
        <v>4664</v>
      </c>
      <c r="B4574" t="str">
        <f>"300831"</f>
        <v>300831</v>
      </c>
      <c r="C4574" t="s">
        <v>9492</v>
      </c>
      <c r="D4574" t="s">
        <v>795</v>
      </c>
      <c r="F4574">
        <v>405.13299999999998</v>
      </c>
      <c r="G4574">
        <v>635.49620000000004</v>
      </c>
      <c r="H4574">
        <v>225.93440000000001</v>
      </c>
      <c r="P4574">
        <v>129</v>
      </c>
      <c r="Q4574" t="s">
        <v>9493</v>
      </c>
    </row>
    <row r="4575" spans="1:17" x14ac:dyDescent="0.3">
      <c r="A4575" t="s">
        <v>4664</v>
      </c>
      <c r="B4575" t="str">
        <f>"300832"</f>
        <v>300832</v>
      </c>
      <c r="C4575" t="s">
        <v>9494</v>
      </c>
      <c r="D4575" t="s">
        <v>1305</v>
      </c>
      <c r="F4575">
        <v>351.68630000000002</v>
      </c>
      <c r="G4575">
        <v>359.39769999999999</v>
      </c>
      <c r="H4575">
        <v>147.45570000000001</v>
      </c>
      <c r="P4575">
        <v>513</v>
      </c>
      <c r="Q4575" t="s">
        <v>9495</v>
      </c>
    </row>
    <row r="4576" spans="1:17" x14ac:dyDescent="0.3">
      <c r="A4576" t="s">
        <v>4664</v>
      </c>
      <c r="B4576" t="str">
        <f>"300833"</f>
        <v>300833</v>
      </c>
      <c r="C4576" t="s">
        <v>9496</v>
      </c>
      <c r="D4576" t="s">
        <v>741</v>
      </c>
      <c r="F4576">
        <v>280.37240000000003</v>
      </c>
      <c r="G4576">
        <v>359.44389999999999</v>
      </c>
      <c r="H4576">
        <v>85.242900000000006</v>
      </c>
      <c r="P4576">
        <v>89</v>
      </c>
      <c r="Q4576" t="s">
        <v>9497</v>
      </c>
    </row>
    <row r="4577" spans="1:17" x14ac:dyDescent="0.3">
      <c r="A4577" t="s">
        <v>4664</v>
      </c>
      <c r="B4577" t="str">
        <f>"300834"</f>
        <v>300834</v>
      </c>
      <c r="C4577" t="s">
        <v>9498</v>
      </c>
      <c r="D4577" t="s">
        <v>3350</v>
      </c>
      <c r="F4577">
        <v>32.995600000000003</v>
      </c>
      <c r="P4577">
        <v>19</v>
      </c>
      <c r="Q4577" t="s">
        <v>9499</v>
      </c>
    </row>
    <row r="4578" spans="1:17" x14ac:dyDescent="0.3">
      <c r="A4578" t="s">
        <v>4664</v>
      </c>
      <c r="B4578" t="str">
        <f>"300835"</f>
        <v>300835</v>
      </c>
      <c r="C4578" t="s">
        <v>9500</v>
      </c>
      <c r="D4578" t="s">
        <v>808</v>
      </c>
      <c r="F4578">
        <v>181.76599999999999</v>
      </c>
      <c r="G4578">
        <v>277.25700000000001</v>
      </c>
      <c r="H4578">
        <v>101.76390000000001</v>
      </c>
      <c r="P4578">
        <v>67</v>
      </c>
      <c r="Q4578" t="s">
        <v>9501</v>
      </c>
    </row>
    <row r="4579" spans="1:17" x14ac:dyDescent="0.3">
      <c r="A4579" t="s">
        <v>4664</v>
      </c>
      <c r="B4579" t="str">
        <f>"300836"</f>
        <v>300836</v>
      </c>
      <c r="C4579" t="s">
        <v>9502</v>
      </c>
      <c r="D4579" t="s">
        <v>741</v>
      </c>
      <c r="F4579">
        <v>564.61940000000004</v>
      </c>
      <c r="G4579">
        <v>419.44260000000003</v>
      </c>
      <c r="H4579">
        <v>79.602900000000005</v>
      </c>
      <c r="P4579">
        <v>61</v>
      </c>
      <c r="Q4579" t="s">
        <v>9503</v>
      </c>
    </row>
    <row r="4580" spans="1:17" x14ac:dyDescent="0.3">
      <c r="A4580" t="s">
        <v>4664</v>
      </c>
      <c r="B4580" t="str">
        <f>"300837"</f>
        <v>300837</v>
      </c>
      <c r="C4580" t="s">
        <v>9504</v>
      </c>
      <c r="D4580" t="s">
        <v>395</v>
      </c>
      <c r="F4580">
        <v>475.92809999999997</v>
      </c>
      <c r="G4580">
        <v>397.77120000000002</v>
      </c>
      <c r="H4580">
        <v>119.1417</v>
      </c>
      <c r="P4580">
        <v>154</v>
      </c>
      <c r="Q4580" t="s">
        <v>9505</v>
      </c>
    </row>
    <row r="4581" spans="1:17" x14ac:dyDescent="0.3">
      <c r="A4581" t="s">
        <v>4664</v>
      </c>
      <c r="B4581" t="str">
        <f>"300838"</f>
        <v>300838</v>
      </c>
      <c r="C4581" t="s">
        <v>9506</v>
      </c>
      <c r="D4581" t="s">
        <v>274</v>
      </c>
      <c r="F4581">
        <v>142.6097</v>
      </c>
      <c r="G4581">
        <v>194.10650000000001</v>
      </c>
      <c r="H4581">
        <v>85.281499999999994</v>
      </c>
      <c r="P4581">
        <v>39</v>
      </c>
      <c r="Q4581" t="s">
        <v>9507</v>
      </c>
    </row>
    <row r="4582" spans="1:17" x14ac:dyDescent="0.3">
      <c r="A4582" t="s">
        <v>4664</v>
      </c>
      <c r="B4582" t="str">
        <f>"300839"</f>
        <v>300839</v>
      </c>
      <c r="C4582" t="s">
        <v>9508</v>
      </c>
      <c r="D4582" t="s">
        <v>1615</v>
      </c>
      <c r="F4582">
        <v>90.790899999999993</v>
      </c>
      <c r="G4582">
        <v>149.3263</v>
      </c>
      <c r="H4582">
        <v>28.393000000000001</v>
      </c>
      <c r="P4582">
        <v>58</v>
      </c>
      <c r="Q4582" t="s">
        <v>9509</v>
      </c>
    </row>
    <row r="4583" spans="1:17" x14ac:dyDescent="0.3">
      <c r="A4583" t="s">
        <v>4664</v>
      </c>
      <c r="B4583" t="str">
        <f>"300840"</f>
        <v>300840</v>
      </c>
      <c r="C4583" t="s">
        <v>9510</v>
      </c>
      <c r="D4583" t="s">
        <v>255</v>
      </c>
      <c r="F4583">
        <v>137.62049999999999</v>
      </c>
      <c r="G4583">
        <v>99.457700000000003</v>
      </c>
      <c r="H4583">
        <v>60.6325</v>
      </c>
      <c r="P4583">
        <v>64</v>
      </c>
      <c r="Q4583" t="s">
        <v>9511</v>
      </c>
    </row>
    <row r="4584" spans="1:17" x14ac:dyDescent="0.3">
      <c r="A4584" t="s">
        <v>4664</v>
      </c>
      <c r="B4584" t="str">
        <f>"300841"</f>
        <v>300841</v>
      </c>
      <c r="C4584" t="s">
        <v>9512</v>
      </c>
      <c r="D4584" t="s">
        <v>1499</v>
      </c>
      <c r="F4584">
        <v>383.7217</v>
      </c>
      <c r="G4584">
        <v>461.98020000000002</v>
      </c>
      <c r="H4584">
        <v>336.61340000000001</v>
      </c>
      <c r="P4584">
        <v>314</v>
      </c>
      <c r="Q4584" t="s">
        <v>9513</v>
      </c>
    </row>
    <row r="4585" spans="1:17" x14ac:dyDescent="0.3">
      <c r="A4585" t="s">
        <v>4664</v>
      </c>
      <c r="B4585" t="str">
        <f>"300842"</f>
        <v>300842</v>
      </c>
      <c r="C4585" t="s">
        <v>9514</v>
      </c>
      <c r="D4585" t="s">
        <v>478</v>
      </c>
      <c r="F4585">
        <v>44.815199999999997</v>
      </c>
      <c r="G4585">
        <v>60.982399999999998</v>
      </c>
      <c r="H4585">
        <v>20.1004</v>
      </c>
      <c r="P4585">
        <v>130</v>
      </c>
      <c r="Q4585" t="s">
        <v>9515</v>
      </c>
    </row>
    <row r="4586" spans="1:17" x14ac:dyDescent="0.3">
      <c r="A4586" t="s">
        <v>4664</v>
      </c>
      <c r="B4586" t="str">
        <f>"300843"</f>
        <v>300843</v>
      </c>
      <c r="C4586" t="s">
        <v>9516</v>
      </c>
      <c r="D4586" t="s">
        <v>313</v>
      </c>
      <c r="F4586">
        <v>70.572000000000003</v>
      </c>
      <c r="G4586">
        <v>81.173599999999993</v>
      </c>
      <c r="H4586">
        <v>32.962200000000003</v>
      </c>
      <c r="P4586">
        <v>80</v>
      </c>
      <c r="Q4586" t="s">
        <v>9517</v>
      </c>
    </row>
    <row r="4587" spans="1:17" x14ac:dyDescent="0.3">
      <c r="A4587" t="s">
        <v>4664</v>
      </c>
      <c r="B4587" t="str">
        <f>"300844"</f>
        <v>300844</v>
      </c>
      <c r="C4587" t="s">
        <v>9518</v>
      </c>
      <c r="D4587" t="s">
        <v>1272</v>
      </c>
      <c r="F4587">
        <v>0</v>
      </c>
      <c r="P4587">
        <v>16</v>
      </c>
      <c r="Q4587" t="s">
        <v>9519</v>
      </c>
    </row>
    <row r="4588" spans="1:17" x14ac:dyDescent="0.3">
      <c r="A4588" t="s">
        <v>4664</v>
      </c>
      <c r="B4588" t="str">
        <f>"300845"</f>
        <v>300845</v>
      </c>
      <c r="C4588" t="s">
        <v>9520</v>
      </c>
      <c r="D4588" t="s">
        <v>236</v>
      </c>
      <c r="F4588">
        <v>462.30180000000001</v>
      </c>
      <c r="G4588">
        <v>311.19510000000002</v>
      </c>
      <c r="H4588">
        <v>121.56</v>
      </c>
      <c r="P4588">
        <v>83</v>
      </c>
      <c r="Q4588" t="s">
        <v>9521</v>
      </c>
    </row>
    <row r="4589" spans="1:17" x14ac:dyDescent="0.3">
      <c r="A4589" t="s">
        <v>4664</v>
      </c>
      <c r="B4589" t="str">
        <f>"300846"</f>
        <v>300846</v>
      </c>
      <c r="C4589" t="s">
        <v>9522</v>
      </c>
      <c r="D4589" t="s">
        <v>316</v>
      </c>
      <c r="F4589">
        <v>0</v>
      </c>
      <c r="G4589">
        <v>0</v>
      </c>
      <c r="H4589">
        <v>0</v>
      </c>
      <c r="J4589">
        <v>0</v>
      </c>
      <c r="P4589">
        <v>78</v>
      </c>
      <c r="Q4589" t="s">
        <v>9523</v>
      </c>
    </row>
    <row r="4590" spans="1:17" x14ac:dyDescent="0.3">
      <c r="A4590" t="s">
        <v>4664</v>
      </c>
      <c r="B4590" t="str">
        <f>"300847"</f>
        <v>300847</v>
      </c>
      <c r="C4590" t="s">
        <v>9524</v>
      </c>
      <c r="D4590" t="s">
        <v>386</v>
      </c>
      <c r="F4590">
        <v>109.2214</v>
      </c>
      <c r="G4590">
        <v>106.61369999999999</v>
      </c>
      <c r="H4590">
        <v>48.442300000000003</v>
      </c>
      <c r="P4590">
        <v>53</v>
      </c>
      <c r="Q4590" t="s">
        <v>9525</v>
      </c>
    </row>
    <row r="4591" spans="1:17" x14ac:dyDescent="0.3">
      <c r="A4591" t="s">
        <v>4664</v>
      </c>
      <c r="B4591" t="str">
        <f>"300848"</f>
        <v>300848</v>
      </c>
      <c r="C4591" t="s">
        <v>9526</v>
      </c>
      <c r="D4591" t="s">
        <v>528</v>
      </c>
      <c r="F4591">
        <v>95.881200000000007</v>
      </c>
      <c r="G4591">
        <v>78.086500000000001</v>
      </c>
      <c r="H4591">
        <v>20.227399999999999</v>
      </c>
      <c r="P4591">
        <v>125</v>
      </c>
      <c r="Q4591" t="s">
        <v>9527</v>
      </c>
    </row>
    <row r="4592" spans="1:17" x14ac:dyDescent="0.3">
      <c r="A4592" t="s">
        <v>4664</v>
      </c>
      <c r="B4592" t="str">
        <f>"300849"</f>
        <v>300849</v>
      </c>
      <c r="C4592" t="s">
        <v>9528</v>
      </c>
      <c r="D4592" t="s">
        <v>5892</v>
      </c>
      <c r="F4592">
        <v>154.23269999999999</v>
      </c>
      <c r="G4592">
        <v>145.9804</v>
      </c>
      <c r="H4592">
        <v>69.992500000000007</v>
      </c>
      <c r="P4592">
        <v>44</v>
      </c>
      <c r="Q4592" t="s">
        <v>9529</v>
      </c>
    </row>
    <row r="4593" spans="1:17" x14ac:dyDescent="0.3">
      <c r="A4593" t="s">
        <v>4664</v>
      </c>
      <c r="B4593" t="str">
        <f>"300850"</f>
        <v>300850</v>
      </c>
      <c r="C4593" t="s">
        <v>9530</v>
      </c>
      <c r="D4593" t="s">
        <v>950</v>
      </c>
      <c r="F4593">
        <v>92.387299999999996</v>
      </c>
      <c r="G4593">
        <v>103.08029999999999</v>
      </c>
      <c r="H4593">
        <v>81.042699999999996</v>
      </c>
      <c r="P4593">
        <v>264</v>
      </c>
      <c r="Q4593" t="s">
        <v>9531</v>
      </c>
    </row>
    <row r="4594" spans="1:17" x14ac:dyDescent="0.3">
      <c r="A4594" t="s">
        <v>4664</v>
      </c>
      <c r="B4594" t="str">
        <f>"300851"</f>
        <v>300851</v>
      </c>
      <c r="C4594" t="s">
        <v>9532</v>
      </c>
      <c r="D4594" t="s">
        <v>1012</v>
      </c>
      <c r="F4594">
        <v>1112.7523000000001</v>
      </c>
      <c r="G4594">
        <v>1159.1042</v>
      </c>
      <c r="H4594">
        <v>398.4606</v>
      </c>
      <c r="P4594">
        <v>45</v>
      </c>
      <c r="Q4594" t="s">
        <v>9533</v>
      </c>
    </row>
    <row r="4595" spans="1:17" x14ac:dyDescent="0.3">
      <c r="A4595" t="s">
        <v>4664</v>
      </c>
      <c r="B4595" t="str">
        <f>"300852"</f>
        <v>300852</v>
      </c>
      <c r="C4595" t="s">
        <v>9534</v>
      </c>
      <c r="D4595" t="s">
        <v>425</v>
      </c>
      <c r="F4595">
        <v>59.812800000000003</v>
      </c>
      <c r="G4595">
        <v>50.646500000000003</v>
      </c>
      <c r="H4595">
        <v>26.095600000000001</v>
      </c>
      <c r="P4595">
        <v>103</v>
      </c>
      <c r="Q4595" t="s">
        <v>9535</v>
      </c>
    </row>
    <row r="4596" spans="1:17" x14ac:dyDescent="0.3">
      <c r="A4596" t="s">
        <v>4664</v>
      </c>
      <c r="B4596" t="str">
        <f>"300853"</f>
        <v>300853</v>
      </c>
      <c r="C4596" t="s">
        <v>9536</v>
      </c>
      <c r="D4596" t="s">
        <v>2911</v>
      </c>
      <c r="F4596">
        <v>174.49080000000001</v>
      </c>
      <c r="G4596">
        <v>146.95240000000001</v>
      </c>
      <c r="H4596">
        <v>92.507999999999996</v>
      </c>
      <c r="P4596">
        <v>142</v>
      </c>
      <c r="Q4596" t="s">
        <v>9537</v>
      </c>
    </row>
    <row r="4597" spans="1:17" x14ac:dyDescent="0.3">
      <c r="A4597" t="s">
        <v>4664</v>
      </c>
      <c r="B4597" t="str">
        <f>"300854"</f>
        <v>300854</v>
      </c>
      <c r="C4597" t="s">
        <v>9538</v>
      </c>
      <c r="D4597" t="s">
        <v>499</v>
      </c>
      <c r="F4597">
        <v>35.585900000000002</v>
      </c>
      <c r="P4597">
        <v>19</v>
      </c>
      <c r="Q4597" t="s">
        <v>9539</v>
      </c>
    </row>
    <row r="4598" spans="1:17" x14ac:dyDescent="0.3">
      <c r="A4598" t="s">
        <v>4664</v>
      </c>
      <c r="B4598" t="str">
        <f>"300855"</f>
        <v>300855</v>
      </c>
      <c r="C4598" t="s">
        <v>9540</v>
      </c>
      <c r="D4598" t="s">
        <v>581</v>
      </c>
      <c r="F4598">
        <v>258.26389999999998</v>
      </c>
      <c r="G4598">
        <v>235.40350000000001</v>
      </c>
      <c r="H4598">
        <v>90.397199999999998</v>
      </c>
      <c r="P4598">
        <v>139</v>
      </c>
      <c r="Q4598" t="s">
        <v>9541</v>
      </c>
    </row>
    <row r="4599" spans="1:17" x14ac:dyDescent="0.3">
      <c r="A4599" t="s">
        <v>4664</v>
      </c>
      <c r="B4599" t="str">
        <f>"300856"</f>
        <v>300856</v>
      </c>
      <c r="C4599" t="s">
        <v>9542</v>
      </c>
      <c r="D4599" t="s">
        <v>5892</v>
      </c>
      <c r="F4599">
        <v>191.25829999999999</v>
      </c>
      <c r="G4599">
        <v>187.9494</v>
      </c>
      <c r="H4599">
        <v>66.533799999999999</v>
      </c>
      <c r="P4599">
        <v>131</v>
      </c>
      <c r="Q4599" t="s">
        <v>9543</v>
      </c>
    </row>
    <row r="4600" spans="1:17" x14ac:dyDescent="0.3">
      <c r="A4600" t="s">
        <v>4664</v>
      </c>
      <c r="B4600" t="str">
        <f>"300857"</f>
        <v>300857</v>
      </c>
      <c r="C4600" t="s">
        <v>9544</v>
      </c>
      <c r="D4600" t="s">
        <v>313</v>
      </c>
      <c r="F4600">
        <v>95.230199999999996</v>
      </c>
      <c r="G4600">
        <v>98.771900000000002</v>
      </c>
      <c r="H4600">
        <v>47.648899999999998</v>
      </c>
      <c r="P4600">
        <v>59</v>
      </c>
      <c r="Q4600" t="s">
        <v>9545</v>
      </c>
    </row>
    <row r="4601" spans="1:17" x14ac:dyDescent="0.3">
      <c r="A4601" t="s">
        <v>4664</v>
      </c>
      <c r="B4601" t="str">
        <f>"300858"</f>
        <v>300858</v>
      </c>
      <c r="C4601" t="s">
        <v>9546</v>
      </c>
      <c r="D4601" t="s">
        <v>677</v>
      </c>
      <c r="F4601">
        <v>158.43049999999999</v>
      </c>
      <c r="G4601">
        <v>109.7645</v>
      </c>
      <c r="P4601">
        <v>75</v>
      </c>
      <c r="Q4601" t="s">
        <v>9547</v>
      </c>
    </row>
    <row r="4602" spans="1:17" x14ac:dyDescent="0.3">
      <c r="A4602" t="s">
        <v>4664</v>
      </c>
      <c r="B4602" t="str">
        <f>"300859"</f>
        <v>300859</v>
      </c>
      <c r="C4602" t="s">
        <v>9548</v>
      </c>
      <c r="D4602" t="s">
        <v>119</v>
      </c>
      <c r="F4602">
        <v>5.8727</v>
      </c>
      <c r="G4602">
        <v>9.6318000000000001</v>
      </c>
      <c r="H4602">
        <v>2.7176999999999998</v>
      </c>
      <c r="P4602">
        <v>69</v>
      </c>
      <c r="Q4602" t="s">
        <v>9549</v>
      </c>
    </row>
    <row r="4603" spans="1:17" x14ac:dyDescent="0.3">
      <c r="A4603" t="s">
        <v>4664</v>
      </c>
      <c r="B4603" t="str">
        <f>"300860"</f>
        <v>300860</v>
      </c>
      <c r="C4603" t="s">
        <v>9550</v>
      </c>
      <c r="D4603" t="s">
        <v>1671</v>
      </c>
      <c r="F4603">
        <v>180.1634</v>
      </c>
      <c r="G4603">
        <v>154.50200000000001</v>
      </c>
      <c r="H4603">
        <v>102.455</v>
      </c>
      <c r="P4603">
        <v>95</v>
      </c>
      <c r="Q4603" t="s">
        <v>9551</v>
      </c>
    </row>
    <row r="4604" spans="1:17" x14ac:dyDescent="0.3">
      <c r="A4604" t="s">
        <v>4664</v>
      </c>
      <c r="B4604" t="str">
        <f>"300861"</f>
        <v>300861</v>
      </c>
      <c r="C4604" t="s">
        <v>9552</v>
      </c>
      <c r="D4604" t="s">
        <v>404</v>
      </c>
      <c r="F4604">
        <v>181.26400000000001</v>
      </c>
      <c r="G4604">
        <v>239.56479999999999</v>
      </c>
      <c r="H4604">
        <v>98.936700000000002</v>
      </c>
      <c r="P4604">
        <v>147</v>
      </c>
      <c r="Q4604" t="s">
        <v>9553</v>
      </c>
    </row>
    <row r="4605" spans="1:17" x14ac:dyDescent="0.3">
      <c r="A4605" t="s">
        <v>4664</v>
      </c>
      <c r="B4605" t="str">
        <f>"300862"</f>
        <v>300862</v>
      </c>
      <c r="C4605" t="s">
        <v>9554</v>
      </c>
      <c r="D4605" t="s">
        <v>2551</v>
      </c>
      <c r="F4605">
        <v>410.9391</v>
      </c>
      <c r="G4605">
        <v>413.83179999999999</v>
      </c>
      <c r="H4605">
        <v>185.50229999999999</v>
      </c>
      <c r="P4605">
        <v>68</v>
      </c>
      <c r="Q4605" t="s">
        <v>9555</v>
      </c>
    </row>
    <row r="4606" spans="1:17" x14ac:dyDescent="0.3">
      <c r="A4606" t="s">
        <v>4664</v>
      </c>
      <c r="B4606" t="str">
        <f>"300863"</f>
        <v>300863</v>
      </c>
      <c r="C4606" t="s">
        <v>9556</v>
      </c>
      <c r="D4606" t="s">
        <v>1415</v>
      </c>
      <c r="F4606">
        <v>63.514699999999998</v>
      </c>
      <c r="G4606">
        <v>64.77</v>
      </c>
      <c r="H4606">
        <v>27.999199999999998</v>
      </c>
      <c r="P4606">
        <v>75</v>
      </c>
      <c r="Q4606" t="s">
        <v>9557</v>
      </c>
    </row>
    <row r="4607" spans="1:17" x14ac:dyDescent="0.3">
      <c r="A4607" t="s">
        <v>4664</v>
      </c>
      <c r="B4607" t="str">
        <f>"300864"</f>
        <v>300864</v>
      </c>
      <c r="C4607" t="s">
        <v>9558</v>
      </c>
      <c r="D4607" t="s">
        <v>3548</v>
      </c>
      <c r="F4607">
        <v>12.0176</v>
      </c>
      <c r="G4607">
        <v>32.421700000000001</v>
      </c>
      <c r="H4607">
        <v>36.0807</v>
      </c>
      <c r="P4607">
        <v>121</v>
      </c>
      <c r="Q4607" t="s">
        <v>9559</v>
      </c>
    </row>
    <row r="4608" spans="1:17" x14ac:dyDescent="0.3">
      <c r="A4608" t="s">
        <v>4664</v>
      </c>
      <c r="B4608" t="str">
        <f>"300865"</f>
        <v>300865</v>
      </c>
      <c r="C4608" t="s">
        <v>9560</v>
      </c>
      <c r="D4608" t="s">
        <v>395</v>
      </c>
      <c r="F4608">
        <v>261.18979999999999</v>
      </c>
      <c r="G4608">
        <v>271.36579999999998</v>
      </c>
      <c r="H4608">
        <v>98.662700000000001</v>
      </c>
      <c r="P4608">
        <v>43</v>
      </c>
      <c r="Q4608" t="s">
        <v>9561</v>
      </c>
    </row>
    <row r="4609" spans="1:17" x14ac:dyDescent="0.3">
      <c r="A4609" t="s">
        <v>4664</v>
      </c>
      <c r="B4609" t="str">
        <f>"300866"</f>
        <v>300866</v>
      </c>
      <c r="C4609" t="s">
        <v>9562</v>
      </c>
      <c r="D4609" t="s">
        <v>3499</v>
      </c>
      <c r="F4609">
        <v>176.59690000000001</v>
      </c>
      <c r="G4609">
        <v>150.6328</v>
      </c>
      <c r="H4609">
        <v>62.104999999999997</v>
      </c>
      <c r="P4609">
        <v>311</v>
      </c>
      <c r="Q4609" t="s">
        <v>9563</v>
      </c>
    </row>
    <row r="4610" spans="1:17" x14ac:dyDescent="0.3">
      <c r="A4610" t="s">
        <v>4664</v>
      </c>
      <c r="B4610" t="str">
        <f>"300867"</f>
        <v>300867</v>
      </c>
      <c r="C4610" t="s">
        <v>9564</v>
      </c>
      <c r="D4610" t="s">
        <v>499</v>
      </c>
      <c r="F4610">
        <v>9.0329999999999995</v>
      </c>
      <c r="G4610">
        <v>20.3156</v>
      </c>
      <c r="H4610">
        <v>6.2747000000000002</v>
      </c>
      <c r="P4610">
        <v>103</v>
      </c>
      <c r="Q4610" t="s">
        <v>9565</v>
      </c>
    </row>
    <row r="4611" spans="1:17" x14ac:dyDescent="0.3">
      <c r="A4611" t="s">
        <v>4664</v>
      </c>
      <c r="B4611" t="str">
        <f>"300868"</f>
        <v>300868</v>
      </c>
      <c r="C4611" t="s">
        <v>9566</v>
      </c>
      <c r="D4611" t="s">
        <v>651</v>
      </c>
      <c r="F4611">
        <v>99.727199999999996</v>
      </c>
      <c r="G4611">
        <v>78.665499999999994</v>
      </c>
      <c r="H4611">
        <v>34.4557</v>
      </c>
      <c r="P4611">
        <v>40</v>
      </c>
      <c r="Q4611" t="s">
        <v>9567</v>
      </c>
    </row>
    <row r="4612" spans="1:17" x14ac:dyDescent="0.3">
      <c r="A4612" t="s">
        <v>4664</v>
      </c>
      <c r="B4612" t="str">
        <f>"300869"</f>
        <v>300869</v>
      </c>
      <c r="C4612" t="s">
        <v>9568</v>
      </c>
      <c r="D4612" t="s">
        <v>122</v>
      </c>
      <c r="F4612">
        <v>351.4316</v>
      </c>
      <c r="G4612">
        <v>158.93600000000001</v>
      </c>
      <c r="H4612">
        <v>153.45869999999999</v>
      </c>
      <c r="P4612">
        <v>174</v>
      </c>
      <c r="Q4612" t="s">
        <v>9569</v>
      </c>
    </row>
    <row r="4613" spans="1:17" x14ac:dyDescent="0.3">
      <c r="A4613" t="s">
        <v>4664</v>
      </c>
      <c r="B4613" t="str">
        <f>"300870"</f>
        <v>300870</v>
      </c>
      <c r="C4613" t="s">
        <v>9570</v>
      </c>
      <c r="D4613" t="s">
        <v>880</v>
      </c>
      <c r="F4613">
        <v>97.096900000000005</v>
      </c>
      <c r="G4613">
        <v>69.401399999999995</v>
      </c>
      <c r="H4613">
        <v>36.397599999999997</v>
      </c>
      <c r="P4613">
        <v>131</v>
      </c>
      <c r="Q4613" t="s">
        <v>9571</v>
      </c>
    </row>
    <row r="4614" spans="1:17" x14ac:dyDescent="0.3">
      <c r="A4614" t="s">
        <v>4664</v>
      </c>
      <c r="B4614" t="str">
        <f>"300871"</f>
        <v>300871</v>
      </c>
      <c r="C4614" t="s">
        <v>9572</v>
      </c>
      <c r="D4614" t="s">
        <v>453</v>
      </c>
      <c r="F4614">
        <v>118.8014</v>
      </c>
      <c r="G4614">
        <v>101.0583</v>
      </c>
      <c r="P4614">
        <v>83</v>
      </c>
      <c r="Q4614" t="s">
        <v>9573</v>
      </c>
    </row>
    <row r="4615" spans="1:17" x14ac:dyDescent="0.3">
      <c r="A4615" t="s">
        <v>4664</v>
      </c>
      <c r="B4615" t="str">
        <f>"300872"</f>
        <v>300872</v>
      </c>
      <c r="C4615" t="s">
        <v>9574</v>
      </c>
      <c r="D4615" t="s">
        <v>316</v>
      </c>
      <c r="F4615">
        <v>106.26909999999999</v>
      </c>
      <c r="G4615">
        <v>89.622900000000001</v>
      </c>
      <c r="H4615">
        <v>38.113799999999998</v>
      </c>
      <c r="P4615">
        <v>74</v>
      </c>
      <c r="Q4615" t="s">
        <v>9575</v>
      </c>
    </row>
    <row r="4616" spans="1:17" x14ac:dyDescent="0.3">
      <c r="A4616" t="s">
        <v>4664</v>
      </c>
      <c r="B4616" t="str">
        <f>"300873"</f>
        <v>300873</v>
      </c>
      <c r="C4616" t="s">
        <v>9576</v>
      </c>
      <c r="D4616" t="s">
        <v>3098</v>
      </c>
      <c r="F4616">
        <v>13.476900000000001</v>
      </c>
      <c r="G4616">
        <v>2.4007000000000001</v>
      </c>
      <c r="H4616">
        <v>0.5978</v>
      </c>
      <c r="P4616">
        <v>88</v>
      </c>
      <c r="Q4616" t="s">
        <v>9577</v>
      </c>
    </row>
    <row r="4617" spans="1:17" x14ac:dyDescent="0.3">
      <c r="A4617" t="s">
        <v>4664</v>
      </c>
      <c r="B4617" t="str">
        <f>"300875"</f>
        <v>300875</v>
      </c>
      <c r="C4617" t="s">
        <v>9578</v>
      </c>
      <c r="D4617" t="s">
        <v>428</v>
      </c>
      <c r="F4617">
        <v>150.45580000000001</v>
      </c>
      <c r="G4617">
        <v>166.16569999999999</v>
      </c>
      <c r="H4617">
        <v>69.875500000000002</v>
      </c>
      <c r="P4617">
        <v>106</v>
      </c>
      <c r="Q4617" t="s">
        <v>9579</v>
      </c>
    </row>
    <row r="4618" spans="1:17" x14ac:dyDescent="0.3">
      <c r="A4618" t="s">
        <v>4664</v>
      </c>
      <c r="B4618" t="str">
        <f>"300876"</f>
        <v>300876</v>
      </c>
      <c r="C4618" t="s">
        <v>9580</v>
      </c>
      <c r="D4618" t="s">
        <v>146</v>
      </c>
      <c r="F4618">
        <v>76.165999999999997</v>
      </c>
      <c r="G4618">
        <v>49.989899999999999</v>
      </c>
      <c r="H4618">
        <v>35.061</v>
      </c>
      <c r="P4618">
        <v>67</v>
      </c>
      <c r="Q4618" t="s">
        <v>9581</v>
      </c>
    </row>
    <row r="4619" spans="1:17" x14ac:dyDescent="0.3">
      <c r="A4619" t="s">
        <v>4664</v>
      </c>
      <c r="B4619" t="str">
        <f>"300877"</f>
        <v>300877</v>
      </c>
      <c r="C4619" t="s">
        <v>9582</v>
      </c>
      <c r="D4619" t="s">
        <v>366</v>
      </c>
      <c r="F4619">
        <v>43.986899999999999</v>
      </c>
      <c r="G4619">
        <v>31.381</v>
      </c>
      <c r="H4619">
        <v>13.9384</v>
      </c>
      <c r="P4619">
        <v>75</v>
      </c>
      <c r="Q4619" t="s">
        <v>9583</v>
      </c>
    </row>
    <row r="4620" spans="1:17" x14ac:dyDescent="0.3">
      <c r="A4620" t="s">
        <v>4664</v>
      </c>
      <c r="B4620" t="str">
        <f>"300878"</f>
        <v>300878</v>
      </c>
      <c r="C4620" t="s">
        <v>9584</v>
      </c>
      <c r="D4620" t="s">
        <v>188</v>
      </c>
      <c r="F4620">
        <v>244.0899</v>
      </c>
      <c r="G4620">
        <v>171.215</v>
      </c>
      <c r="H4620">
        <v>110.80329999999999</v>
      </c>
      <c r="P4620">
        <v>132</v>
      </c>
      <c r="Q4620" t="s">
        <v>9585</v>
      </c>
    </row>
    <row r="4621" spans="1:17" x14ac:dyDescent="0.3">
      <c r="A4621" t="s">
        <v>4664</v>
      </c>
      <c r="B4621" t="str">
        <f>"300879"</f>
        <v>300879</v>
      </c>
      <c r="C4621" t="s">
        <v>9586</v>
      </c>
      <c r="D4621" t="s">
        <v>741</v>
      </c>
      <c r="F4621">
        <v>203.9434</v>
      </c>
      <c r="G4621">
        <v>214.92689999999999</v>
      </c>
      <c r="H4621">
        <v>137.85570000000001</v>
      </c>
      <c r="P4621">
        <v>52</v>
      </c>
      <c r="Q4621" t="s">
        <v>9587</v>
      </c>
    </row>
    <row r="4622" spans="1:17" x14ac:dyDescent="0.3">
      <c r="A4622" t="s">
        <v>4664</v>
      </c>
      <c r="B4622" t="str">
        <f>"300880"</f>
        <v>300880</v>
      </c>
      <c r="C4622" t="s">
        <v>9588</v>
      </c>
      <c r="D4622" t="s">
        <v>2171</v>
      </c>
      <c r="F4622">
        <v>80.0304</v>
      </c>
      <c r="G4622">
        <v>88.527199999999993</v>
      </c>
      <c r="H4622">
        <v>25.217700000000001</v>
      </c>
      <c r="P4622">
        <v>55</v>
      </c>
      <c r="Q4622" t="s">
        <v>9589</v>
      </c>
    </row>
    <row r="4623" spans="1:17" x14ac:dyDescent="0.3">
      <c r="A4623" t="s">
        <v>4664</v>
      </c>
      <c r="B4623" t="str">
        <f>"300881"</f>
        <v>300881</v>
      </c>
      <c r="C4623" t="s">
        <v>9590</v>
      </c>
      <c r="D4623" t="s">
        <v>281</v>
      </c>
      <c r="F4623">
        <v>99.208100000000002</v>
      </c>
      <c r="G4623">
        <v>107.5919</v>
      </c>
      <c r="H4623">
        <v>57.582299999999996</v>
      </c>
      <c r="P4623">
        <v>31</v>
      </c>
      <c r="Q4623" t="s">
        <v>9591</v>
      </c>
    </row>
    <row r="4624" spans="1:17" x14ac:dyDescent="0.3">
      <c r="A4624" t="s">
        <v>4664</v>
      </c>
      <c r="B4624" t="str">
        <f>"300882"</f>
        <v>300882</v>
      </c>
      <c r="C4624" t="s">
        <v>9592</v>
      </c>
      <c r="D4624" t="s">
        <v>2171</v>
      </c>
      <c r="F4624">
        <v>64.853899999999996</v>
      </c>
      <c r="G4624">
        <v>33.995100000000001</v>
      </c>
      <c r="P4624">
        <v>41</v>
      </c>
      <c r="Q4624" t="s">
        <v>9593</v>
      </c>
    </row>
    <row r="4625" spans="1:17" x14ac:dyDescent="0.3">
      <c r="A4625" t="s">
        <v>4664</v>
      </c>
      <c r="B4625" t="str">
        <f>"300883"</f>
        <v>300883</v>
      </c>
      <c r="C4625" t="s">
        <v>9594</v>
      </c>
      <c r="D4625" t="s">
        <v>2156</v>
      </c>
      <c r="F4625">
        <v>258.04939999999999</v>
      </c>
      <c r="G4625">
        <v>226.3313</v>
      </c>
      <c r="H4625">
        <v>82.417000000000002</v>
      </c>
      <c r="P4625">
        <v>37</v>
      </c>
      <c r="Q4625" t="s">
        <v>9595</v>
      </c>
    </row>
    <row r="4626" spans="1:17" x14ac:dyDescent="0.3">
      <c r="A4626" t="s">
        <v>4664</v>
      </c>
      <c r="B4626" t="str">
        <f>"300884"</f>
        <v>300884</v>
      </c>
      <c r="C4626" t="s">
        <v>9596</v>
      </c>
      <c r="D4626" t="s">
        <v>2953</v>
      </c>
      <c r="F4626">
        <v>151.18360000000001</v>
      </c>
      <c r="G4626">
        <v>65.275999999999996</v>
      </c>
      <c r="P4626">
        <v>68</v>
      </c>
      <c r="Q4626" t="s">
        <v>9597</v>
      </c>
    </row>
    <row r="4627" spans="1:17" x14ac:dyDescent="0.3">
      <c r="A4627" t="s">
        <v>4664</v>
      </c>
      <c r="B4627" t="str">
        <f>"300885"</f>
        <v>300885</v>
      </c>
      <c r="C4627" t="s">
        <v>9598</v>
      </c>
      <c r="D4627" t="s">
        <v>274</v>
      </c>
      <c r="F4627">
        <v>117.1348</v>
      </c>
      <c r="G4627">
        <v>132.67410000000001</v>
      </c>
      <c r="H4627">
        <v>59.1006</v>
      </c>
      <c r="P4627">
        <v>45</v>
      </c>
      <c r="Q4627" t="s">
        <v>9599</v>
      </c>
    </row>
    <row r="4628" spans="1:17" x14ac:dyDescent="0.3">
      <c r="A4628" t="s">
        <v>4664</v>
      </c>
      <c r="B4628" t="str">
        <f>"300886"</f>
        <v>300886</v>
      </c>
      <c r="C4628" t="s">
        <v>9600</v>
      </c>
      <c r="D4628" t="s">
        <v>5892</v>
      </c>
      <c r="F4628">
        <v>202.06530000000001</v>
      </c>
      <c r="G4628">
        <v>184.60900000000001</v>
      </c>
      <c r="H4628">
        <v>102.37909999999999</v>
      </c>
      <c r="P4628">
        <v>49</v>
      </c>
      <c r="Q4628" t="s">
        <v>9601</v>
      </c>
    </row>
    <row r="4629" spans="1:17" x14ac:dyDescent="0.3">
      <c r="A4629" t="s">
        <v>4664</v>
      </c>
      <c r="B4629" t="str">
        <f>"300887"</f>
        <v>300887</v>
      </c>
      <c r="C4629" t="s">
        <v>9602</v>
      </c>
      <c r="D4629" t="s">
        <v>2499</v>
      </c>
      <c r="F4629">
        <v>9.6351999999999993</v>
      </c>
      <c r="G4629">
        <v>5.7218999999999998</v>
      </c>
      <c r="H4629">
        <v>1.0024</v>
      </c>
      <c r="P4629">
        <v>117</v>
      </c>
      <c r="Q4629" t="s">
        <v>9603</v>
      </c>
    </row>
    <row r="4630" spans="1:17" x14ac:dyDescent="0.3">
      <c r="A4630" t="s">
        <v>4664</v>
      </c>
      <c r="B4630" t="str">
        <f>"300888"</f>
        <v>300888</v>
      </c>
      <c r="C4630" t="s">
        <v>9604</v>
      </c>
      <c r="D4630" t="s">
        <v>2728</v>
      </c>
      <c r="F4630">
        <v>159.29580000000001</v>
      </c>
      <c r="G4630">
        <v>115.02419999999999</v>
      </c>
      <c r="P4630">
        <v>457</v>
      </c>
      <c r="Q4630" t="s">
        <v>9605</v>
      </c>
    </row>
    <row r="4631" spans="1:17" x14ac:dyDescent="0.3">
      <c r="A4631" t="s">
        <v>4664</v>
      </c>
      <c r="B4631" t="str">
        <f>"300889"</f>
        <v>300889</v>
      </c>
      <c r="C4631" t="s">
        <v>9606</v>
      </c>
      <c r="D4631" t="s">
        <v>803</v>
      </c>
      <c r="F4631">
        <v>79.966899999999995</v>
      </c>
      <c r="G4631">
        <v>115.7311</v>
      </c>
      <c r="H4631">
        <v>59.120100000000001</v>
      </c>
      <c r="P4631">
        <v>37</v>
      </c>
      <c r="Q4631" t="s">
        <v>9607</v>
      </c>
    </row>
    <row r="4632" spans="1:17" x14ac:dyDescent="0.3">
      <c r="A4632" t="s">
        <v>4664</v>
      </c>
      <c r="B4632" t="str">
        <f>"300890"</f>
        <v>300890</v>
      </c>
      <c r="C4632" t="s">
        <v>9608</v>
      </c>
      <c r="D4632" t="s">
        <v>1786</v>
      </c>
      <c r="F4632">
        <v>117.6885</v>
      </c>
      <c r="G4632">
        <v>208.1968</v>
      </c>
      <c r="H4632">
        <v>99.267399999999995</v>
      </c>
      <c r="P4632">
        <v>62</v>
      </c>
      <c r="Q4632" t="s">
        <v>9609</v>
      </c>
    </row>
    <row r="4633" spans="1:17" x14ac:dyDescent="0.3">
      <c r="A4633" t="s">
        <v>4664</v>
      </c>
      <c r="B4633" t="str">
        <f>"300891"</f>
        <v>300891</v>
      </c>
      <c r="C4633" t="s">
        <v>9610</v>
      </c>
      <c r="D4633" t="s">
        <v>1474</v>
      </c>
      <c r="F4633">
        <v>88.634299999999996</v>
      </c>
      <c r="G4633">
        <v>90.847800000000007</v>
      </c>
      <c r="H4633">
        <v>58.5212</v>
      </c>
      <c r="P4633">
        <v>59</v>
      </c>
      <c r="Q4633" t="s">
        <v>9611</v>
      </c>
    </row>
    <row r="4634" spans="1:17" x14ac:dyDescent="0.3">
      <c r="A4634" t="s">
        <v>4664</v>
      </c>
      <c r="B4634" t="str">
        <f>"300892"</f>
        <v>300892</v>
      </c>
      <c r="C4634" t="s">
        <v>9612</v>
      </c>
      <c r="D4634" t="s">
        <v>131</v>
      </c>
      <c r="F4634">
        <v>104.4062</v>
      </c>
      <c r="G4634">
        <v>119.33029999999999</v>
      </c>
      <c r="H4634">
        <v>63.794699999999999</v>
      </c>
      <c r="P4634">
        <v>99</v>
      </c>
      <c r="Q4634" t="s">
        <v>9613</v>
      </c>
    </row>
    <row r="4635" spans="1:17" x14ac:dyDescent="0.3">
      <c r="A4635" t="s">
        <v>4664</v>
      </c>
      <c r="B4635" t="str">
        <f>"300893"</f>
        <v>300893</v>
      </c>
      <c r="C4635" t="s">
        <v>9614</v>
      </c>
      <c r="D4635" t="s">
        <v>985</v>
      </c>
      <c r="F4635">
        <v>123.2822</v>
      </c>
      <c r="G4635">
        <v>138.88130000000001</v>
      </c>
      <c r="H4635">
        <v>72.702100000000002</v>
      </c>
      <c r="P4635">
        <v>48</v>
      </c>
      <c r="Q4635" t="s">
        <v>9615</v>
      </c>
    </row>
    <row r="4636" spans="1:17" x14ac:dyDescent="0.3">
      <c r="A4636" t="s">
        <v>4664</v>
      </c>
      <c r="B4636" t="str">
        <f>"300894"</f>
        <v>300894</v>
      </c>
      <c r="C4636" t="s">
        <v>9616</v>
      </c>
      <c r="D4636" t="s">
        <v>3680</v>
      </c>
      <c r="F4636">
        <v>96.520799999999994</v>
      </c>
      <c r="G4636">
        <v>103.5397</v>
      </c>
      <c r="P4636">
        <v>230</v>
      </c>
      <c r="Q4636" t="s">
        <v>9617</v>
      </c>
    </row>
    <row r="4637" spans="1:17" x14ac:dyDescent="0.3">
      <c r="A4637" t="s">
        <v>4664</v>
      </c>
      <c r="B4637" t="str">
        <f>"300895"</f>
        <v>300895</v>
      </c>
      <c r="C4637" t="s">
        <v>9618</v>
      </c>
      <c r="D4637" t="s">
        <v>316</v>
      </c>
      <c r="F4637">
        <v>250.21119999999999</v>
      </c>
      <c r="G4637">
        <v>138.131</v>
      </c>
      <c r="H4637">
        <v>161.6567</v>
      </c>
      <c r="P4637">
        <v>48</v>
      </c>
      <c r="Q4637" t="s">
        <v>9619</v>
      </c>
    </row>
    <row r="4638" spans="1:17" x14ac:dyDescent="0.3">
      <c r="A4638" t="s">
        <v>4664</v>
      </c>
      <c r="B4638" t="str">
        <f>"300896"</f>
        <v>300896</v>
      </c>
      <c r="C4638" t="s">
        <v>9620</v>
      </c>
      <c r="D4638" t="s">
        <v>4234</v>
      </c>
      <c r="F4638">
        <v>158.46690000000001</v>
      </c>
      <c r="G4638">
        <v>233.68020000000001</v>
      </c>
      <c r="H4638">
        <v>79.385300000000001</v>
      </c>
      <c r="P4638">
        <v>1332</v>
      </c>
      <c r="Q4638" t="s">
        <v>9621</v>
      </c>
    </row>
    <row r="4639" spans="1:17" x14ac:dyDescent="0.3">
      <c r="A4639" t="s">
        <v>4664</v>
      </c>
      <c r="B4639" t="str">
        <f>"300897"</f>
        <v>300897</v>
      </c>
      <c r="C4639" t="s">
        <v>9622</v>
      </c>
      <c r="D4639" t="s">
        <v>2551</v>
      </c>
      <c r="F4639">
        <v>232.93360000000001</v>
      </c>
      <c r="G4639">
        <v>265.91590000000002</v>
      </c>
      <c r="P4639">
        <v>50</v>
      </c>
      <c r="Q4639" t="s">
        <v>9623</v>
      </c>
    </row>
    <row r="4640" spans="1:17" x14ac:dyDescent="0.3">
      <c r="A4640" t="s">
        <v>4664</v>
      </c>
      <c r="B4640" t="str">
        <f>"300898"</f>
        <v>300898</v>
      </c>
      <c r="C4640" t="s">
        <v>9624</v>
      </c>
      <c r="D4640" t="s">
        <v>900</v>
      </c>
      <c r="F4640">
        <v>109.8206</v>
      </c>
      <c r="G4640">
        <v>114.4191</v>
      </c>
      <c r="H4640">
        <v>82.955100000000002</v>
      </c>
      <c r="I4640">
        <v>123.9076</v>
      </c>
      <c r="P4640">
        <v>73</v>
      </c>
      <c r="Q4640" t="s">
        <v>9625</v>
      </c>
    </row>
    <row r="4641" spans="1:17" x14ac:dyDescent="0.3">
      <c r="A4641" t="s">
        <v>4664</v>
      </c>
      <c r="B4641" t="str">
        <f>"300899"</f>
        <v>300899</v>
      </c>
      <c r="C4641" t="s">
        <v>9626</v>
      </c>
      <c r="D4641" t="s">
        <v>33</v>
      </c>
      <c r="F4641">
        <v>192.8201</v>
      </c>
      <c r="G4641">
        <v>169.36420000000001</v>
      </c>
      <c r="H4641">
        <v>135.91139999999999</v>
      </c>
      <c r="P4641">
        <v>58</v>
      </c>
      <c r="Q4641" t="s">
        <v>9627</v>
      </c>
    </row>
    <row r="4642" spans="1:17" x14ac:dyDescent="0.3">
      <c r="A4642" t="s">
        <v>4664</v>
      </c>
      <c r="B4642" t="str">
        <f>"300900"</f>
        <v>300900</v>
      </c>
      <c r="C4642" t="s">
        <v>9628</v>
      </c>
      <c r="D4642" t="s">
        <v>98</v>
      </c>
      <c r="F4642">
        <v>357.41030000000001</v>
      </c>
      <c r="G4642">
        <v>409.02339999999998</v>
      </c>
      <c r="H4642">
        <v>203.00810000000001</v>
      </c>
      <c r="P4642">
        <v>76</v>
      </c>
      <c r="Q4642" t="s">
        <v>9629</v>
      </c>
    </row>
    <row r="4643" spans="1:17" x14ac:dyDescent="0.3">
      <c r="A4643" t="s">
        <v>4664</v>
      </c>
      <c r="B4643" t="str">
        <f>"300901"</f>
        <v>300901</v>
      </c>
      <c r="C4643" t="s">
        <v>9630</v>
      </c>
      <c r="D4643" t="s">
        <v>255</v>
      </c>
      <c r="F4643">
        <v>13.3066</v>
      </c>
      <c r="G4643">
        <v>7.1288999999999998</v>
      </c>
      <c r="H4643">
        <v>1.2064999999999999</v>
      </c>
      <c r="P4643">
        <v>45</v>
      </c>
      <c r="Q4643" t="s">
        <v>9631</v>
      </c>
    </row>
    <row r="4644" spans="1:17" x14ac:dyDescent="0.3">
      <c r="A4644" t="s">
        <v>4664</v>
      </c>
      <c r="B4644" t="str">
        <f>"300902"</f>
        <v>300902</v>
      </c>
      <c r="C4644" t="s">
        <v>9632</v>
      </c>
      <c r="D4644" t="s">
        <v>741</v>
      </c>
      <c r="F4644">
        <v>297.02910000000003</v>
      </c>
      <c r="G4644">
        <v>221.0873</v>
      </c>
      <c r="H4644">
        <v>119.0183</v>
      </c>
      <c r="P4644">
        <v>40</v>
      </c>
      <c r="Q4644" t="s">
        <v>9633</v>
      </c>
    </row>
    <row r="4645" spans="1:17" x14ac:dyDescent="0.3">
      <c r="A4645" t="s">
        <v>4664</v>
      </c>
      <c r="B4645" t="str">
        <f>"300903"</f>
        <v>300903</v>
      </c>
      <c r="C4645" t="s">
        <v>9634</v>
      </c>
      <c r="D4645" t="s">
        <v>425</v>
      </c>
      <c r="F4645">
        <v>66.144800000000004</v>
      </c>
      <c r="G4645">
        <v>50.5501</v>
      </c>
      <c r="P4645">
        <v>61</v>
      </c>
      <c r="Q4645" t="s">
        <v>9635</v>
      </c>
    </row>
    <row r="4646" spans="1:17" x14ac:dyDescent="0.3">
      <c r="A4646" t="s">
        <v>4664</v>
      </c>
      <c r="B4646" t="str">
        <f>"300905"</f>
        <v>300905</v>
      </c>
      <c r="C4646" t="s">
        <v>9636</v>
      </c>
      <c r="D4646" t="s">
        <v>779</v>
      </c>
      <c r="F4646">
        <v>89.962699999999998</v>
      </c>
      <c r="G4646">
        <v>81.318600000000004</v>
      </c>
      <c r="P4646">
        <v>54</v>
      </c>
      <c r="Q4646" t="s">
        <v>9637</v>
      </c>
    </row>
    <row r="4647" spans="1:17" x14ac:dyDescent="0.3">
      <c r="A4647" t="s">
        <v>4664</v>
      </c>
      <c r="B4647" t="str">
        <f>"300906"</f>
        <v>300906</v>
      </c>
      <c r="C4647" t="s">
        <v>9638</v>
      </c>
      <c r="D4647" t="s">
        <v>2551</v>
      </c>
      <c r="F4647">
        <v>237.76730000000001</v>
      </c>
      <c r="G4647">
        <v>180.72069999999999</v>
      </c>
      <c r="P4647">
        <v>60</v>
      </c>
      <c r="Q4647" t="s">
        <v>9639</v>
      </c>
    </row>
    <row r="4648" spans="1:17" x14ac:dyDescent="0.3">
      <c r="A4648" t="s">
        <v>4664</v>
      </c>
      <c r="B4648" t="str">
        <f>"300907"</f>
        <v>300907</v>
      </c>
      <c r="C4648" t="s">
        <v>9640</v>
      </c>
      <c r="D4648" t="s">
        <v>1171</v>
      </c>
      <c r="F4648">
        <v>125.548</v>
      </c>
      <c r="G4648">
        <v>130.23670000000001</v>
      </c>
      <c r="P4648">
        <v>36</v>
      </c>
      <c r="Q4648" t="s">
        <v>9641</v>
      </c>
    </row>
    <row r="4649" spans="1:17" x14ac:dyDescent="0.3">
      <c r="A4649" t="s">
        <v>4664</v>
      </c>
      <c r="B4649" t="str">
        <f>"300908"</f>
        <v>300908</v>
      </c>
      <c r="C4649" t="s">
        <v>9642</v>
      </c>
      <c r="D4649" t="s">
        <v>433</v>
      </c>
      <c r="F4649">
        <v>187.1454</v>
      </c>
      <c r="G4649">
        <v>133.22059999999999</v>
      </c>
      <c r="P4649">
        <v>173</v>
      </c>
      <c r="Q4649" t="s">
        <v>9643</v>
      </c>
    </row>
    <row r="4650" spans="1:17" x14ac:dyDescent="0.3">
      <c r="A4650" t="s">
        <v>4664</v>
      </c>
      <c r="B4650" t="str">
        <f>"300909"</f>
        <v>300909</v>
      </c>
      <c r="C4650" t="s">
        <v>9644</v>
      </c>
      <c r="D4650" t="s">
        <v>1117</v>
      </c>
      <c r="F4650">
        <v>111.7337</v>
      </c>
      <c r="G4650">
        <v>117.70740000000001</v>
      </c>
      <c r="P4650">
        <v>65</v>
      </c>
      <c r="Q4650" t="s">
        <v>9645</v>
      </c>
    </row>
    <row r="4651" spans="1:17" x14ac:dyDescent="0.3">
      <c r="A4651" t="s">
        <v>4664</v>
      </c>
      <c r="B4651" t="str">
        <f>"300910"</f>
        <v>300910</v>
      </c>
      <c r="C4651" t="s">
        <v>9646</v>
      </c>
      <c r="D4651" t="s">
        <v>386</v>
      </c>
      <c r="F4651">
        <v>133.4914</v>
      </c>
      <c r="G4651">
        <v>95.495699999999999</v>
      </c>
      <c r="H4651">
        <v>115.0027</v>
      </c>
      <c r="P4651">
        <v>116</v>
      </c>
      <c r="Q4651" t="s">
        <v>9647</v>
      </c>
    </row>
    <row r="4652" spans="1:17" x14ac:dyDescent="0.3">
      <c r="A4652" t="s">
        <v>4664</v>
      </c>
      <c r="B4652" t="str">
        <f>"300911"</f>
        <v>300911</v>
      </c>
      <c r="C4652" t="s">
        <v>9648</v>
      </c>
      <c r="D4652" t="s">
        <v>3680</v>
      </c>
      <c r="F4652">
        <v>68.868700000000004</v>
      </c>
      <c r="G4652">
        <v>81.351900000000001</v>
      </c>
      <c r="P4652">
        <v>151</v>
      </c>
      <c r="Q4652" t="s">
        <v>9649</v>
      </c>
    </row>
    <row r="4653" spans="1:17" x14ac:dyDescent="0.3">
      <c r="A4653" t="s">
        <v>4664</v>
      </c>
      <c r="B4653" t="str">
        <f>"300912"</f>
        <v>300912</v>
      </c>
      <c r="C4653" t="s">
        <v>9650</v>
      </c>
      <c r="D4653" t="s">
        <v>985</v>
      </c>
      <c r="F4653">
        <v>150.6925</v>
      </c>
      <c r="G4653">
        <v>121.39530000000001</v>
      </c>
      <c r="P4653">
        <v>39</v>
      </c>
      <c r="Q4653" t="s">
        <v>9651</v>
      </c>
    </row>
    <row r="4654" spans="1:17" x14ac:dyDescent="0.3">
      <c r="A4654" t="s">
        <v>4664</v>
      </c>
      <c r="B4654" t="str">
        <f>"300913"</f>
        <v>300913</v>
      </c>
      <c r="C4654" t="s">
        <v>9652</v>
      </c>
      <c r="D4654" t="s">
        <v>250</v>
      </c>
      <c r="F4654">
        <v>79.068100000000001</v>
      </c>
      <c r="G4654">
        <v>62.242199999999997</v>
      </c>
      <c r="P4654">
        <v>33</v>
      </c>
      <c r="Q4654" t="s">
        <v>9653</v>
      </c>
    </row>
    <row r="4655" spans="1:17" x14ac:dyDescent="0.3">
      <c r="A4655" t="s">
        <v>4664</v>
      </c>
      <c r="B4655" t="str">
        <f>"300915"</f>
        <v>300915</v>
      </c>
      <c r="C4655" t="s">
        <v>9654</v>
      </c>
      <c r="D4655" t="s">
        <v>900</v>
      </c>
      <c r="F4655">
        <v>110.3246</v>
      </c>
      <c r="G4655">
        <v>102.098</v>
      </c>
      <c r="P4655">
        <v>101</v>
      </c>
      <c r="Q4655" t="s">
        <v>9655</v>
      </c>
    </row>
    <row r="4656" spans="1:17" x14ac:dyDescent="0.3">
      <c r="A4656" t="s">
        <v>4664</v>
      </c>
      <c r="B4656" t="str">
        <f>"300916"</f>
        <v>300916</v>
      </c>
      <c r="C4656" t="s">
        <v>9656</v>
      </c>
      <c r="D4656" t="s">
        <v>313</v>
      </c>
      <c r="F4656">
        <v>88.660200000000003</v>
      </c>
      <c r="G4656">
        <v>80.201899999999995</v>
      </c>
      <c r="P4656">
        <v>79</v>
      </c>
      <c r="Q4656" t="s">
        <v>9657</v>
      </c>
    </row>
    <row r="4657" spans="1:17" x14ac:dyDescent="0.3">
      <c r="A4657" t="s">
        <v>4664</v>
      </c>
      <c r="B4657" t="str">
        <f>"300917"</f>
        <v>300917</v>
      </c>
      <c r="C4657" t="s">
        <v>9658</v>
      </c>
      <c r="D4657" t="s">
        <v>2948</v>
      </c>
      <c r="F4657">
        <v>1.2496</v>
      </c>
      <c r="G4657">
        <v>1.7722</v>
      </c>
      <c r="P4657">
        <v>80</v>
      </c>
      <c r="Q4657" t="s">
        <v>9659</v>
      </c>
    </row>
    <row r="4658" spans="1:17" x14ac:dyDescent="0.3">
      <c r="A4658" t="s">
        <v>4664</v>
      </c>
      <c r="B4658" t="str">
        <f>"300918"</f>
        <v>300918</v>
      </c>
      <c r="C4658" t="s">
        <v>9660</v>
      </c>
      <c r="D4658" t="s">
        <v>366</v>
      </c>
      <c r="F4658">
        <v>290.92419999999998</v>
      </c>
      <c r="G4658">
        <v>318.40100000000001</v>
      </c>
      <c r="P4658">
        <v>38</v>
      </c>
      <c r="Q4658" t="s">
        <v>9661</v>
      </c>
    </row>
    <row r="4659" spans="1:17" x14ac:dyDescent="0.3">
      <c r="A4659" t="s">
        <v>4664</v>
      </c>
      <c r="B4659" t="str">
        <f>"300919"</f>
        <v>300919</v>
      </c>
      <c r="C4659" t="s">
        <v>9662</v>
      </c>
      <c r="D4659" t="s">
        <v>1786</v>
      </c>
      <c r="F4659">
        <v>85.114599999999996</v>
      </c>
      <c r="P4659">
        <v>175</v>
      </c>
      <c r="Q4659" t="s">
        <v>9663</v>
      </c>
    </row>
    <row r="4660" spans="1:17" x14ac:dyDescent="0.3">
      <c r="A4660" t="s">
        <v>4664</v>
      </c>
      <c r="B4660" t="str">
        <f>"300920"</f>
        <v>300920</v>
      </c>
      <c r="C4660" t="s">
        <v>9664</v>
      </c>
      <c r="D4660" t="s">
        <v>1192</v>
      </c>
      <c r="F4660">
        <v>90.137699999999995</v>
      </c>
      <c r="G4660">
        <v>55.196399999999997</v>
      </c>
      <c r="P4660">
        <v>46</v>
      </c>
      <c r="Q4660" t="s">
        <v>9665</v>
      </c>
    </row>
    <row r="4661" spans="1:17" x14ac:dyDescent="0.3">
      <c r="A4661" t="s">
        <v>4664</v>
      </c>
      <c r="B4661" t="str">
        <f>"300921"</f>
        <v>300921</v>
      </c>
      <c r="C4661" t="s">
        <v>9666</v>
      </c>
      <c r="D4661" t="s">
        <v>5597</v>
      </c>
      <c r="F4661">
        <v>32.654000000000003</v>
      </c>
      <c r="P4661">
        <v>39</v>
      </c>
      <c r="Q4661" t="s">
        <v>9667</v>
      </c>
    </row>
    <row r="4662" spans="1:17" x14ac:dyDescent="0.3">
      <c r="A4662" t="s">
        <v>4664</v>
      </c>
      <c r="B4662" t="str">
        <f>"300922"</f>
        <v>300922</v>
      </c>
      <c r="C4662" t="s">
        <v>9668</v>
      </c>
      <c r="D4662" t="s">
        <v>428</v>
      </c>
      <c r="F4662">
        <v>214.82990000000001</v>
      </c>
      <c r="G4662">
        <v>162.65170000000001</v>
      </c>
      <c r="I4662">
        <v>165.36199999999999</v>
      </c>
      <c r="P4662">
        <v>83</v>
      </c>
      <c r="Q4662" t="s">
        <v>9669</v>
      </c>
    </row>
    <row r="4663" spans="1:17" x14ac:dyDescent="0.3">
      <c r="A4663" t="s">
        <v>4664</v>
      </c>
      <c r="B4663" t="str">
        <f>"300923"</f>
        <v>300923</v>
      </c>
      <c r="C4663" t="s">
        <v>9670</v>
      </c>
      <c r="D4663" t="s">
        <v>1012</v>
      </c>
      <c r="F4663">
        <v>238.1225</v>
      </c>
      <c r="G4663">
        <v>259.15449999999998</v>
      </c>
      <c r="P4663">
        <v>28</v>
      </c>
      <c r="Q4663" t="s">
        <v>9671</v>
      </c>
    </row>
    <row r="4664" spans="1:17" x14ac:dyDescent="0.3">
      <c r="A4664" t="s">
        <v>4664</v>
      </c>
      <c r="B4664" t="str">
        <f>"300925"</f>
        <v>300925</v>
      </c>
      <c r="C4664" t="s">
        <v>9672</v>
      </c>
      <c r="D4664" t="s">
        <v>945</v>
      </c>
      <c r="F4664">
        <v>1.81</v>
      </c>
      <c r="G4664">
        <v>0</v>
      </c>
      <c r="P4664">
        <v>72</v>
      </c>
      <c r="Q4664" t="s">
        <v>9673</v>
      </c>
    </row>
    <row r="4665" spans="1:17" x14ac:dyDescent="0.3">
      <c r="A4665" t="s">
        <v>4664</v>
      </c>
      <c r="B4665" t="str">
        <f>"300926"</f>
        <v>300926</v>
      </c>
      <c r="C4665" t="s">
        <v>9674</v>
      </c>
      <c r="D4665" t="s">
        <v>985</v>
      </c>
      <c r="F4665">
        <v>230.70609999999999</v>
      </c>
      <c r="G4665">
        <v>229.6223</v>
      </c>
      <c r="P4665">
        <v>45</v>
      </c>
      <c r="Q4665" t="s">
        <v>9675</v>
      </c>
    </row>
    <row r="4666" spans="1:17" x14ac:dyDescent="0.3">
      <c r="A4666" t="s">
        <v>4664</v>
      </c>
      <c r="B4666" t="str">
        <f>"300927"</f>
        <v>300927</v>
      </c>
      <c r="C4666" t="s">
        <v>9676</v>
      </c>
      <c r="D4666" t="s">
        <v>1233</v>
      </c>
      <c r="F4666">
        <v>31.327300000000001</v>
      </c>
      <c r="G4666">
        <v>68.452699999999993</v>
      </c>
      <c r="P4666">
        <v>44</v>
      </c>
      <c r="Q4666" t="s">
        <v>9677</v>
      </c>
    </row>
    <row r="4667" spans="1:17" x14ac:dyDescent="0.3">
      <c r="A4667" t="s">
        <v>4664</v>
      </c>
      <c r="B4667" t="str">
        <f>"300928"</f>
        <v>300928</v>
      </c>
      <c r="C4667" t="s">
        <v>9678</v>
      </c>
      <c r="D4667" t="s">
        <v>1415</v>
      </c>
      <c r="F4667">
        <v>4.8400999999999996</v>
      </c>
      <c r="G4667">
        <v>7.2751999999999999</v>
      </c>
      <c r="P4667">
        <v>27</v>
      </c>
      <c r="Q4667" t="s">
        <v>9679</v>
      </c>
    </row>
    <row r="4668" spans="1:17" x14ac:dyDescent="0.3">
      <c r="A4668" t="s">
        <v>4664</v>
      </c>
      <c r="B4668" t="str">
        <f>"300929"</f>
        <v>300929</v>
      </c>
      <c r="C4668" t="s">
        <v>9680</v>
      </c>
      <c r="D4668" t="s">
        <v>33</v>
      </c>
      <c r="F4668">
        <v>57.198700000000002</v>
      </c>
      <c r="P4668">
        <v>48</v>
      </c>
      <c r="Q4668" t="s">
        <v>9681</v>
      </c>
    </row>
    <row r="4669" spans="1:17" x14ac:dyDescent="0.3">
      <c r="A4669" t="s">
        <v>4664</v>
      </c>
      <c r="B4669" t="str">
        <f>"300930"</f>
        <v>300930</v>
      </c>
      <c r="C4669" t="s">
        <v>9682</v>
      </c>
      <c r="D4669" t="s">
        <v>581</v>
      </c>
      <c r="F4669">
        <v>32.966000000000001</v>
      </c>
      <c r="G4669">
        <v>50.088000000000001</v>
      </c>
      <c r="P4669">
        <v>75</v>
      </c>
      <c r="Q4669" t="s">
        <v>9683</v>
      </c>
    </row>
    <row r="4670" spans="1:17" x14ac:dyDescent="0.3">
      <c r="A4670" t="s">
        <v>4664</v>
      </c>
      <c r="B4670" t="str">
        <f>"300931"</f>
        <v>300931</v>
      </c>
      <c r="C4670" t="s">
        <v>9684</v>
      </c>
      <c r="D4670" t="s">
        <v>1689</v>
      </c>
      <c r="F4670">
        <v>147.00890000000001</v>
      </c>
      <c r="G4670">
        <v>121.17789999999999</v>
      </c>
      <c r="P4670">
        <v>31</v>
      </c>
      <c r="Q4670" t="s">
        <v>9685</v>
      </c>
    </row>
    <row r="4671" spans="1:17" x14ac:dyDescent="0.3">
      <c r="A4671" t="s">
        <v>4664</v>
      </c>
      <c r="B4671" t="str">
        <f>"300932"</f>
        <v>300932</v>
      </c>
      <c r="C4671" t="s">
        <v>9686</v>
      </c>
      <c r="D4671" t="s">
        <v>657</v>
      </c>
      <c r="F4671">
        <v>93.555099999999996</v>
      </c>
      <c r="G4671">
        <v>81.9011</v>
      </c>
      <c r="P4671">
        <v>29</v>
      </c>
      <c r="Q4671" t="s">
        <v>9687</v>
      </c>
    </row>
    <row r="4672" spans="1:17" x14ac:dyDescent="0.3">
      <c r="A4672" t="s">
        <v>4664</v>
      </c>
      <c r="B4672" t="str">
        <f>"300933"</f>
        <v>300933</v>
      </c>
      <c r="C4672" t="s">
        <v>9688</v>
      </c>
      <c r="D4672" t="s">
        <v>1164</v>
      </c>
      <c r="F4672">
        <v>93.654899999999998</v>
      </c>
      <c r="G4672">
        <v>107.3222</v>
      </c>
      <c r="P4672">
        <v>30</v>
      </c>
      <c r="Q4672" t="s">
        <v>9689</v>
      </c>
    </row>
    <row r="4673" spans="1:17" x14ac:dyDescent="0.3">
      <c r="A4673" t="s">
        <v>4664</v>
      </c>
      <c r="B4673" t="str">
        <f>"300935"</f>
        <v>300935</v>
      </c>
      <c r="C4673" t="s">
        <v>9690</v>
      </c>
      <c r="D4673" t="s">
        <v>945</v>
      </c>
      <c r="F4673">
        <v>22.708400000000001</v>
      </c>
      <c r="G4673">
        <v>0</v>
      </c>
      <c r="P4673">
        <v>55</v>
      </c>
      <c r="Q4673" t="s">
        <v>9691</v>
      </c>
    </row>
    <row r="4674" spans="1:17" x14ac:dyDescent="0.3">
      <c r="A4674" t="s">
        <v>4664</v>
      </c>
      <c r="B4674" t="str">
        <f>"300936"</f>
        <v>300936</v>
      </c>
      <c r="C4674" t="s">
        <v>9692</v>
      </c>
      <c r="D4674" t="s">
        <v>425</v>
      </c>
      <c r="F4674">
        <v>177.96950000000001</v>
      </c>
      <c r="G4674">
        <v>142.7174</v>
      </c>
      <c r="P4674">
        <v>54</v>
      </c>
      <c r="Q4674" t="s">
        <v>9693</v>
      </c>
    </row>
    <row r="4675" spans="1:17" x14ac:dyDescent="0.3">
      <c r="A4675" t="s">
        <v>4664</v>
      </c>
      <c r="B4675" t="str">
        <f>"300937"</f>
        <v>300937</v>
      </c>
      <c r="C4675" t="s">
        <v>9694</v>
      </c>
      <c r="D4675" t="s">
        <v>125</v>
      </c>
      <c r="F4675">
        <v>51.506</v>
      </c>
      <c r="G4675">
        <v>50.943800000000003</v>
      </c>
      <c r="P4675">
        <v>35</v>
      </c>
      <c r="Q4675" t="s">
        <v>9695</v>
      </c>
    </row>
    <row r="4676" spans="1:17" x14ac:dyDescent="0.3">
      <c r="A4676" t="s">
        <v>4664</v>
      </c>
      <c r="B4676" t="str">
        <f>"300938"</f>
        <v>300938</v>
      </c>
      <c r="C4676" t="s">
        <v>9696</v>
      </c>
      <c r="D4676" t="s">
        <v>2499</v>
      </c>
      <c r="F4676">
        <v>54.010199999999998</v>
      </c>
      <c r="G4676">
        <v>0</v>
      </c>
      <c r="P4676">
        <v>43</v>
      </c>
      <c r="Q4676" t="s">
        <v>9697</v>
      </c>
    </row>
    <row r="4677" spans="1:17" x14ac:dyDescent="0.3">
      <c r="A4677" t="s">
        <v>4664</v>
      </c>
      <c r="B4677" t="str">
        <f>"300939"</f>
        <v>300939</v>
      </c>
      <c r="C4677" t="s">
        <v>9698</v>
      </c>
      <c r="D4677" t="s">
        <v>1117</v>
      </c>
      <c r="F4677">
        <v>86.189800000000005</v>
      </c>
      <c r="G4677">
        <v>70.304100000000005</v>
      </c>
      <c r="P4677">
        <v>31</v>
      </c>
      <c r="Q4677" t="s">
        <v>9699</v>
      </c>
    </row>
    <row r="4678" spans="1:17" x14ac:dyDescent="0.3">
      <c r="A4678" t="s">
        <v>4664</v>
      </c>
      <c r="B4678" t="str">
        <f>"300940"</f>
        <v>300940</v>
      </c>
      <c r="C4678" t="s">
        <v>9700</v>
      </c>
      <c r="D4678" t="s">
        <v>803</v>
      </c>
      <c r="F4678">
        <v>43.467700000000001</v>
      </c>
      <c r="G4678">
        <v>53.7014</v>
      </c>
      <c r="P4678">
        <v>39</v>
      </c>
      <c r="Q4678" t="s">
        <v>9701</v>
      </c>
    </row>
    <row r="4679" spans="1:17" x14ac:dyDescent="0.3">
      <c r="A4679" t="s">
        <v>4664</v>
      </c>
      <c r="B4679" t="str">
        <f>"300941"</f>
        <v>300941</v>
      </c>
      <c r="C4679" t="s">
        <v>9702</v>
      </c>
      <c r="D4679" t="s">
        <v>236</v>
      </c>
      <c r="F4679">
        <v>81.033900000000003</v>
      </c>
      <c r="G4679">
        <v>78.587199999999996</v>
      </c>
      <c r="H4679">
        <v>153.6396</v>
      </c>
      <c r="I4679">
        <v>189.5625</v>
      </c>
      <c r="P4679">
        <v>69</v>
      </c>
      <c r="Q4679" t="s">
        <v>9703</v>
      </c>
    </row>
    <row r="4680" spans="1:17" x14ac:dyDescent="0.3">
      <c r="A4680" t="s">
        <v>4664</v>
      </c>
      <c r="B4680" t="str">
        <f>"300942"</f>
        <v>300942</v>
      </c>
      <c r="C4680" t="s">
        <v>9704</v>
      </c>
      <c r="D4680" t="s">
        <v>1305</v>
      </c>
      <c r="F4680">
        <v>285.55059999999997</v>
      </c>
      <c r="G4680">
        <v>417.15910000000002</v>
      </c>
      <c r="P4680">
        <v>98</v>
      </c>
      <c r="Q4680" t="s">
        <v>9705</v>
      </c>
    </row>
    <row r="4681" spans="1:17" x14ac:dyDescent="0.3">
      <c r="A4681" t="s">
        <v>4664</v>
      </c>
      <c r="B4681" t="str">
        <f>"300943"</f>
        <v>300943</v>
      </c>
      <c r="C4681" t="s">
        <v>9706</v>
      </c>
      <c r="D4681" t="s">
        <v>274</v>
      </c>
      <c r="F4681">
        <v>107.267</v>
      </c>
      <c r="G4681">
        <v>97.254800000000003</v>
      </c>
      <c r="I4681">
        <v>114.47199999999999</v>
      </c>
      <c r="P4681">
        <v>35</v>
      </c>
      <c r="Q4681" t="s">
        <v>9707</v>
      </c>
    </row>
    <row r="4682" spans="1:17" x14ac:dyDescent="0.3">
      <c r="A4682" t="s">
        <v>4664</v>
      </c>
      <c r="B4682" t="str">
        <f>"300945"</f>
        <v>300945</v>
      </c>
      <c r="C4682" t="s">
        <v>9708</v>
      </c>
      <c r="D4682" t="s">
        <v>1238</v>
      </c>
      <c r="F4682">
        <v>202.2551</v>
      </c>
      <c r="G4682">
        <v>301.78649999999999</v>
      </c>
      <c r="P4682">
        <v>36</v>
      </c>
      <c r="Q4682" t="s">
        <v>9709</v>
      </c>
    </row>
    <row r="4683" spans="1:17" x14ac:dyDescent="0.3">
      <c r="A4683" t="s">
        <v>4664</v>
      </c>
      <c r="B4683" t="str">
        <f>"300946"</f>
        <v>300946</v>
      </c>
      <c r="C4683" t="s">
        <v>9710</v>
      </c>
      <c r="D4683" t="s">
        <v>274</v>
      </c>
      <c r="F4683">
        <v>276.04660000000001</v>
      </c>
      <c r="G4683">
        <v>299.92759999999998</v>
      </c>
      <c r="P4683">
        <v>75</v>
      </c>
      <c r="Q4683" t="s">
        <v>9711</v>
      </c>
    </row>
    <row r="4684" spans="1:17" x14ac:dyDescent="0.3">
      <c r="A4684" t="s">
        <v>4664</v>
      </c>
      <c r="B4684" t="str">
        <f>"300947"</f>
        <v>300947</v>
      </c>
      <c r="C4684" t="s">
        <v>9712</v>
      </c>
      <c r="D4684" t="s">
        <v>271</v>
      </c>
      <c r="F4684">
        <v>0</v>
      </c>
      <c r="G4684">
        <v>0</v>
      </c>
      <c r="H4684">
        <v>0</v>
      </c>
      <c r="P4684">
        <v>28</v>
      </c>
      <c r="Q4684" t="s">
        <v>9713</v>
      </c>
    </row>
    <row r="4685" spans="1:17" x14ac:dyDescent="0.3">
      <c r="A4685" t="s">
        <v>4664</v>
      </c>
      <c r="B4685" t="str">
        <f>"300948"</f>
        <v>300948</v>
      </c>
      <c r="C4685" t="s">
        <v>9714</v>
      </c>
      <c r="D4685" t="s">
        <v>2408</v>
      </c>
      <c r="F4685">
        <v>7.5004999999999997</v>
      </c>
      <c r="G4685">
        <v>420.08670000000001</v>
      </c>
      <c r="P4685">
        <v>38</v>
      </c>
      <c r="Q4685" t="s">
        <v>9715</v>
      </c>
    </row>
    <row r="4686" spans="1:17" x14ac:dyDescent="0.3">
      <c r="A4686" t="s">
        <v>4664</v>
      </c>
      <c r="B4686" t="str">
        <f>"300949"</f>
        <v>300949</v>
      </c>
      <c r="C4686" t="s">
        <v>9716</v>
      </c>
      <c r="D4686" t="s">
        <v>2408</v>
      </c>
      <c r="F4686">
        <v>53.697400000000002</v>
      </c>
      <c r="P4686">
        <v>39</v>
      </c>
      <c r="Q4686" t="s">
        <v>9717</v>
      </c>
    </row>
    <row r="4687" spans="1:17" x14ac:dyDescent="0.3">
      <c r="A4687" t="s">
        <v>4664</v>
      </c>
      <c r="B4687" t="str">
        <f>"300950"</f>
        <v>300950</v>
      </c>
      <c r="C4687" t="s">
        <v>9718</v>
      </c>
      <c r="D4687" t="s">
        <v>395</v>
      </c>
      <c r="F4687">
        <v>355.42149999999998</v>
      </c>
      <c r="P4687">
        <v>58</v>
      </c>
      <c r="Q4687" t="s">
        <v>9719</v>
      </c>
    </row>
    <row r="4688" spans="1:17" x14ac:dyDescent="0.3">
      <c r="A4688" t="s">
        <v>4664</v>
      </c>
      <c r="B4688" t="str">
        <f>"300951"</f>
        <v>300951</v>
      </c>
      <c r="C4688" t="s">
        <v>9720</v>
      </c>
      <c r="D4688" t="s">
        <v>313</v>
      </c>
      <c r="F4688">
        <v>33.942700000000002</v>
      </c>
      <c r="P4688">
        <v>67</v>
      </c>
      <c r="Q4688" t="s">
        <v>9721</v>
      </c>
    </row>
    <row r="4689" spans="1:17" x14ac:dyDescent="0.3">
      <c r="A4689" t="s">
        <v>4664</v>
      </c>
      <c r="B4689" t="str">
        <f>"300952"</f>
        <v>300952</v>
      </c>
      <c r="C4689" t="s">
        <v>9722</v>
      </c>
      <c r="D4689" t="s">
        <v>330</v>
      </c>
      <c r="F4689">
        <v>110.1088</v>
      </c>
      <c r="P4689">
        <v>38</v>
      </c>
      <c r="Q4689" t="s">
        <v>9723</v>
      </c>
    </row>
    <row r="4690" spans="1:17" x14ac:dyDescent="0.3">
      <c r="A4690" t="s">
        <v>4664</v>
      </c>
      <c r="B4690" t="str">
        <f>"300953"</f>
        <v>300953</v>
      </c>
      <c r="C4690" t="s">
        <v>9724</v>
      </c>
      <c r="D4690" t="s">
        <v>274</v>
      </c>
      <c r="F4690">
        <v>85.361500000000007</v>
      </c>
      <c r="P4690">
        <v>84</v>
      </c>
      <c r="Q4690" t="s">
        <v>9725</v>
      </c>
    </row>
    <row r="4691" spans="1:17" x14ac:dyDescent="0.3">
      <c r="A4691" t="s">
        <v>4664</v>
      </c>
      <c r="B4691" t="str">
        <f>"300955"</f>
        <v>300955</v>
      </c>
      <c r="C4691" t="s">
        <v>9726</v>
      </c>
      <c r="D4691" t="s">
        <v>5892</v>
      </c>
      <c r="F4691">
        <v>95.415999999999997</v>
      </c>
      <c r="P4691">
        <v>42</v>
      </c>
      <c r="Q4691" t="s">
        <v>9727</v>
      </c>
    </row>
    <row r="4692" spans="1:17" x14ac:dyDescent="0.3">
      <c r="A4692" t="s">
        <v>4664</v>
      </c>
      <c r="B4692" t="str">
        <f>"300956"</f>
        <v>300956</v>
      </c>
      <c r="C4692" t="s">
        <v>9728</v>
      </c>
      <c r="D4692" t="s">
        <v>313</v>
      </c>
      <c r="F4692">
        <v>129.02330000000001</v>
      </c>
      <c r="P4692">
        <v>45</v>
      </c>
      <c r="Q4692" t="s">
        <v>9729</v>
      </c>
    </row>
    <row r="4693" spans="1:17" x14ac:dyDescent="0.3">
      <c r="A4693" t="s">
        <v>4664</v>
      </c>
      <c r="B4693" t="str">
        <f>"300957"</f>
        <v>300957</v>
      </c>
      <c r="C4693" t="s">
        <v>9730</v>
      </c>
      <c r="D4693" t="s">
        <v>709</v>
      </c>
      <c r="F4693">
        <v>279.70850000000002</v>
      </c>
      <c r="P4693">
        <v>350</v>
      </c>
      <c r="Q4693" t="s">
        <v>9731</v>
      </c>
    </row>
    <row r="4694" spans="1:17" x14ac:dyDescent="0.3">
      <c r="A4694" t="s">
        <v>4664</v>
      </c>
      <c r="B4694" t="str">
        <f>"300958"</f>
        <v>300958</v>
      </c>
      <c r="C4694" t="s">
        <v>9732</v>
      </c>
      <c r="D4694" t="s">
        <v>3548</v>
      </c>
      <c r="F4694">
        <v>5.6919000000000004</v>
      </c>
      <c r="G4694">
        <v>271.25279999999998</v>
      </c>
      <c r="P4694">
        <v>28</v>
      </c>
      <c r="Q4694" t="s">
        <v>9733</v>
      </c>
    </row>
    <row r="4695" spans="1:17" x14ac:dyDescent="0.3">
      <c r="A4695" t="s">
        <v>4664</v>
      </c>
      <c r="B4695" t="str">
        <f>"300959"</f>
        <v>300959</v>
      </c>
      <c r="C4695" t="s">
        <v>9734</v>
      </c>
      <c r="D4695" t="s">
        <v>5597</v>
      </c>
      <c r="F4695">
        <v>0</v>
      </c>
      <c r="P4695">
        <v>31</v>
      </c>
      <c r="Q4695" t="s">
        <v>9735</v>
      </c>
    </row>
    <row r="4696" spans="1:17" x14ac:dyDescent="0.3">
      <c r="A4696" t="s">
        <v>4664</v>
      </c>
      <c r="B4696" t="str">
        <f>"300960"</f>
        <v>300960</v>
      </c>
      <c r="C4696" t="s">
        <v>9736</v>
      </c>
      <c r="D4696" t="s">
        <v>1012</v>
      </c>
      <c r="F4696">
        <v>543.98929999999996</v>
      </c>
      <c r="P4696">
        <v>26</v>
      </c>
      <c r="Q4696" t="s">
        <v>9737</v>
      </c>
    </row>
    <row r="4697" spans="1:17" x14ac:dyDescent="0.3">
      <c r="A4697" t="s">
        <v>4664</v>
      </c>
      <c r="B4697" t="str">
        <f>"300961"</f>
        <v>300961</v>
      </c>
      <c r="C4697" t="s">
        <v>9738</v>
      </c>
      <c r="D4697" t="s">
        <v>33</v>
      </c>
      <c r="F4697">
        <v>5.9839000000000002</v>
      </c>
      <c r="P4697">
        <v>27</v>
      </c>
      <c r="Q4697" t="s">
        <v>9739</v>
      </c>
    </row>
    <row r="4698" spans="1:17" x14ac:dyDescent="0.3">
      <c r="A4698" t="s">
        <v>4664</v>
      </c>
      <c r="B4698" t="str">
        <f>"300962"</f>
        <v>300962</v>
      </c>
      <c r="C4698" t="s">
        <v>9740</v>
      </c>
      <c r="D4698" t="s">
        <v>9741</v>
      </c>
      <c r="F4698">
        <v>1.7416</v>
      </c>
      <c r="P4698">
        <v>32</v>
      </c>
      <c r="Q4698" t="s">
        <v>9742</v>
      </c>
    </row>
    <row r="4699" spans="1:17" x14ac:dyDescent="0.3">
      <c r="A4699" t="s">
        <v>4664</v>
      </c>
      <c r="B4699" t="str">
        <f>"300963"</f>
        <v>300963</v>
      </c>
      <c r="C4699" t="s">
        <v>9743</v>
      </c>
      <c r="D4699" t="s">
        <v>581</v>
      </c>
      <c r="F4699">
        <v>181.16579999999999</v>
      </c>
      <c r="P4699">
        <v>35</v>
      </c>
      <c r="Q4699" t="s">
        <v>9744</v>
      </c>
    </row>
    <row r="4700" spans="1:17" x14ac:dyDescent="0.3">
      <c r="A4700" t="s">
        <v>4664</v>
      </c>
      <c r="B4700" t="str">
        <f>"300964"</f>
        <v>300964</v>
      </c>
      <c r="C4700" t="s">
        <v>9745</v>
      </c>
      <c r="D4700" t="s">
        <v>425</v>
      </c>
      <c r="F4700">
        <v>133.6002</v>
      </c>
      <c r="P4700">
        <v>20</v>
      </c>
      <c r="Q4700" t="s">
        <v>9746</v>
      </c>
    </row>
    <row r="4701" spans="1:17" x14ac:dyDescent="0.3">
      <c r="A4701" t="s">
        <v>4664</v>
      </c>
      <c r="B4701" t="str">
        <f>"300965"</f>
        <v>300965</v>
      </c>
      <c r="C4701" t="s">
        <v>9747</v>
      </c>
      <c r="D4701" t="s">
        <v>98</v>
      </c>
      <c r="F4701">
        <v>358.30079999999998</v>
      </c>
      <c r="P4701">
        <v>31</v>
      </c>
      <c r="Q4701" t="s">
        <v>9748</v>
      </c>
    </row>
    <row r="4702" spans="1:17" x14ac:dyDescent="0.3">
      <c r="A4702" t="s">
        <v>4664</v>
      </c>
      <c r="B4702" t="str">
        <f>"300966"</f>
        <v>300966</v>
      </c>
      <c r="C4702" t="s">
        <v>9749</v>
      </c>
      <c r="D4702" t="s">
        <v>496</v>
      </c>
      <c r="F4702">
        <v>253.0231</v>
      </c>
      <c r="P4702">
        <v>32</v>
      </c>
      <c r="Q4702" t="s">
        <v>9750</v>
      </c>
    </row>
    <row r="4703" spans="1:17" x14ac:dyDescent="0.3">
      <c r="A4703" t="s">
        <v>4664</v>
      </c>
      <c r="B4703" t="str">
        <f>"300967"</f>
        <v>300967</v>
      </c>
      <c r="C4703" t="s">
        <v>9751</v>
      </c>
      <c r="D4703" t="s">
        <v>6173</v>
      </c>
      <c r="F4703">
        <v>70.624099999999999</v>
      </c>
      <c r="G4703">
        <v>83.702200000000005</v>
      </c>
      <c r="P4703">
        <v>34</v>
      </c>
      <c r="Q4703" t="s">
        <v>9752</v>
      </c>
    </row>
    <row r="4704" spans="1:17" x14ac:dyDescent="0.3">
      <c r="A4704" t="s">
        <v>4664</v>
      </c>
      <c r="B4704" t="str">
        <f>"300968"</f>
        <v>300968</v>
      </c>
      <c r="C4704" t="s">
        <v>9753</v>
      </c>
      <c r="D4704" t="s">
        <v>313</v>
      </c>
      <c r="F4704">
        <v>132.54339999999999</v>
      </c>
      <c r="H4704">
        <v>81.377600000000001</v>
      </c>
      <c r="P4704">
        <v>31</v>
      </c>
      <c r="Q4704" t="s">
        <v>9754</v>
      </c>
    </row>
    <row r="4705" spans="1:17" x14ac:dyDescent="0.3">
      <c r="A4705" t="s">
        <v>4664</v>
      </c>
      <c r="B4705" t="str">
        <f>"300969"</f>
        <v>300969</v>
      </c>
      <c r="C4705" t="s">
        <v>9755</v>
      </c>
      <c r="D4705" t="s">
        <v>191</v>
      </c>
      <c r="F4705">
        <v>100.6536</v>
      </c>
      <c r="P4705">
        <v>42</v>
      </c>
      <c r="Q4705" t="s">
        <v>9756</v>
      </c>
    </row>
    <row r="4706" spans="1:17" x14ac:dyDescent="0.3">
      <c r="A4706" t="s">
        <v>4664</v>
      </c>
      <c r="B4706" t="str">
        <f>"300970"</f>
        <v>300970</v>
      </c>
      <c r="C4706" t="s">
        <v>9757</v>
      </c>
      <c r="D4706" t="s">
        <v>7244</v>
      </c>
      <c r="F4706">
        <v>91.306299999999993</v>
      </c>
      <c r="P4706">
        <v>25</v>
      </c>
      <c r="Q4706" t="s">
        <v>9758</v>
      </c>
    </row>
    <row r="4707" spans="1:17" x14ac:dyDescent="0.3">
      <c r="A4707" t="s">
        <v>4664</v>
      </c>
      <c r="B4707" t="str">
        <f>"300971"</f>
        <v>300971</v>
      </c>
      <c r="C4707" t="s">
        <v>9759</v>
      </c>
      <c r="D4707" t="s">
        <v>741</v>
      </c>
      <c r="F4707">
        <v>283.22230000000002</v>
      </c>
      <c r="P4707">
        <v>39</v>
      </c>
      <c r="Q4707" t="s">
        <v>9760</v>
      </c>
    </row>
    <row r="4708" spans="1:17" x14ac:dyDescent="0.3">
      <c r="A4708" t="s">
        <v>4664</v>
      </c>
      <c r="B4708" t="str">
        <f>"300972"</f>
        <v>300972</v>
      </c>
      <c r="C4708" t="s">
        <v>9761</v>
      </c>
      <c r="D4708" t="s">
        <v>7244</v>
      </c>
      <c r="F4708">
        <v>74.703100000000006</v>
      </c>
      <c r="P4708">
        <v>22</v>
      </c>
      <c r="Q4708" t="s">
        <v>9762</v>
      </c>
    </row>
    <row r="4709" spans="1:17" x14ac:dyDescent="0.3">
      <c r="A4709" t="s">
        <v>4664</v>
      </c>
      <c r="B4709" t="str">
        <f>"300973"</f>
        <v>300973</v>
      </c>
      <c r="C4709" t="s">
        <v>9763</v>
      </c>
      <c r="D4709" t="s">
        <v>2479</v>
      </c>
      <c r="F4709">
        <v>51.163699999999999</v>
      </c>
      <c r="P4709">
        <v>140</v>
      </c>
      <c r="Q4709" t="s">
        <v>9764</v>
      </c>
    </row>
    <row r="4710" spans="1:17" x14ac:dyDescent="0.3">
      <c r="A4710" t="s">
        <v>4664</v>
      </c>
      <c r="B4710" t="str">
        <f>"300975"</f>
        <v>300975</v>
      </c>
      <c r="C4710" t="s">
        <v>9765</v>
      </c>
      <c r="D4710" t="s">
        <v>651</v>
      </c>
      <c r="F4710">
        <v>54.841700000000003</v>
      </c>
      <c r="G4710">
        <v>60.422699999999999</v>
      </c>
      <c r="P4710">
        <v>30</v>
      </c>
      <c r="Q4710" t="s">
        <v>9766</v>
      </c>
    </row>
    <row r="4711" spans="1:17" x14ac:dyDescent="0.3">
      <c r="A4711" t="s">
        <v>4664</v>
      </c>
      <c r="B4711" t="str">
        <f>"300976"</f>
        <v>300976</v>
      </c>
      <c r="C4711" t="s">
        <v>9767</v>
      </c>
      <c r="D4711" t="s">
        <v>313</v>
      </c>
      <c r="F4711">
        <v>95.285700000000006</v>
      </c>
      <c r="P4711">
        <v>35</v>
      </c>
      <c r="Q4711" t="s">
        <v>9768</v>
      </c>
    </row>
    <row r="4712" spans="1:17" x14ac:dyDescent="0.3">
      <c r="A4712" t="s">
        <v>4664</v>
      </c>
      <c r="B4712" t="str">
        <f>"300977"</f>
        <v>300977</v>
      </c>
      <c r="C4712" t="s">
        <v>9769</v>
      </c>
      <c r="D4712" t="s">
        <v>1272</v>
      </c>
      <c r="F4712">
        <v>4.0894000000000004</v>
      </c>
      <c r="P4712">
        <v>46</v>
      </c>
      <c r="Q4712" t="s">
        <v>9770</v>
      </c>
    </row>
    <row r="4713" spans="1:17" x14ac:dyDescent="0.3">
      <c r="A4713" t="s">
        <v>4664</v>
      </c>
      <c r="B4713" t="str">
        <f>"300978"</f>
        <v>300978</v>
      </c>
      <c r="C4713" t="s">
        <v>9771</v>
      </c>
      <c r="D4713" t="s">
        <v>191</v>
      </c>
      <c r="F4713">
        <v>81.147499999999994</v>
      </c>
      <c r="P4713">
        <v>37</v>
      </c>
      <c r="Q4713" t="s">
        <v>9772</v>
      </c>
    </row>
    <row r="4714" spans="1:17" x14ac:dyDescent="0.3">
      <c r="A4714" t="s">
        <v>4664</v>
      </c>
      <c r="B4714" t="str">
        <f>"300979"</f>
        <v>300979</v>
      </c>
      <c r="C4714" t="s">
        <v>9773</v>
      </c>
      <c r="D4714" t="s">
        <v>9774</v>
      </c>
      <c r="F4714">
        <v>90.311599999999999</v>
      </c>
      <c r="P4714">
        <v>95</v>
      </c>
      <c r="Q4714" t="s">
        <v>9775</v>
      </c>
    </row>
    <row r="4715" spans="1:17" x14ac:dyDescent="0.3">
      <c r="A4715" t="s">
        <v>4664</v>
      </c>
      <c r="B4715" t="str">
        <f>"300980"</f>
        <v>300980</v>
      </c>
      <c r="C4715" t="s">
        <v>9776</v>
      </c>
      <c r="D4715" t="s">
        <v>1192</v>
      </c>
      <c r="F4715">
        <v>74.889499999999998</v>
      </c>
      <c r="P4715">
        <v>77</v>
      </c>
      <c r="Q4715" t="s">
        <v>9777</v>
      </c>
    </row>
    <row r="4716" spans="1:17" x14ac:dyDescent="0.3">
      <c r="A4716" t="s">
        <v>4664</v>
      </c>
      <c r="B4716" t="str">
        <f>"300981"</f>
        <v>300981</v>
      </c>
      <c r="C4716" t="s">
        <v>9778</v>
      </c>
      <c r="D4716" t="s">
        <v>1077</v>
      </c>
      <c r="F4716">
        <v>95.690899999999999</v>
      </c>
      <c r="P4716">
        <v>127</v>
      </c>
      <c r="Q4716" t="s">
        <v>9779</v>
      </c>
    </row>
    <row r="4717" spans="1:17" x14ac:dyDescent="0.3">
      <c r="A4717" t="s">
        <v>4664</v>
      </c>
      <c r="B4717" t="str">
        <f>"300982"</f>
        <v>300982</v>
      </c>
      <c r="C4717" t="s">
        <v>9780</v>
      </c>
      <c r="D4717" t="s">
        <v>101</v>
      </c>
      <c r="F4717">
        <v>29.441400000000002</v>
      </c>
      <c r="P4717">
        <v>65</v>
      </c>
      <c r="Q4717" t="s">
        <v>9781</v>
      </c>
    </row>
    <row r="4718" spans="1:17" x14ac:dyDescent="0.3">
      <c r="A4718" t="s">
        <v>4664</v>
      </c>
      <c r="B4718" t="str">
        <f>"300983"</f>
        <v>300983</v>
      </c>
      <c r="C4718" t="s">
        <v>9782</v>
      </c>
      <c r="D4718" t="s">
        <v>1272</v>
      </c>
      <c r="F4718">
        <v>0</v>
      </c>
      <c r="P4718">
        <v>34</v>
      </c>
      <c r="Q4718" t="s">
        <v>9783</v>
      </c>
    </row>
    <row r="4719" spans="1:17" x14ac:dyDescent="0.3">
      <c r="A4719" t="s">
        <v>4664</v>
      </c>
      <c r="B4719" t="str">
        <f>"300984"</f>
        <v>300984</v>
      </c>
      <c r="C4719" t="s">
        <v>9784</v>
      </c>
      <c r="D4719" t="s">
        <v>560</v>
      </c>
      <c r="F4719">
        <v>117.1344</v>
      </c>
      <c r="P4719">
        <v>18</v>
      </c>
      <c r="Q4719" t="s">
        <v>9785</v>
      </c>
    </row>
    <row r="4720" spans="1:17" x14ac:dyDescent="0.3">
      <c r="A4720" t="s">
        <v>4664</v>
      </c>
      <c r="B4720" t="str">
        <f>"300985"</f>
        <v>300985</v>
      </c>
      <c r="C4720" t="s">
        <v>9786</v>
      </c>
      <c r="D4720" t="s">
        <v>274</v>
      </c>
      <c r="F4720">
        <v>299.60899999999998</v>
      </c>
      <c r="G4720">
        <v>113.01739999999999</v>
      </c>
      <c r="P4720">
        <v>32</v>
      </c>
      <c r="Q4720" t="s">
        <v>9787</v>
      </c>
    </row>
    <row r="4721" spans="1:17" x14ac:dyDescent="0.3">
      <c r="A4721" t="s">
        <v>4664</v>
      </c>
      <c r="B4721" t="str">
        <f>"300986"</f>
        <v>300986</v>
      </c>
      <c r="C4721" t="s">
        <v>9788</v>
      </c>
      <c r="D4721" t="s">
        <v>504</v>
      </c>
      <c r="F4721">
        <v>122.40519999999999</v>
      </c>
      <c r="P4721">
        <v>34</v>
      </c>
      <c r="Q4721" t="s">
        <v>9789</v>
      </c>
    </row>
    <row r="4722" spans="1:17" x14ac:dyDescent="0.3">
      <c r="A4722" t="s">
        <v>4664</v>
      </c>
      <c r="B4722" t="str">
        <f>"300987"</f>
        <v>300987</v>
      </c>
      <c r="C4722" t="s">
        <v>9790</v>
      </c>
      <c r="D4722" t="s">
        <v>522</v>
      </c>
      <c r="F4722">
        <v>0</v>
      </c>
      <c r="P4722">
        <v>24</v>
      </c>
      <c r="Q4722" t="s">
        <v>9791</v>
      </c>
    </row>
    <row r="4723" spans="1:17" x14ac:dyDescent="0.3">
      <c r="A4723" t="s">
        <v>4664</v>
      </c>
      <c r="B4723" t="str">
        <f>"300988"</f>
        <v>300988</v>
      </c>
      <c r="C4723" t="s">
        <v>9792</v>
      </c>
      <c r="D4723" t="s">
        <v>741</v>
      </c>
      <c r="F4723">
        <v>112.7848</v>
      </c>
      <c r="P4723">
        <v>20</v>
      </c>
      <c r="Q4723" t="s">
        <v>9793</v>
      </c>
    </row>
    <row r="4724" spans="1:17" x14ac:dyDescent="0.3">
      <c r="A4724" t="s">
        <v>4664</v>
      </c>
      <c r="B4724" t="str">
        <f>"300989"</f>
        <v>300989</v>
      </c>
      <c r="C4724" t="s">
        <v>9794</v>
      </c>
      <c r="D4724" t="s">
        <v>1272</v>
      </c>
      <c r="F4724">
        <v>0</v>
      </c>
      <c r="P4724">
        <v>32</v>
      </c>
      <c r="Q4724" t="s">
        <v>9795</v>
      </c>
    </row>
    <row r="4725" spans="1:17" x14ac:dyDescent="0.3">
      <c r="A4725" t="s">
        <v>4664</v>
      </c>
      <c r="B4725" t="str">
        <f>"300990"</f>
        <v>300990</v>
      </c>
      <c r="C4725" t="s">
        <v>9796</v>
      </c>
      <c r="D4725" t="s">
        <v>988</v>
      </c>
      <c r="F4725">
        <v>70.580699999999993</v>
      </c>
      <c r="P4725">
        <v>42</v>
      </c>
      <c r="Q4725" t="s">
        <v>9797</v>
      </c>
    </row>
    <row r="4726" spans="1:17" x14ac:dyDescent="0.3">
      <c r="A4726" t="s">
        <v>4664</v>
      </c>
      <c r="B4726" t="str">
        <f>"300991"</f>
        <v>300991</v>
      </c>
      <c r="C4726" t="s">
        <v>9798</v>
      </c>
      <c r="D4726" t="s">
        <v>651</v>
      </c>
      <c r="F4726">
        <v>121.0461</v>
      </c>
      <c r="P4726">
        <v>58</v>
      </c>
      <c r="Q4726" t="s">
        <v>9799</v>
      </c>
    </row>
    <row r="4727" spans="1:17" x14ac:dyDescent="0.3">
      <c r="A4727" t="s">
        <v>4664</v>
      </c>
      <c r="B4727" t="str">
        <f>"300992"</f>
        <v>300992</v>
      </c>
      <c r="C4727" t="s">
        <v>9800</v>
      </c>
      <c r="D4727" t="s">
        <v>560</v>
      </c>
      <c r="F4727">
        <v>200.30680000000001</v>
      </c>
      <c r="G4727">
        <v>211.71520000000001</v>
      </c>
      <c r="P4727">
        <v>26</v>
      </c>
      <c r="Q4727" t="s">
        <v>9801</v>
      </c>
    </row>
    <row r="4728" spans="1:17" x14ac:dyDescent="0.3">
      <c r="A4728" t="s">
        <v>4664</v>
      </c>
      <c r="B4728" t="str">
        <f>"300993"</f>
        <v>300993</v>
      </c>
      <c r="C4728" t="s">
        <v>9802</v>
      </c>
      <c r="D4728" t="s">
        <v>2436</v>
      </c>
      <c r="F4728">
        <v>162.7079</v>
      </c>
      <c r="P4728">
        <v>31</v>
      </c>
      <c r="Q4728" t="s">
        <v>9803</v>
      </c>
    </row>
    <row r="4729" spans="1:17" x14ac:dyDescent="0.3">
      <c r="A4729" t="s">
        <v>4664</v>
      </c>
      <c r="B4729" t="str">
        <f>"300994"</f>
        <v>300994</v>
      </c>
      <c r="C4729" t="s">
        <v>9804</v>
      </c>
      <c r="D4729" t="s">
        <v>233</v>
      </c>
      <c r="F4729">
        <v>22.137699999999999</v>
      </c>
      <c r="P4729">
        <v>21</v>
      </c>
      <c r="Q4729" t="s">
        <v>9805</v>
      </c>
    </row>
    <row r="4730" spans="1:17" x14ac:dyDescent="0.3">
      <c r="A4730" t="s">
        <v>4664</v>
      </c>
      <c r="B4730" t="str">
        <f>"300995"</f>
        <v>300995</v>
      </c>
      <c r="C4730" t="s">
        <v>9806</v>
      </c>
      <c r="D4730" t="s">
        <v>341</v>
      </c>
      <c r="F4730">
        <v>107.6563</v>
      </c>
      <c r="P4730">
        <v>26</v>
      </c>
      <c r="Q4730" t="s">
        <v>9807</v>
      </c>
    </row>
    <row r="4731" spans="1:17" x14ac:dyDescent="0.3">
      <c r="A4731" t="s">
        <v>4664</v>
      </c>
      <c r="B4731" t="str">
        <f>"300996"</f>
        <v>300996</v>
      </c>
      <c r="C4731" t="s">
        <v>9808</v>
      </c>
      <c r="D4731" t="s">
        <v>945</v>
      </c>
      <c r="F4731">
        <v>290.25409999999999</v>
      </c>
      <c r="P4731">
        <v>42</v>
      </c>
      <c r="Q4731" t="s">
        <v>9809</v>
      </c>
    </row>
    <row r="4732" spans="1:17" x14ac:dyDescent="0.3">
      <c r="A4732" t="s">
        <v>4664</v>
      </c>
      <c r="B4732" t="str">
        <f>"300997"</f>
        <v>300997</v>
      </c>
      <c r="C4732" t="s">
        <v>9810</v>
      </c>
      <c r="D4732" t="s">
        <v>440</v>
      </c>
      <c r="F4732">
        <v>70.256500000000003</v>
      </c>
      <c r="P4732">
        <v>39</v>
      </c>
      <c r="Q4732" t="s">
        <v>9811</v>
      </c>
    </row>
    <row r="4733" spans="1:17" x14ac:dyDescent="0.3">
      <c r="A4733" t="s">
        <v>4664</v>
      </c>
      <c r="B4733" t="str">
        <f>"300998"</f>
        <v>300998</v>
      </c>
      <c r="C4733" t="s">
        <v>9812</v>
      </c>
      <c r="D4733" t="s">
        <v>985</v>
      </c>
      <c r="F4733">
        <v>323.06400000000002</v>
      </c>
      <c r="P4733">
        <v>26</v>
      </c>
      <c r="Q4733" t="s">
        <v>9813</v>
      </c>
    </row>
    <row r="4734" spans="1:17" x14ac:dyDescent="0.3">
      <c r="A4734" t="s">
        <v>4664</v>
      </c>
      <c r="B4734" t="str">
        <f>"300999"</f>
        <v>300999</v>
      </c>
      <c r="C4734" t="s">
        <v>9814</v>
      </c>
      <c r="D4734" t="s">
        <v>306</v>
      </c>
      <c r="F4734">
        <v>94.510400000000004</v>
      </c>
      <c r="G4734">
        <v>98.403800000000004</v>
      </c>
      <c r="H4734">
        <v>59.991300000000003</v>
      </c>
      <c r="P4734">
        <v>1181</v>
      </c>
      <c r="Q4734" t="s">
        <v>9815</v>
      </c>
    </row>
    <row r="4735" spans="1:17" x14ac:dyDescent="0.3">
      <c r="A4735" t="s">
        <v>4664</v>
      </c>
      <c r="B4735" t="str">
        <f>"301000"</f>
        <v>301000</v>
      </c>
      <c r="C4735" t="s">
        <v>9816</v>
      </c>
      <c r="D4735" t="s">
        <v>985</v>
      </c>
      <c r="F4735">
        <v>93.923199999999994</v>
      </c>
      <c r="P4735">
        <v>25</v>
      </c>
      <c r="Q4735" t="s">
        <v>9817</v>
      </c>
    </row>
    <row r="4736" spans="1:17" x14ac:dyDescent="0.3">
      <c r="A4736" t="s">
        <v>4664</v>
      </c>
      <c r="B4736" t="str">
        <f>"301001"</f>
        <v>301001</v>
      </c>
      <c r="C4736" t="s">
        <v>9818</v>
      </c>
      <c r="D4736" t="s">
        <v>3590</v>
      </c>
      <c r="F4736">
        <v>122.70050000000001</v>
      </c>
      <c r="G4736">
        <v>100.3381</v>
      </c>
      <c r="P4736">
        <v>23</v>
      </c>
      <c r="Q4736" t="s">
        <v>9819</v>
      </c>
    </row>
    <row r="4737" spans="1:17" x14ac:dyDescent="0.3">
      <c r="A4737" t="s">
        <v>4664</v>
      </c>
      <c r="B4737" t="str">
        <f>"301002"</f>
        <v>301002</v>
      </c>
      <c r="C4737" t="s">
        <v>9820</v>
      </c>
      <c r="D4737" t="s">
        <v>210</v>
      </c>
      <c r="F4737">
        <v>85.921599999999998</v>
      </c>
      <c r="P4737">
        <v>43</v>
      </c>
      <c r="Q4737" t="s">
        <v>9821</v>
      </c>
    </row>
    <row r="4738" spans="1:17" x14ac:dyDescent="0.3">
      <c r="A4738" t="s">
        <v>4664</v>
      </c>
      <c r="B4738" t="str">
        <f>"301003"</f>
        <v>301003</v>
      </c>
      <c r="C4738" t="s">
        <v>9822</v>
      </c>
      <c r="D4738" t="s">
        <v>341</v>
      </c>
      <c r="F4738">
        <v>110.36709999999999</v>
      </c>
      <c r="P4738">
        <v>31</v>
      </c>
      <c r="Q4738" t="s">
        <v>9823</v>
      </c>
    </row>
    <row r="4739" spans="1:17" x14ac:dyDescent="0.3">
      <c r="A4739" t="s">
        <v>4664</v>
      </c>
      <c r="B4739" t="str">
        <f>"301004"</f>
        <v>301004</v>
      </c>
      <c r="C4739" t="s">
        <v>9824</v>
      </c>
      <c r="D4739" t="s">
        <v>2436</v>
      </c>
      <c r="F4739">
        <v>113.65260000000001</v>
      </c>
      <c r="P4739">
        <v>25</v>
      </c>
      <c r="Q4739" t="s">
        <v>9825</v>
      </c>
    </row>
    <row r="4740" spans="1:17" x14ac:dyDescent="0.3">
      <c r="A4740" t="s">
        <v>4664</v>
      </c>
      <c r="B4740" t="str">
        <f>"301005"</f>
        <v>301005</v>
      </c>
      <c r="C4740" t="s">
        <v>9826</v>
      </c>
      <c r="D4740" t="s">
        <v>985</v>
      </c>
      <c r="F4740">
        <v>185.68520000000001</v>
      </c>
      <c r="P4740">
        <v>23</v>
      </c>
      <c r="Q4740" t="s">
        <v>9827</v>
      </c>
    </row>
    <row r="4741" spans="1:17" x14ac:dyDescent="0.3">
      <c r="A4741" t="s">
        <v>4664</v>
      </c>
      <c r="B4741" t="str">
        <f>"301006"</f>
        <v>301006</v>
      </c>
      <c r="C4741" t="s">
        <v>9828</v>
      </c>
      <c r="D4741" t="s">
        <v>2551</v>
      </c>
      <c r="F4741">
        <v>279.30689999999998</v>
      </c>
      <c r="P4741">
        <v>50</v>
      </c>
      <c r="Q4741" t="s">
        <v>9829</v>
      </c>
    </row>
    <row r="4742" spans="1:17" x14ac:dyDescent="0.3">
      <c r="A4742" t="s">
        <v>4664</v>
      </c>
      <c r="B4742" t="str">
        <f>"301007"</f>
        <v>301007</v>
      </c>
      <c r="C4742" t="s">
        <v>9830</v>
      </c>
      <c r="D4742" t="s">
        <v>348</v>
      </c>
      <c r="F4742">
        <v>113.92100000000001</v>
      </c>
      <c r="P4742">
        <v>44</v>
      </c>
      <c r="Q4742" t="s">
        <v>9831</v>
      </c>
    </row>
    <row r="4743" spans="1:17" x14ac:dyDescent="0.3">
      <c r="A4743" t="s">
        <v>4664</v>
      </c>
      <c r="B4743" t="str">
        <f>"301008"</f>
        <v>301008</v>
      </c>
      <c r="C4743" t="s">
        <v>9832</v>
      </c>
      <c r="D4743" t="s">
        <v>1253</v>
      </c>
      <c r="F4743">
        <v>88.316800000000001</v>
      </c>
      <c r="P4743">
        <v>36</v>
      </c>
      <c r="Q4743" t="s">
        <v>9833</v>
      </c>
    </row>
    <row r="4744" spans="1:17" x14ac:dyDescent="0.3">
      <c r="A4744" t="s">
        <v>4664</v>
      </c>
      <c r="B4744" t="str">
        <f>"301009"</f>
        <v>301009</v>
      </c>
      <c r="C4744" t="s">
        <v>9834</v>
      </c>
      <c r="D4744" t="s">
        <v>2728</v>
      </c>
      <c r="F4744">
        <v>75.110299999999995</v>
      </c>
      <c r="P4744">
        <v>59</v>
      </c>
      <c r="Q4744" t="s">
        <v>9835</v>
      </c>
    </row>
    <row r="4745" spans="1:17" x14ac:dyDescent="0.3">
      <c r="A4745" t="s">
        <v>4664</v>
      </c>
      <c r="B4745" t="str">
        <f>"301010"</f>
        <v>301010</v>
      </c>
      <c r="C4745" t="s">
        <v>9836</v>
      </c>
      <c r="D4745" t="s">
        <v>722</v>
      </c>
      <c r="F4745">
        <v>497.55410000000001</v>
      </c>
      <c r="P4745">
        <v>33</v>
      </c>
      <c r="Q4745" t="s">
        <v>9837</v>
      </c>
    </row>
    <row r="4746" spans="1:17" x14ac:dyDescent="0.3">
      <c r="A4746" t="s">
        <v>4664</v>
      </c>
      <c r="B4746" t="str">
        <f>"301011"</f>
        <v>301011</v>
      </c>
      <c r="C4746" t="s">
        <v>9838</v>
      </c>
      <c r="D4746" t="s">
        <v>741</v>
      </c>
      <c r="F4746">
        <v>235.0051</v>
      </c>
      <c r="P4746">
        <v>28</v>
      </c>
      <c r="Q4746" t="s">
        <v>9839</v>
      </c>
    </row>
    <row r="4747" spans="1:17" x14ac:dyDescent="0.3">
      <c r="A4747" t="s">
        <v>4664</v>
      </c>
      <c r="B4747" t="str">
        <f>"301012"</f>
        <v>301012</v>
      </c>
      <c r="C4747" t="s">
        <v>9840</v>
      </c>
      <c r="D4747" t="s">
        <v>210</v>
      </c>
      <c r="F4747">
        <v>115.2715</v>
      </c>
      <c r="P4747">
        <v>23</v>
      </c>
      <c r="Q4747" t="s">
        <v>9841</v>
      </c>
    </row>
    <row r="4748" spans="1:17" x14ac:dyDescent="0.3">
      <c r="A4748" t="s">
        <v>4664</v>
      </c>
      <c r="B4748" t="str">
        <f>"301013"</f>
        <v>301013</v>
      </c>
      <c r="C4748" t="s">
        <v>9842</v>
      </c>
      <c r="D4748" t="s">
        <v>741</v>
      </c>
      <c r="F4748">
        <v>262.7115</v>
      </c>
      <c r="G4748">
        <v>350.04610000000002</v>
      </c>
      <c r="P4748">
        <v>20</v>
      </c>
      <c r="Q4748" t="s">
        <v>9843</v>
      </c>
    </row>
    <row r="4749" spans="1:17" x14ac:dyDescent="0.3">
      <c r="A4749" t="s">
        <v>4664</v>
      </c>
      <c r="B4749" t="str">
        <f>"301015"</f>
        <v>301015</v>
      </c>
      <c r="C4749" t="s">
        <v>9844</v>
      </c>
      <c r="D4749" t="s">
        <v>125</v>
      </c>
      <c r="F4749">
        <v>54.220799999999997</v>
      </c>
      <c r="P4749">
        <v>45</v>
      </c>
      <c r="Q4749" t="s">
        <v>9845</v>
      </c>
    </row>
    <row r="4750" spans="1:17" x14ac:dyDescent="0.3">
      <c r="A4750" t="s">
        <v>4664</v>
      </c>
      <c r="B4750" t="str">
        <f>"301016"</f>
        <v>301016</v>
      </c>
      <c r="C4750" t="s">
        <v>9846</v>
      </c>
      <c r="D4750" t="s">
        <v>1012</v>
      </c>
      <c r="F4750">
        <v>220.41659999999999</v>
      </c>
      <c r="P4750">
        <v>35</v>
      </c>
      <c r="Q4750" t="s">
        <v>9847</v>
      </c>
    </row>
    <row r="4751" spans="1:17" x14ac:dyDescent="0.3">
      <c r="A4751" t="s">
        <v>4664</v>
      </c>
      <c r="B4751" t="str">
        <f>"301017"</f>
        <v>301017</v>
      </c>
      <c r="C4751" t="s">
        <v>9848</v>
      </c>
      <c r="D4751" t="s">
        <v>1684</v>
      </c>
      <c r="F4751">
        <v>143.20240000000001</v>
      </c>
      <c r="P4751">
        <v>36</v>
      </c>
      <c r="Q4751" t="s">
        <v>9849</v>
      </c>
    </row>
    <row r="4752" spans="1:17" x14ac:dyDescent="0.3">
      <c r="A4752" t="s">
        <v>4664</v>
      </c>
      <c r="B4752" t="str">
        <f>"301018"</f>
        <v>301018</v>
      </c>
      <c r="C4752" t="s">
        <v>9850</v>
      </c>
      <c r="D4752" t="s">
        <v>988</v>
      </c>
      <c r="F4752">
        <v>287.48200000000003</v>
      </c>
      <c r="P4752">
        <v>37</v>
      </c>
      <c r="Q4752" t="s">
        <v>9851</v>
      </c>
    </row>
    <row r="4753" spans="1:17" x14ac:dyDescent="0.3">
      <c r="A4753" t="s">
        <v>4664</v>
      </c>
      <c r="B4753" t="str">
        <f>"301019"</f>
        <v>301019</v>
      </c>
      <c r="C4753" t="s">
        <v>9852</v>
      </c>
      <c r="D4753" t="s">
        <v>1192</v>
      </c>
      <c r="F4753">
        <v>135.89940000000001</v>
      </c>
      <c r="P4753">
        <v>39</v>
      </c>
      <c r="Q4753" t="s">
        <v>9853</v>
      </c>
    </row>
    <row r="4754" spans="1:17" x14ac:dyDescent="0.3">
      <c r="A4754" t="s">
        <v>4664</v>
      </c>
      <c r="B4754" t="str">
        <f>"301020"</f>
        <v>301020</v>
      </c>
      <c r="C4754" t="s">
        <v>9854</v>
      </c>
      <c r="D4754" t="s">
        <v>348</v>
      </c>
      <c r="F4754">
        <v>144.66409999999999</v>
      </c>
      <c r="P4754">
        <v>54</v>
      </c>
      <c r="Q4754" t="s">
        <v>9855</v>
      </c>
    </row>
    <row r="4755" spans="1:17" x14ac:dyDescent="0.3">
      <c r="A4755" t="s">
        <v>4664</v>
      </c>
      <c r="B4755" t="str">
        <f>"301021"</f>
        <v>301021</v>
      </c>
      <c r="C4755" t="s">
        <v>9856</v>
      </c>
      <c r="D4755" t="s">
        <v>3784</v>
      </c>
      <c r="F4755">
        <v>474.29289999999997</v>
      </c>
      <c r="P4755">
        <v>35</v>
      </c>
      <c r="Q4755" t="s">
        <v>9857</v>
      </c>
    </row>
    <row r="4756" spans="1:17" x14ac:dyDescent="0.3">
      <c r="A4756" t="s">
        <v>4664</v>
      </c>
      <c r="B4756" t="str">
        <f>"301022"</f>
        <v>301022</v>
      </c>
      <c r="C4756" t="s">
        <v>9858</v>
      </c>
      <c r="D4756" t="s">
        <v>985</v>
      </c>
      <c r="F4756">
        <v>309.91930000000002</v>
      </c>
      <c r="P4756">
        <v>24</v>
      </c>
      <c r="Q4756" t="s">
        <v>9859</v>
      </c>
    </row>
    <row r="4757" spans="1:17" x14ac:dyDescent="0.3">
      <c r="A4757" t="s">
        <v>4664</v>
      </c>
      <c r="B4757" t="str">
        <f>"301023"</f>
        <v>301023</v>
      </c>
      <c r="C4757" t="s">
        <v>9860</v>
      </c>
      <c r="D4757" t="s">
        <v>1171</v>
      </c>
      <c r="F4757">
        <v>96.988</v>
      </c>
      <c r="P4757">
        <v>22</v>
      </c>
      <c r="Q4757" t="s">
        <v>9861</v>
      </c>
    </row>
    <row r="4758" spans="1:17" x14ac:dyDescent="0.3">
      <c r="A4758" t="s">
        <v>4664</v>
      </c>
      <c r="B4758" t="str">
        <f>"301024"</f>
        <v>301024</v>
      </c>
      <c r="C4758" t="s">
        <v>9862</v>
      </c>
      <c r="D4758" t="s">
        <v>1272</v>
      </c>
      <c r="F4758">
        <v>0</v>
      </c>
      <c r="P4758">
        <v>22</v>
      </c>
      <c r="Q4758" t="s">
        <v>9863</v>
      </c>
    </row>
    <row r="4759" spans="1:17" x14ac:dyDescent="0.3">
      <c r="A4759" t="s">
        <v>4664</v>
      </c>
      <c r="B4759" t="str">
        <f>"301025"</f>
        <v>301025</v>
      </c>
      <c r="C4759" t="s">
        <v>9864</v>
      </c>
      <c r="D4759" t="s">
        <v>525</v>
      </c>
      <c r="F4759">
        <v>221.50210000000001</v>
      </c>
      <c r="P4759">
        <v>24</v>
      </c>
      <c r="Q4759" t="s">
        <v>9865</v>
      </c>
    </row>
    <row r="4760" spans="1:17" x14ac:dyDescent="0.3">
      <c r="A4760" t="s">
        <v>4664</v>
      </c>
      <c r="B4760" t="str">
        <f>"301026"</f>
        <v>301026</v>
      </c>
      <c r="C4760" t="s">
        <v>9866</v>
      </c>
      <c r="D4760" t="s">
        <v>636</v>
      </c>
      <c r="F4760">
        <v>95.187399999999997</v>
      </c>
      <c r="P4760">
        <v>41</v>
      </c>
      <c r="Q4760" t="s">
        <v>9867</v>
      </c>
    </row>
    <row r="4761" spans="1:17" x14ac:dyDescent="0.3">
      <c r="A4761" t="s">
        <v>4664</v>
      </c>
      <c r="B4761" t="str">
        <f>"301027"</f>
        <v>301027</v>
      </c>
      <c r="C4761" t="s">
        <v>9868</v>
      </c>
      <c r="D4761" t="s">
        <v>1272</v>
      </c>
      <c r="F4761">
        <v>0</v>
      </c>
      <c r="P4761">
        <v>25</v>
      </c>
      <c r="Q4761" t="s">
        <v>9869</v>
      </c>
    </row>
    <row r="4762" spans="1:17" x14ac:dyDescent="0.3">
      <c r="A4762" t="s">
        <v>4664</v>
      </c>
      <c r="B4762" t="str">
        <f>"301028"</f>
        <v>301028</v>
      </c>
      <c r="C4762" t="s">
        <v>9870</v>
      </c>
      <c r="D4762" t="s">
        <v>560</v>
      </c>
      <c r="F4762">
        <v>111.9413</v>
      </c>
      <c r="G4762">
        <v>123.1806</v>
      </c>
      <c r="P4762">
        <v>53</v>
      </c>
      <c r="Q4762" t="s">
        <v>9871</v>
      </c>
    </row>
    <row r="4763" spans="1:17" x14ac:dyDescent="0.3">
      <c r="A4763" t="s">
        <v>4664</v>
      </c>
      <c r="B4763" t="str">
        <f>"301029"</f>
        <v>301029</v>
      </c>
      <c r="C4763" t="s">
        <v>9872</v>
      </c>
      <c r="D4763" t="s">
        <v>3450</v>
      </c>
      <c r="F4763">
        <v>141.16059999999999</v>
      </c>
      <c r="P4763">
        <v>67</v>
      </c>
      <c r="Q4763" t="s">
        <v>9873</v>
      </c>
    </row>
    <row r="4764" spans="1:17" x14ac:dyDescent="0.3">
      <c r="A4764" t="s">
        <v>4664</v>
      </c>
      <c r="B4764" t="str">
        <f>"301030"</f>
        <v>301030</v>
      </c>
      <c r="C4764" t="s">
        <v>9874</v>
      </c>
      <c r="D4764" t="s">
        <v>1070</v>
      </c>
      <c r="F4764">
        <v>297.71550000000002</v>
      </c>
      <c r="H4764">
        <v>154.86859999999999</v>
      </c>
      <c r="P4764">
        <v>19</v>
      </c>
      <c r="Q4764" t="s">
        <v>9875</v>
      </c>
    </row>
    <row r="4765" spans="1:17" x14ac:dyDescent="0.3">
      <c r="A4765" t="s">
        <v>4664</v>
      </c>
      <c r="B4765" t="str">
        <f>"301031"</f>
        <v>301031</v>
      </c>
      <c r="C4765" t="s">
        <v>9876</v>
      </c>
      <c r="D4765" t="s">
        <v>651</v>
      </c>
      <c r="F4765">
        <v>151.3853</v>
      </c>
      <c r="P4765">
        <v>77</v>
      </c>
      <c r="Q4765" t="s">
        <v>9877</v>
      </c>
    </row>
    <row r="4766" spans="1:17" x14ac:dyDescent="0.3">
      <c r="A4766" t="s">
        <v>4664</v>
      </c>
      <c r="B4766" t="str">
        <f>"301032"</f>
        <v>301032</v>
      </c>
      <c r="C4766" t="s">
        <v>9878</v>
      </c>
      <c r="D4766" t="s">
        <v>560</v>
      </c>
      <c r="F4766">
        <v>71.232699999999994</v>
      </c>
      <c r="P4766">
        <v>19</v>
      </c>
      <c r="Q4766" t="s">
        <v>9879</v>
      </c>
    </row>
    <row r="4767" spans="1:17" x14ac:dyDescent="0.3">
      <c r="A4767" t="s">
        <v>4664</v>
      </c>
      <c r="B4767" t="str">
        <f>"301033"</f>
        <v>301033</v>
      </c>
      <c r="C4767" t="s">
        <v>9880</v>
      </c>
      <c r="D4767" t="s">
        <v>1077</v>
      </c>
      <c r="F4767">
        <v>315.84379999999999</v>
      </c>
      <c r="G4767">
        <v>474.85289999999998</v>
      </c>
      <c r="P4767">
        <v>31</v>
      </c>
      <c r="Q4767" t="s">
        <v>9881</v>
      </c>
    </row>
    <row r="4768" spans="1:17" x14ac:dyDescent="0.3">
      <c r="A4768" t="s">
        <v>4664</v>
      </c>
      <c r="B4768" t="str">
        <f>"301035"</f>
        <v>301035</v>
      </c>
      <c r="C4768" t="s">
        <v>9882</v>
      </c>
      <c r="D4768" t="s">
        <v>853</v>
      </c>
      <c r="F4768">
        <v>80.403999999999996</v>
      </c>
      <c r="P4768">
        <v>40</v>
      </c>
      <c r="Q4768" t="s">
        <v>9883</v>
      </c>
    </row>
    <row r="4769" spans="1:17" x14ac:dyDescent="0.3">
      <c r="A4769" t="s">
        <v>4664</v>
      </c>
      <c r="B4769" t="str">
        <f>"301036"</f>
        <v>301036</v>
      </c>
      <c r="C4769" t="s">
        <v>9884</v>
      </c>
      <c r="D4769" t="s">
        <v>2570</v>
      </c>
      <c r="F4769">
        <v>50.083599999999997</v>
      </c>
      <c r="P4769">
        <v>20</v>
      </c>
      <c r="Q4769" t="s">
        <v>9885</v>
      </c>
    </row>
    <row r="4770" spans="1:17" x14ac:dyDescent="0.3">
      <c r="A4770" t="s">
        <v>4664</v>
      </c>
      <c r="B4770" t="str">
        <f>"301037"</f>
        <v>301037</v>
      </c>
      <c r="C4770" t="s">
        <v>9886</v>
      </c>
      <c r="D4770" t="s">
        <v>2570</v>
      </c>
      <c r="F4770">
        <v>27.383299999999998</v>
      </c>
      <c r="P4770">
        <v>13</v>
      </c>
      <c r="Q4770" t="s">
        <v>9887</v>
      </c>
    </row>
    <row r="4771" spans="1:17" x14ac:dyDescent="0.3">
      <c r="A4771" t="s">
        <v>4664</v>
      </c>
      <c r="B4771" t="str">
        <f>"301038"</f>
        <v>301038</v>
      </c>
      <c r="C4771" t="s">
        <v>9888</v>
      </c>
      <c r="D4771" t="s">
        <v>1272</v>
      </c>
      <c r="F4771">
        <v>4.9348000000000001</v>
      </c>
      <c r="P4771">
        <v>21</v>
      </c>
      <c r="Q4771" t="s">
        <v>9889</v>
      </c>
    </row>
    <row r="4772" spans="1:17" x14ac:dyDescent="0.3">
      <c r="A4772" t="s">
        <v>4664</v>
      </c>
      <c r="B4772" t="str">
        <f>"301039"</f>
        <v>301039</v>
      </c>
      <c r="C4772" t="s">
        <v>9890</v>
      </c>
      <c r="D4772" t="s">
        <v>27</v>
      </c>
      <c r="F4772">
        <v>76.039900000000003</v>
      </c>
      <c r="P4772">
        <v>35</v>
      </c>
      <c r="Q4772" t="s">
        <v>9891</v>
      </c>
    </row>
    <row r="4773" spans="1:17" x14ac:dyDescent="0.3">
      <c r="A4773" t="s">
        <v>4664</v>
      </c>
      <c r="B4773" t="str">
        <f>"301040"</f>
        <v>301040</v>
      </c>
      <c r="C4773" t="s">
        <v>9892</v>
      </c>
      <c r="D4773" t="s">
        <v>950</v>
      </c>
      <c r="F4773">
        <v>100.188</v>
      </c>
      <c r="P4773">
        <v>22</v>
      </c>
      <c r="Q4773" t="s">
        <v>9893</v>
      </c>
    </row>
    <row r="4774" spans="1:17" x14ac:dyDescent="0.3">
      <c r="A4774" t="s">
        <v>4664</v>
      </c>
      <c r="B4774" t="str">
        <f>"301041"</f>
        <v>301041</v>
      </c>
      <c r="C4774" t="s">
        <v>9894</v>
      </c>
      <c r="D4774" t="s">
        <v>425</v>
      </c>
      <c r="F4774">
        <v>52.271000000000001</v>
      </c>
      <c r="P4774">
        <v>31</v>
      </c>
      <c r="Q4774" t="s">
        <v>9895</v>
      </c>
    </row>
    <row r="4775" spans="1:17" x14ac:dyDescent="0.3">
      <c r="A4775" t="s">
        <v>4664</v>
      </c>
      <c r="B4775" t="str">
        <f>"301042"</f>
        <v>301042</v>
      </c>
      <c r="C4775" t="s">
        <v>9896</v>
      </c>
      <c r="D4775" t="s">
        <v>2953</v>
      </c>
      <c r="F4775">
        <v>154.01599999999999</v>
      </c>
      <c r="P4775">
        <v>14</v>
      </c>
      <c r="Q4775" t="s">
        <v>9897</v>
      </c>
    </row>
    <row r="4776" spans="1:17" x14ac:dyDescent="0.3">
      <c r="A4776" t="s">
        <v>4664</v>
      </c>
      <c r="B4776" t="str">
        <f>"301043"</f>
        <v>301043</v>
      </c>
      <c r="C4776" t="s">
        <v>9898</v>
      </c>
      <c r="D4776" t="s">
        <v>560</v>
      </c>
      <c r="F4776">
        <v>138.47399999999999</v>
      </c>
      <c r="P4776">
        <v>18</v>
      </c>
      <c r="Q4776" t="s">
        <v>9899</v>
      </c>
    </row>
    <row r="4777" spans="1:17" x14ac:dyDescent="0.3">
      <c r="A4777" t="s">
        <v>4664</v>
      </c>
      <c r="B4777" t="str">
        <f>"301045"</f>
        <v>301045</v>
      </c>
      <c r="C4777" t="s">
        <v>9900</v>
      </c>
      <c r="D4777" t="s">
        <v>164</v>
      </c>
      <c r="F4777">
        <v>84.615799999999993</v>
      </c>
      <c r="G4777">
        <v>97.8857</v>
      </c>
      <c r="P4777">
        <v>17</v>
      </c>
      <c r="Q4777" t="s">
        <v>9901</v>
      </c>
    </row>
    <row r="4778" spans="1:17" x14ac:dyDescent="0.3">
      <c r="A4778" t="s">
        <v>4664</v>
      </c>
      <c r="B4778" t="str">
        <f>"301046"</f>
        <v>301046</v>
      </c>
      <c r="C4778" t="s">
        <v>9902</v>
      </c>
      <c r="D4778" t="s">
        <v>1986</v>
      </c>
      <c r="F4778">
        <v>30.138000000000002</v>
      </c>
      <c r="G4778">
        <v>170.45580000000001</v>
      </c>
      <c r="P4778">
        <v>33</v>
      </c>
      <c r="Q4778" t="s">
        <v>9903</v>
      </c>
    </row>
    <row r="4779" spans="1:17" x14ac:dyDescent="0.3">
      <c r="A4779" t="s">
        <v>4664</v>
      </c>
      <c r="B4779" t="str">
        <f>"301047"</f>
        <v>301047</v>
      </c>
      <c r="C4779" t="s">
        <v>9904</v>
      </c>
      <c r="D4779" t="s">
        <v>1461</v>
      </c>
      <c r="F4779">
        <v>178.25049999999999</v>
      </c>
      <c r="G4779">
        <v>127.6884</v>
      </c>
      <c r="P4779">
        <v>71</v>
      </c>
      <c r="Q4779" t="s">
        <v>9905</v>
      </c>
    </row>
    <row r="4780" spans="1:17" x14ac:dyDescent="0.3">
      <c r="A4780" t="s">
        <v>4664</v>
      </c>
      <c r="B4780" t="str">
        <f>"301048"</f>
        <v>301048</v>
      </c>
      <c r="C4780" t="s">
        <v>9906</v>
      </c>
      <c r="D4780" t="s">
        <v>1012</v>
      </c>
      <c r="F4780">
        <v>351.01150000000001</v>
      </c>
      <c r="P4780">
        <v>16</v>
      </c>
      <c r="Q4780" t="s">
        <v>9907</v>
      </c>
    </row>
    <row r="4781" spans="1:17" x14ac:dyDescent="0.3">
      <c r="A4781" t="s">
        <v>4664</v>
      </c>
      <c r="B4781" t="str">
        <f>"301049"</f>
        <v>301049</v>
      </c>
      <c r="C4781" t="s">
        <v>9908</v>
      </c>
      <c r="D4781" t="s">
        <v>499</v>
      </c>
      <c r="F4781">
        <v>41.491599999999998</v>
      </c>
      <c r="P4781">
        <v>26</v>
      </c>
      <c r="Q4781" t="s">
        <v>9909</v>
      </c>
    </row>
    <row r="4782" spans="1:17" x14ac:dyDescent="0.3">
      <c r="A4782" t="s">
        <v>4664</v>
      </c>
      <c r="B4782" t="str">
        <f>"301050"</f>
        <v>301050</v>
      </c>
      <c r="C4782" t="s">
        <v>9910</v>
      </c>
      <c r="D4782" t="s">
        <v>1136</v>
      </c>
      <c r="F4782">
        <v>512.83749999999998</v>
      </c>
      <c r="G4782">
        <v>956.06690000000003</v>
      </c>
      <c r="P4782">
        <v>31</v>
      </c>
      <c r="Q4782" t="s">
        <v>9911</v>
      </c>
    </row>
    <row r="4783" spans="1:17" x14ac:dyDescent="0.3">
      <c r="A4783" t="s">
        <v>4664</v>
      </c>
      <c r="B4783" t="str">
        <f>"301051"</f>
        <v>301051</v>
      </c>
      <c r="C4783" t="s">
        <v>9912</v>
      </c>
      <c r="D4783" t="s">
        <v>313</v>
      </c>
      <c r="F4783">
        <v>75.596900000000005</v>
      </c>
      <c r="P4783">
        <v>18</v>
      </c>
      <c r="Q4783" t="s">
        <v>9913</v>
      </c>
    </row>
    <row r="4784" spans="1:17" x14ac:dyDescent="0.3">
      <c r="A4784" t="s">
        <v>4664</v>
      </c>
      <c r="B4784" t="str">
        <f>"301052"</f>
        <v>301052</v>
      </c>
      <c r="C4784" t="s">
        <v>9914</v>
      </c>
      <c r="D4784" t="s">
        <v>525</v>
      </c>
      <c r="F4784">
        <v>237.63460000000001</v>
      </c>
      <c r="P4784">
        <v>16</v>
      </c>
      <c r="Q4784" t="s">
        <v>9915</v>
      </c>
    </row>
    <row r="4785" spans="1:17" x14ac:dyDescent="0.3">
      <c r="A4785" t="s">
        <v>4664</v>
      </c>
      <c r="B4785" t="str">
        <f>"301053"</f>
        <v>301053</v>
      </c>
      <c r="C4785" t="s">
        <v>9916</v>
      </c>
      <c r="D4785" t="s">
        <v>534</v>
      </c>
      <c r="F4785">
        <v>195.7132</v>
      </c>
      <c r="P4785">
        <v>24</v>
      </c>
      <c r="Q4785" t="s">
        <v>9917</v>
      </c>
    </row>
    <row r="4786" spans="1:17" x14ac:dyDescent="0.3">
      <c r="A4786" t="s">
        <v>4664</v>
      </c>
      <c r="B4786" t="str">
        <f>"301055"</f>
        <v>301055</v>
      </c>
      <c r="C4786" t="s">
        <v>9918</v>
      </c>
      <c r="D4786" t="s">
        <v>2436</v>
      </c>
      <c r="F4786">
        <v>147.9562</v>
      </c>
      <c r="P4786">
        <v>28</v>
      </c>
      <c r="Q4786" t="s">
        <v>9919</v>
      </c>
    </row>
    <row r="4787" spans="1:17" x14ac:dyDescent="0.3">
      <c r="A4787" t="s">
        <v>4664</v>
      </c>
      <c r="B4787" t="str">
        <f>"301056"</f>
        <v>301056</v>
      </c>
      <c r="C4787" t="s">
        <v>9920</v>
      </c>
      <c r="D4787" t="s">
        <v>1689</v>
      </c>
      <c r="F4787">
        <v>110.5523</v>
      </c>
      <c r="P4787">
        <v>16</v>
      </c>
      <c r="Q4787" t="s">
        <v>9921</v>
      </c>
    </row>
    <row r="4788" spans="1:17" x14ac:dyDescent="0.3">
      <c r="A4788" t="s">
        <v>4664</v>
      </c>
      <c r="B4788" t="str">
        <f>"301057"</f>
        <v>301057</v>
      </c>
      <c r="C4788" t="s">
        <v>9922</v>
      </c>
      <c r="D4788" t="s">
        <v>2708</v>
      </c>
      <c r="F4788">
        <v>71.281199999999998</v>
      </c>
      <c r="P4788">
        <v>16</v>
      </c>
      <c r="Q4788" t="s">
        <v>9923</v>
      </c>
    </row>
    <row r="4789" spans="1:17" x14ac:dyDescent="0.3">
      <c r="A4789" t="s">
        <v>4664</v>
      </c>
      <c r="B4789" t="str">
        <f>"301058"</f>
        <v>301058</v>
      </c>
      <c r="C4789" t="s">
        <v>9924</v>
      </c>
      <c r="D4789" t="s">
        <v>1272</v>
      </c>
      <c r="F4789">
        <v>160.85589999999999</v>
      </c>
      <c r="P4789">
        <v>24</v>
      </c>
      <c r="Q4789" t="s">
        <v>9925</v>
      </c>
    </row>
    <row r="4790" spans="1:17" x14ac:dyDescent="0.3">
      <c r="A4790" t="s">
        <v>4664</v>
      </c>
      <c r="B4790" t="str">
        <f>"301059"</f>
        <v>301059</v>
      </c>
      <c r="C4790" t="s">
        <v>9926</v>
      </c>
      <c r="D4790" t="s">
        <v>386</v>
      </c>
      <c r="F4790">
        <v>124.0919</v>
      </c>
      <c r="P4790">
        <v>21</v>
      </c>
      <c r="Q4790" t="s">
        <v>9927</v>
      </c>
    </row>
    <row r="4791" spans="1:17" x14ac:dyDescent="0.3">
      <c r="A4791" t="s">
        <v>4664</v>
      </c>
      <c r="B4791" t="str">
        <f>"301060"</f>
        <v>301060</v>
      </c>
      <c r="C4791" t="s">
        <v>9928</v>
      </c>
      <c r="D4791" t="s">
        <v>2565</v>
      </c>
      <c r="F4791">
        <v>65.070400000000006</v>
      </c>
      <c r="P4791">
        <v>41</v>
      </c>
      <c r="Q4791" t="s">
        <v>9929</v>
      </c>
    </row>
    <row r="4792" spans="1:17" x14ac:dyDescent="0.3">
      <c r="A4792" t="s">
        <v>4664</v>
      </c>
      <c r="B4792" t="str">
        <f>"301061"</f>
        <v>301061</v>
      </c>
      <c r="C4792" t="s">
        <v>9930</v>
      </c>
      <c r="D4792" t="s">
        <v>757</v>
      </c>
      <c r="F4792">
        <v>104.1087</v>
      </c>
      <c r="P4792">
        <v>28</v>
      </c>
      <c r="Q4792" t="s">
        <v>9931</v>
      </c>
    </row>
    <row r="4793" spans="1:17" x14ac:dyDescent="0.3">
      <c r="A4793" t="s">
        <v>4664</v>
      </c>
      <c r="B4793" t="str">
        <f>"301062"</f>
        <v>301062</v>
      </c>
      <c r="C4793" t="s">
        <v>9932</v>
      </c>
      <c r="D4793" t="s">
        <v>2156</v>
      </c>
      <c r="F4793">
        <v>166.68809999999999</v>
      </c>
      <c r="P4793">
        <v>13</v>
      </c>
      <c r="Q4793" t="s">
        <v>9933</v>
      </c>
    </row>
    <row r="4794" spans="1:17" x14ac:dyDescent="0.3">
      <c r="A4794" t="s">
        <v>4664</v>
      </c>
      <c r="B4794" t="str">
        <f>"301063"</f>
        <v>301063</v>
      </c>
      <c r="C4794" t="s">
        <v>9934</v>
      </c>
      <c r="D4794" t="s">
        <v>274</v>
      </c>
      <c r="F4794">
        <v>158.4691</v>
      </c>
      <c r="G4794">
        <v>117.0945</v>
      </c>
      <c r="P4794">
        <v>17</v>
      </c>
      <c r="Q4794" t="s">
        <v>9935</v>
      </c>
    </row>
    <row r="4795" spans="1:17" x14ac:dyDescent="0.3">
      <c r="A4795" t="s">
        <v>4664</v>
      </c>
      <c r="B4795" t="str">
        <f>"301065"</f>
        <v>301065</v>
      </c>
      <c r="C4795" t="s">
        <v>9936</v>
      </c>
      <c r="D4795" t="s">
        <v>386</v>
      </c>
      <c r="F4795">
        <v>76.932299999999998</v>
      </c>
      <c r="P4795">
        <v>12</v>
      </c>
      <c r="Q4795" t="s">
        <v>9937</v>
      </c>
    </row>
    <row r="4796" spans="1:17" x14ac:dyDescent="0.3">
      <c r="A4796" t="s">
        <v>4664</v>
      </c>
      <c r="B4796" t="str">
        <f>"301066"</f>
        <v>301066</v>
      </c>
      <c r="C4796" t="s">
        <v>9938</v>
      </c>
      <c r="D4796" t="s">
        <v>330</v>
      </c>
      <c r="F4796">
        <v>191.78319999999999</v>
      </c>
      <c r="P4796">
        <v>21</v>
      </c>
      <c r="Q4796" t="s">
        <v>9939</v>
      </c>
    </row>
    <row r="4797" spans="1:17" x14ac:dyDescent="0.3">
      <c r="A4797" t="s">
        <v>4664</v>
      </c>
      <c r="B4797" t="str">
        <f>"301067"</f>
        <v>301067</v>
      </c>
      <c r="C4797" t="s">
        <v>9940</v>
      </c>
      <c r="D4797" t="s">
        <v>313</v>
      </c>
      <c r="F4797">
        <v>128.36930000000001</v>
      </c>
      <c r="P4797">
        <v>18</v>
      </c>
      <c r="Q4797" t="s">
        <v>9941</v>
      </c>
    </row>
    <row r="4798" spans="1:17" x14ac:dyDescent="0.3">
      <c r="A4798" t="s">
        <v>4664</v>
      </c>
      <c r="B4798" t="str">
        <f>"301068"</f>
        <v>301068</v>
      </c>
      <c r="C4798" t="s">
        <v>9942</v>
      </c>
      <c r="D4798" t="s">
        <v>499</v>
      </c>
      <c r="F4798">
        <v>22.712700000000002</v>
      </c>
      <c r="P4798">
        <v>14</v>
      </c>
      <c r="Q4798" t="s">
        <v>9943</v>
      </c>
    </row>
    <row r="4799" spans="1:17" x14ac:dyDescent="0.3">
      <c r="A4799" t="s">
        <v>4664</v>
      </c>
      <c r="B4799" t="str">
        <f>"301069"</f>
        <v>301069</v>
      </c>
      <c r="C4799" t="s">
        <v>9944</v>
      </c>
      <c r="D4799" t="s">
        <v>1233</v>
      </c>
      <c r="F4799">
        <v>26.241700000000002</v>
      </c>
      <c r="G4799">
        <v>40.001899999999999</v>
      </c>
      <c r="P4799">
        <v>29</v>
      </c>
      <c r="Q4799" t="s">
        <v>9945</v>
      </c>
    </row>
    <row r="4800" spans="1:17" x14ac:dyDescent="0.3">
      <c r="A4800" t="s">
        <v>4664</v>
      </c>
      <c r="B4800" t="str">
        <f>"301070"</f>
        <v>301070</v>
      </c>
      <c r="C4800" t="s">
        <v>9946</v>
      </c>
      <c r="D4800" t="s">
        <v>560</v>
      </c>
      <c r="F4800">
        <v>94.227900000000005</v>
      </c>
      <c r="P4800">
        <v>19</v>
      </c>
      <c r="Q4800" t="s">
        <v>9947</v>
      </c>
    </row>
    <row r="4801" spans="1:17" x14ac:dyDescent="0.3">
      <c r="A4801" t="s">
        <v>4664</v>
      </c>
      <c r="B4801" t="str">
        <f>"301071"</f>
        <v>301071</v>
      </c>
      <c r="C4801" t="s">
        <v>9948</v>
      </c>
      <c r="D4801" t="s">
        <v>404</v>
      </c>
      <c r="F4801">
        <v>307.904</v>
      </c>
      <c r="G4801">
        <v>391.03320000000002</v>
      </c>
      <c r="P4801">
        <v>76</v>
      </c>
      <c r="Q4801" t="s">
        <v>9949</v>
      </c>
    </row>
    <row r="4802" spans="1:17" x14ac:dyDescent="0.3">
      <c r="A4802" t="s">
        <v>4664</v>
      </c>
      <c r="B4802" t="str">
        <f>"301072"</f>
        <v>301072</v>
      </c>
      <c r="C4802" t="s">
        <v>9950</v>
      </c>
      <c r="D4802" t="s">
        <v>348</v>
      </c>
      <c r="F4802">
        <v>130.7062</v>
      </c>
      <c r="P4802">
        <v>17</v>
      </c>
      <c r="Q4802" t="s">
        <v>9951</v>
      </c>
    </row>
    <row r="4803" spans="1:17" x14ac:dyDescent="0.3">
      <c r="A4803" t="s">
        <v>4664</v>
      </c>
      <c r="B4803" t="str">
        <f>"301073"</f>
        <v>301073</v>
      </c>
      <c r="C4803" t="s">
        <v>9952</v>
      </c>
      <c r="D4803" t="s">
        <v>590</v>
      </c>
      <c r="F4803">
        <v>2.1913</v>
      </c>
      <c r="G4803">
        <v>2.17</v>
      </c>
      <c r="P4803">
        <v>22</v>
      </c>
      <c r="Q4803" t="s">
        <v>9953</v>
      </c>
    </row>
    <row r="4804" spans="1:17" x14ac:dyDescent="0.3">
      <c r="A4804" t="s">
        <v>4664</v>
      </c>
      <c r="B4804" t="str">
        <f>"301075"</f>
        <v>301075</v>
      </c>
      <c r="C4804" t="s">
        <v>9954</v>
      </c>
      <c r="D4804" t="s">
        <v>143</v>
      </c>
      <c r="F4804">
        <v>99.808199999999999</v>
      </c>
      <c r="P4804">
        <v>22</v>
      </c>
      <c r="Q4804" t="s">
        <v>9955</v>
      </c>
    </row>
    <row r="4805" spans="1:17" x14ac:dyDescent="0.3">
      <c r="A4805" t="s">
        <v>4664</v>
      </c>
      <c r="B4805" t="str">
        <f>"301076"</f>
        <v>301076</v>
      </c>
      <c r="C4805" t="s">
        <v>9956</v>
      </c>
      <c r="D4805" t="s">
        <v>386</v>
      </c>
      <c r="F4805">
        <v>83.068200000000004</v>
      </c>
      <c r="P4805">
        <v>20</v>
      </c>
      <c r="Q4805" t="s">
        <v>9957</v>
      </c>
    </row>
    <row r="4806" spans="1:17" x14ac:dyDescent="0.3">
      <c r="A4806" t="s">
        <v>4664</v>
      </c>
      <c r="B4806" t="str">
        <f>"301077"</f>
        <v>301077</v>
      </c>
      <c r="C4806" t="s">
        <v>9958</v>
      </c>
      <c r="D4806" t="s">
        <v>386</v>
      </c>
      <c r="F4806">
        <v>80.190700000000007</v>
      </c>
      <c r="P4806">
        <v>30</v>
      </c>
      <c r="Q4806" t="s">
        <v>9959</v>
      </c>
    </row>
    <row r="4807" spans="1:17" x14ac:dyDescent="0.3">
      <c r="A4807" t="s">
        <v>4664</v>
      </c>
      <c r="B4807" t="str">
        <f>"301078"</f>
        <v>301078</v>
      </c>
      <c r="C4807" t="s">
        <v>9960</v>
      </c>
      <c r="D4807" t="s">
        <v>295</v>
      </c>
      <c r="F4807">
        <v>75.144199999999998</v>
      </c>
      <c r="P4807">
        <v>23</v>
      </c>
      <c r="Q4807" t="s">
        <v>9961</v>
      </c>
    </row>
    <row r="4808" spans="1:17" x14ac:dyDescent="0.3">
      <c r="A4808" t="s">
        <v>4664</v>
      </c>
      <c r="B4808" t="str">
        <f>"301079"</f>
        <v>301079</v>
      </c>
      <c r="C4808" t="s">
        <v>9962</v>
      </c>
      <c r="D4808" t="s">
        <v>2001</v>
      </c>
      <c r="F4808">
        <v>149.45869999999999</v>
      </c>
      <c r="G4808">
        <v>162.98910000000001</v>
      </c>
      <c r="P4808">
        <v>22</v>
      </c>
      <c r="Q4808" t="s">
        <v>9963</v>
      </c>
    </row>
    <row r="4809" spans="1:17" x14ac:dyDescent="0.3">
      <c r="A4809" t="s">
        <v>4664</v>
      </c>
      <c r="B4809" t="str">
        <f>"301080"</f>
        <v>301080</v>
      </c>
      <c r="C4809" t="s">
        <v>9964</v>
      </c>
      <c r="D4809" t="s">
        <v>1461</v>
      </c>
      <c r="F4809">
        <v>615.17769999999996</v>
      </c>
      <c r="P4809">
        <v>52</v>
      </c>
      <c r="Q4809" t="s">
        <v>9965</v>
      </c>
    </row>
    <row r="4810" spans="1:17" x14ac:dyDescent="0.3">
      <c r="A4810" t="s">
        <v>4664</v>
      </c>
      <c r="B4810" t="str">
        <f>"301081"</f>
        <v>301081</v>
      </c>
      <c r="C4810" t="s">
        <v>9966</v>
      </c>
      <c r="D4810" t="s">
        <v>1070</v>
      </c>
      <c r="F4810">
        <v>178.64109999999999</v>
      </c>
      <c r="P4810">
        <v>21</v>
      </c>
      <c r="Q4810" t="s">
        <v>9967</v>
      </c>
    </row>
    <row r="4811" spans="1:17" x14ac:dyDescent="0.3">
      <c r="A4811" t="s">
        <v>4664</v>
      </c>
      <c r="B4811" t="str">
        <f>"301082"</f>
        <v>301082</v>
      </c>
      <c r="C4811" t="s">
        <v>9968</v>
      </c>
      <c r="D4811" t="s">
        <v>1164</v>
      </c>
      <c r="F4811">
        <v>44.230400000000003</v>
      </c>
      <c r="P4811">
        <v>17</v>
      </c>
      <c r="Q4811" t="s">
        <v>9969</v>
      </c>
    </row>
    <row r="4812" spans="1:17" x14ac:dyDescent="0.3">
      <c r="A4812" t="s">
        <v>4664</v>
      </c>
      <c r="B4812" t="str">
        <f>"301083"</f>
        <v>301083</v>
      </c>
      <c r="C4812" t="s">
        <v>9970</v>
      </c>
      <c r="D4812" t="s">
        <v>741</v>
      </c>
      <c r="F4812">
        <v>112.4918</v>
      </c>
      <c r="P4812">
        <v>16</v>
      </c>
      <c r="Q4812" t="s">
        <v>9971</v>
      </c>
    </row>
    <row r="4813" spans="1:17" x14ac:dyDescent="0.3">
      <c r="A4813" t="s">
        <v>4664</v>
      </c>
      <c r="B4813" t="str">
        <f>"301085"</f>
        <v>301085</v>
      </c>
      <c r="C4813" t="s">
        <v>9972</v>
      </c>
      <c r="D4813" t="s">
        <v>316</v>
      </c>
      <c r="F4813">
        <v>27.207699999999999</v>
      </c>
      <c r="P4813">
        <v>16</v>
      </c>
      <c r="Q4813" t="s">
        <v>9973</v>
      </c>
    </row>
    <row r="4814" spans="1:17" x14ac:dyDescent="0.3">
      <c r="A4814" t="s">
        <v>4664</v>
      </c>
      <c r="B4814" t="str">
        <f>"301086"</f>
        <v>301086</v>
      </c>
      <c r="C4814" t="s">
        <v>9974</v>
      </c>
      <c r="D4814" t="s">
        <v>313</v>
      </c>
      <c r="F4814">
        <v>91.490300000000005</v>
      </c>
      <c r="P4814">
        <v>28</v>
      </c>
      <c r="Q4814" t="s">
        <v>9975</v>
      </c>
    </row>
    <row r="4815" spans="1:17" x14ac:dyDescent="0.3">
      <c r="A4815" t="s">
        <v>4664</v>
      </c>
      <c r="B4815" t="str">
        <f>"301087"</f>
        <v>301087</v>
      </c>
      <c r="C4815" t="s">
        <v>9976</v>
      </c>
      <c r="D4815" t="s">
        <v>1305</v>
      </c>
      <c r="F4815">
        <v>163.80529999999999</v>
      </c>
      <c r="P4815">
        <v>33</v>
      </c>
      <c r="Q4815" t="s">
        <v>9977</v>
      </c>
    </row>
    <row r="4816" spans="1:17" x14ac:dyDescent="0.3">
      <c r="A4816" t="s">
        <v>4664</v>
      </c>
      <c r="B4816" t="str">
        <f>"301088"</f>
        <v>301088</v>
      </c>
      <c r="C4816" t="s">
        <v>9978</v>
      </c>
      <c r="D4816" t="s">
        <v>255</v>
      </c>
      <c r="F4816">
        <v>357.57</v>
      </c>
      <c r="P4816">
        <v>28</v>
      </c>
      <c r="Q4816" t="s">
        <v>9979</v>
      </c>
    </row>
    <row r="4817" spans="1:17" x14ac:dyDescent="0.3">
      <c r="A4817" t="s">
        <v>4664</v>
      </c>
      <c r="B4817" t="str">
        <f>"301089"</f>
        <v>301089</v>
      </c>
      <c r="C4817" t="s">
        <v>9980</v>
      </c>
      <c r="D4817" t="s">
        <v>496</v>
      </c>
      <c r="F4817">
        <v>253.5702</v>
      </c>
      <c r="P4817">
        <v>37</v>
      </c>
      <c r="Q4817" t="s">
        <v>9981</v>
      </c>
    </row>
    <row r="4818" spans="1:17" x14ac:dyDescent="0.3">
      <c r="A4818" t="s">
        <v>4664</v>
      </c>
      <c r="B4818" t="str">
        <f>"301090"</f>
        <v>301090</v>
      </c>
      <c r="C4818" t="s">
        <v>9982</v>
      </c>
      <c r="D4818" t="s">
        <v>528</v>
      </c>
      <c r="F4818">
        <v>67.669300000000007</v>
      </c>
      <c r="P4818">
        <v>18</v>
      </c>
      <c r="Q4818" t="s">
        <v>9983</v>
      </c>
    </row>
    <row r="4819" spans="1:17" x14ac:dyDescent="0.3">
      <c r="A4819" t="s">
        <v>4664</v>
      </c>
      <c r="B4819" t="str">
        <f>"301091"</f>
        <v>301091</v>
      </c>
      <c r="C4819" t="s">
        <v>9984</v>
      </c>
      <c r="D4819" t="s">
        <v>1272</v>
      </c>
      <c r="F4819">
        <v>5.4725999999999999</v>
      </c>
      <c r="P4819">
        <v>25</v>
      </c>
      <c r="Q4819" t="s">
        <v>9985</v>
      </c>
    </row>
    <row r="4820" spans="1:17" x14ac:dyDescent="0.3">
      <c r="A4820" t="s">
        <v>4664</v>
      </c>
      <c r="B4820" t="str">
        <f>"301092"</f>
        <v>301092</v>
      </c>
      <c r="C4820" t="s">
        <v>9986</v>
      </c>
      <c r="D4820" t="s">
        <v>3350</v>
      </c>
      <c r="F4820">
        <v>150.37799999999999</v>
      </c>
      <c r="P4820">
        <v>22</v>
      </c>
      <c r="Q4820" t="s">
        <v>9987</v>
      </c>
    </row>
    <row r="4821" spans="1:17" x14ac:dyDescent="0.3">
      <c r="A4821" t="s">
        <v>4664</v>
      </c>
      <c r="B4821" t="str">
        <f>"301093"</f>
        <v>301093</v>
      </c>
      <c r="C4821" t="s">
        <v>9988</v>
      </c>
      <c r="D4821" t="s">
        <v>1077</v>
      </c>
      <c r="F4821">
        <v>142.50120000000001</v>
      </c>
      <c r="P4821">
        <v>30</v>
      </c>
      <c r="Q4821" t="s">
        <v>9989</v>
      </c>
    </row>
    <row r="4822" spans="1:17" x14ac:dyDescent="0.3">
      <c r="A4822" t="s">
        <v>4664</v>
      </c>
      <c r="B4822" t="str">
        <f>"301096"</f>
        <v>301096</v>
      </c>
      <c r="C4822" t="s">
        <v>9990</v>
      </c>
      <c r="D4822" t="s">
        <v>1461</v>
      </c>
      <c r="F4822">
        <v>86.148600000000002</v>
      </c>
      <c r="P4822">
        <v>26</v>
      </c>
      <c r="Q4822" t="s">
        <v>9991</v>
      </c>
    </row>
    <row r="4823" spans="1:17" x14ac:dyDescent="0.3">
      <c r="A4823" t="s">
        <v>4664</v>
      </c>
      <c r="B4823" t="str">
        <f>"301098"</f>
        <v>301098</v>
      </c>
      <c r="C4823" t="s">
        <v>9992</v>
      </c>
      <c r="D4823" t="s">
        <v>2408</v>
      </c>
      <c r="F4823">
        <v>58.761299999999999</v>
      </c>
      <c r="P4823">
        <v>13</v>
      </c>
      <c r="Q4823" t="s">
        <v>9993</v>
      </c>
    </row>
    <row r="4824" spans="1:17" x14ac:dyDescent="0.3">
      <c r="A4824" t="s">
        <v>4664</v>
      </c>
      <c r="B4824" t="str">
        <f>"301099"</f>
        <v>301099</v>
      </c>
      <c r="C4824" t="s">
        <v>9994</v>
      </c>
      <c r="D4824" t="s">
        <v>546</v>
      </c>
      <c r="F4824">
        <v>60.612099999999998</v>
      </c>
      <c r="P4824">
        <v>16</v>
      </c>
      <c r="Q4824" t="s">
        <v>9995</v>
      </c>
    </row>
    <row r="4825" spans="1:17" x14ac:dyDescent="0.3">
      <c r="A4825" t="s">
        <v>4664</v>
      </c>
      <c r="B4825" t="str">
        <f>"301100"</f>
        <v>301100</v>
      </c>
      <c r="C4825" t="s">
        <v>9996</v>
      </c>
      <c r="D4825" t="s">
        <v>386</v>
      </c>
      <c r="F4825">
        <v>74.765199999999993</v>
      </c>
      <c r="P4825">
        <v>11</v>
      </c>
      <c r="Q4825" t="s">
        <v>9997</v>
      </c>
    </row>
    <row r="4826" spans="1:17" x14ac:dyDescent="0.3">
      <c r="A4826" t="s">
        <v>4664</v>
      </c>
      <c r="B4826" t="str">
        <f>"301101"</f>
        <v>301101</v>
      </c>
      <c r="C4826" t="s">
        <v>9998</v>
      </c>
      <c r="D4826" t="s">
        <v>3383</v>
      </c>
      <c r="F4826">
        <v>217.27449999999999</v>
      </c>
      <c r="P4826">
        <v>19</v>
      </c>
      <c r="Q4826" t="s">
        <v>9999</v>
      </c>
    </row>
    <row r="4827" spans="1:17" x14ac:dyDescent="0.3">
      <c r="A4827" t="s">
        <v>4664</v>
      </c>
      <c r="B4827" t="str">
        <f>"301106"</f>
        <v>301106</v>
      </c>
      <c r="C4827" t="s">
        <v>10000</v>
      </c>
      <c r="F4827">
        <v>129.0282</v>
      </c>
      <c r="P4827">
        <v>8</v>
      </c>
      <c r="Q4827" t="s">
        <v>10001</v>
      </c>
    </row>
    <row r="4828" spans="1:17" x14ac:dyDescent="0.3">
      <c r="A4828" t="s">
        <v>4664</v>
      </c>
      <c r="B4828" t="str">
        <f>"301108"</f>
        <v>301108</v>
      </c>
      <c r="C4828" t="s">
        <v>10002</v>
      </c>
      <c r="D4828" t="s">
        <v>2728</v>
      </c>
      <c r="F4828">
        <v>73.922200000000004</v>
      </c>
      <c r="P4828">
        <v>24</v>
      </c>
      <c r="Q4828" t="s">
        <v>10003</v>
      </c>
    </row>
    <row r="4829" spans="1:17" x14ac:dyDescent="0.3">
      <c r="A4829" t="s">
        <v>4664</v>
      </c>
      <c r="B4829" t="str">
        <f>"301111"</f>
        <v>301111</v>
      </c>
      <c r="C4829" t="s">
        <v>10004</v>
      </c>
      <c r="D4829" t="s">
        <v>143</v>
      </c>
      <c r="F4829">
        <v>262.92680000000001</v>
      </c>
      <c r="G4829">
        <v>264.72070000000002</v>
      </c>
      <c r="P4829">
        <v>28</v>
      </c>
      <c r="Q4829" t="s">
        <v>10005</v>
      </c>
    </row>
    <row r="4830" spans="1:17" x14ac:dyDescent="0.3">
      <c r="A4830" t="s">
        <v>4664</v>
      </c>
      <c r="B4830" t="str">
        <f>"301113"</f>
        <v>301113</v>
      </c>
      <c r="C4830" t="s">
        <v>10006</v>
      </c>
      <c r="D4830" t="s">
        <v>2436</v>
      </c>
      <c r="F4830">
        <v>68.441999999999993</v>
      </c>
      <c r="P4830">
        <v>27</v>
      </c>
      <c r="Q4830" t="s">
        <v>10007</v>
      </c>
    </row>
    <row r="4831" spans="1:17" x14ac:dyDescent="0.3">
      <c r="A4831" t="s">
        <v>4664</v>
      </c>
      <c r="B4831" t="str">
        <f>"301116"</f>
        <v>301116</v>
      </c>
      <c r="C4831" t="s">
        <v>10008</v>
      </c>
      <c r="D4831" t="s">
        <v>6173</v>
      </c>
      <c r="F4831">
        <v>13.84</v>
      </c>
      <c r="P4831">
        <v>11</v>
      </c>
      <c r="Q4831" t="s">
        <v>10009</v>
      </c>
    </row>
    <row r="4832" spans="1:17" x14ac:dyDescent="0.3">
      <c r="A4832" t="s">
        <v>4664</v>
      </c>
      <c r="B4832" t="str">
        <f>"301117"</f>
        <v>301117</v>
      </c>
      <c r="C4832" t="s">
        <v>10010</v>
      </c>
      <c r="D4832" t="s">
        <v>2953</v>
      </c>
      <c r="F4832">
        <v>320.51440000000002</v>
      </c>
      <c r="P4832">
        <v>9</v>
      </c>
      <c r="Q4832" t="s">
        <v>10011</v>
      </c>
    </row>
    <row r="4833" spans="1:17" x14ac:dyDescent="0.3">
      <c r="A4833" t="s">
        <v>4664</v>
      </c>
      <c r="B4833" t="str">
        <f>"301118"</f>
        <v>301118</v>
      </c>
      <c r="C4833" t="s">
        <v>10012</v>
      </c>
      <c r="D4833" t="s">
        <v>1233</v>
      </c>
      <c r="F4833">
        <v>76.620999999999995</v>
      </c>
      <c r="P4833">
        <v>16</v>
      </c>
      <c r="Q4833" t="s">
        <v>10013</v>
      </c>
    </row>
    <row r="4834" spans="1:17" x14ac:dyDescent="0.3">
      <c r="A4834" t="s">
        <v>4664</v>
      </c>
      <c r="B4834" t="str">
        <f>"301119"</f>
        <v>301119</v>
      </c>
      <c r="C4834" t="s">
        <v>10014</v>
      </c>
      <c r="D4834" t="s">
        <v>348</v>
      </c>
      <c r="F4834">
        <v>128.32060000000001</v>
      </c>
      <c r="P4834">
        <v>12</v>
      </c>
      <c r="Q4834" t="s">
        <v>10015</v>
      </c>
    </row>
    <row r="4835" spans="1:17" x14ac:dyDescent="0.3">
      <c r="A4835" t="s">
        <v>4664</v>
      </c>
      <c r="B4835" t="str">
        <f>"301122"</f>
        <v>301122</v>
      </c>
      <c r="C4835" t="s">
        <v>10016</v>
      </c>
      <c r="F4835">
        <v>106.7373</v>
      </c>
      <c r="P4835">
        <v>14</v>
      </c>
      <c r="Q4835" t="s">
        <v>10017</v>
      </c>
    </row>
    <row r="4836" spans="1:17" x14ac:dyDescent="0.3">
      <c r="A4836" t="s">
        <v>4664</v>
      </c>
      <c r="B4836" t="str">
        <f>"301123"</f>
        <v>301123</v>
      </c>
      <c r="C4836" t="s">
        <v>10018</v>
      </c>
      <c r="F4836">
        <v>77.151200000000003</v>
      </c>
      <c r="P4836">
        <v>6</v>
      </c>
      <c r="Q4836" t="s">
        <v>10019</v>
      </c>
    </row>
    <row r="4837" spans="1:17" x14ac:dyDescent="0.3">
      <c r="A4837" t="s">
        <v>4664</v>
      </c>
      <c r="B4837" t="str">
        <f>"301126"</f>
        <v>301126</v>
      </c>
      <c r="C4837" t="s">
        <v>10020</v>
      </c>
      <c r="D4837" t="s">
        <v>125</v>
      </c>
      <c r="F4837">
        <v>62.661499999999997</v>
      </c>
      <c r="P4837">
        <v>14</v>
      </c>
      <c r="Q4837" t="s">
        <v>10021</v>
      </c>
    </row>
    <row r="4838" spans="1:17" x14ac:dyDescent="0.3">
      <c r="A4838" t="s">
        <v>4664</v>
      </c>
      <c r="B4838" t="str">
        <f>"301127"</f>
        <v>301127</v>
      </c>
      <c r="C4838" t="s">
        <v>10022</v>
      </c>
      <c r="D4838" t="s">
        <v>33</v>
      </c>
      <c r="F4838">
        <v>66.2697</v>
      </c>
      <c r="P4838">
        <v>13</v>
      </c>
      <c r="Q4838" t="s">
        <v>10023</v>
      </c>
    </row>
    <row r="4839" spans="1:17" x14ac:dyDescent="0.3">
      <c r="A4839" t="s">
        <v>4664</v>
      </c>
      <c r="B4839" t="str">
        <f>"301128"</f>
        <v>301128</v>
      </c>
      <c r="C4839" t="s">
        <v>10024</v>
      </c>
      <c r="D4839" t="s">
        <v>741</v>
      </c>
      <c r="F4839">
        <v>55.567999999999998</v>
      </c>
      <c r="G4839">
        <v>78.747100000000003</v>
      </c>
      <c r="P4839">
        <v>12</v>
      </c>
      <c r="Q4839" t="s">
        <v>10025</v>
      </c>
    </row>
    <row r="4840" spans="1:17" x14ac:dyDescent="0.3">
      <c r="A4840" t="s">
        <v>4664</v>
      </c>
      <c r="B4840" t="str">
        <f>"301129"</f>
        <v>301129</v>
      </c>
      <c r="C4840" t="s">
        <v>10026</v>
      </c>
      <c r="D4840" t="s">
        <v>2551</v>
      </c>
      <c r="F4840">
        <v>795.80909999999994</v>
      </c>
      <c r="P4840">
        <v>22</v>
      </c>
      <c r="Q4840" t="s">
        <v>10027</v>
      </c>
    </row>
    <row r="4841" spans="1:17" x14ac:dyDescent="0.3">
      <c r="A4841" t="s">
        <v>4664</v>
      </c>
      <c r="B4841" t="str">
        <f>"301130"</f>
        <v>301130</v>
      </c>
      <c r="C4841" t="s">
        <v>10028</v>
      </c>
      <c r="F4841">
        <v>233.7038</v>
      </c>
      <c r="P4841">
        <v>7</v>
      </c>
      <c r="Q4841" t="s">
        <v>10029</v>
      </c>
    </row>
    <row r="4842" spans="1:17" x14ac:dyDescent="0.3">
      <c r="A4842" t="s">
        <v>4664</v>
      </c>
      <c r="B4842" t="str">
        <f>"301133"</f>
        <v>301133</v>
      </c>
      <c r="C4842" t="s">
        <v>10030</v>
      </c>
      <c r="D4842" t="s">
        <v>191</v>
      </c>
      <c r="F4842">
        <v>139.9075</v>
      </c>
      <c r="P4842">
        <v>15</v>
      </c>
      <c r="Q4842" t="s">
        <v>10031</v>
      </c>
    </row>
    <row r="4843" spans="1:17" x14ac:dyDescent="0.3">
      <c r="A4843" t="s">
        <v>4664</v>
      </c>
      <c r="B4843" t="str">
        <f>"301136"</f>
        <v>301136</v>
      </c>
      <c r="C4843" t="s">
        <v>10032</v>
      </c>
      <c r="D4843" t="s">
        <v>1272</v>
      </c>
      <c r="F4843">
        <v>75.468500000000006</v>
      </c>
      <c r="P4843">
        <v>9</v>
      </c>
      <c r="Q4843" t="s">
        <v>10033</v>
      </c>
    </row>
    <row r="4844" spans="1:17" x14ac:dyDescent="0.3">
      <c r="A4844" t="s">
        <v>4664</v>
      </c>
      <c r="B4844" t="str">
        <f>"301138"</f>
        <v>301138</v>
      </c>
      <c r="C4844" t="s">
        <v>10034</v>
      </c>
      <c r="D4844" t="s">
        <v>741</v>
      </c>
      <c r="F4844">
        <v>418.0693</v>
      </c>
      <c r="P4844">
        <v>16</v>
      </c>
      <c r="Q4844" t="s">
        <v>10035</v>
      </c>
    </row>
    <row r="4845" spans="1:17" x14ac:dyDescent="0.3">
      <c r="A4845" t="s">
        <v>4664</v>
      </c>
      <c r="B4845" t="str">
        <f>"301149"</f>
        <v>301149</v>
      </c>
      <c r="C4845" t="s">
        <v>10036</v>
      </c>
      <c r="D4845" t="s">
        <v>386</v>
      </c>
      <c r="F4845">
        <v>32.763399999999997</v>
      </c>
      <c r="P4845">
        <v>17</v>
      </c>
      <c r="Q4845" t="s">
        <v>10037</v>
      </c>
    </row>
    <row r="4846" spans="1:17" x14ac:dyDescent="0.3">
      <c r="A4846" t="s">
        <v>4664</v>
      </c>
      <c r="B4846" t="str">
        <f>"301155"</f>
        <v>301155</v>
      </c>
      <c r="C4846" t="s">
        <v>10038</v>
      </c>
      <c r="D4846" t="s">
        <v>950</v>
      </c>
      <c r="F4846">
        <v>135.4307</v>
      </c>
      <c r="P4846">
        <v>40</v>
      </c>
      <c r="Q4846" t="s">
        <v>10039</v>
      </c>
    </row>
    <row r="4847" spans="1:17" x14ac:dyDescent="0.3">
      <c r="A4847" t="s">
        <v>4664</v>
      </c>
      <c r="B4847" t="str">
        <f>"301158"</f>
        <v>301158</v>
      </c>
      <c r="C4847" t="s">
        <v>10040</v>
      </c>
      <c r="D4847" t="s">
        <v>395</v>
      </c>
      <c r="F4847">
        <v>615.93089999999995</v>
      </c>
      <c r="P4847">
        <v>12</v>
      </c>
      <c r="Q4847" t="s">
        <v>10041</v>
      </c>
    </row>
    <row r="4848" spans="1:17" x14ac:dyDescent="0.3">
      <c r="A4848" t="s">
        <v>4664</v>
      </c>
      <c r="B4848" t="str">
        <f>"301159"</f>
        <v>301159</v>
      </c>
      <c r="C4848" t="s">
        <v>10042</v>
      </c>
      <c r="D4848" t="s">
        <v>945</v>
      </c>
      <c r="F4848">
        <v>405.4486</v>
      </c>
      <c r="P4848">
        <v>10</v>
      </c>
      <c r="Q4848" t="s">
        <v>10043</v>
      </c>
    </row>
    <row r="4849" spans="1:17" x14ac:dyDescent="0.3">
      <c r="A4849" t="s">
        <v>4664</v>
      </c>
      <c r="B4849" t="str">
        <f>"301166"</f>
        <v>301166</v>
      </c>
      <c r="C4849" t="s">
        <v>10044</v>
      </c>
      <c r="D4849" t="s">
        <v>1379</v>
      </c>
      <c r="F4849">
        <v>30.7697</v>
      </c>
      <c r="P4849">
        <v>21</v>
      </c>
      <c r="Q4849" t="s">
        <v>10045</v>
      </c>
    </row>
    <row r="4850" spans="1:17" x14ac:dyDescent="0.3">
      <c r="A4850" t="s">
        <v>4664</v>
      </c>
      <c r="B4850" t="str">
        <f>"301167"</f>
        <v>301167</v>
      </c>
      <c r="C4850" t="s">
        <v>10046</v>
      </c>
      <c r="D4850" t="s">
        <v>1272</v>
      </c>
      <c r="F4850">
        <v>0.1976</v>
      </c>
      <c r="P4850">
        <v>17</v>
      </c>
      <c r="Q4850" t="s">
        <v>10047</v>
      </c>
    </row>
    <row r="4851" spans="1:17" x14ac:dyDescent="0.3">
      <c r="A4851" t="s">
        <v>4664</v>
      </c>
      <c r="B4851" t="str">
        <f>"301168"</f>
        <v>301168</v>
      </c>
      <c r="C4851" t="s">
        <v>10048</v>
      </c>
      <c r="D4851" t="s">
        <v>478</v>
      </c>
      <c r="F4851">
        <v>85.515500000000003</v>
      </c>
      <c r="P4851">
        <v>14</v>
      </c>
      <c r="Q4851" t="s">
        <v>10049</v>
      </c>
    </row>
    <row r="4852" spans="1:17" x14ac:dyDescent="0.3">
      <c r="A4852" t="s">
        <v>4664</v>
      </c>
      <c r="B4852" t="str">
        <f>"301169"</f>
        <v>301169</v>
      </c>
      <c r="C4852" t="s">
        <v>10050</v>
      </c>
      <c r="D4852" t="s">
        <v>9741</v>
      </c>
      <c r="F4852">
        <v>201.8039</v>
      </c>
      <c r="P4852">
        <v>15</v>
      </c>
      <c r="Q4852" t="s">
        <v>10051</v>
      </c>
    </row>
    <row r="4853" spans="1:17" x14ac:dyDescent="0.3">
      <c r="A4853" t="s">
        <v>4664</v>
      </c>
      <c r="B4853" t="str">
        <f>"301177"</f>
        <v>301177</v>
      </c>
      <c r="C4853" t="s">
        <v>10052</v>
      </c>
      <c r="D4853" t="s">
        <v>1238</v>
      </c>
      <c r="F4853">
        <v>128.09639999999999</v>
      </c>
      <c r="P4853">
        <v>30</v>
      </c>
      <c r="Q4853" t="s">
        <v>10053</v>
      </c>
    </row>
    <row r="4854" spans="1:17" x14ac:dyDescent="0.3">
      <c r="A4854" t="s">
        <v>4664</v>
      </c>
      <c r="B4854" t="str">
        <f>"301178"</f>
        <v>301178</v>
      </c>
      <c r="C4854" t="s">
        <v>10054</v>
      </c>
      <c r="D4854" t="s">
        <v>316</v>
      </c>
      <c r="F4854">
        <v>138.87899999999999</v>
      </c>
      <c r="P4854">
        <v>15</v>
      </c>
      <c r="Q4854" t="s">
        <v>10055</v>
      </c>
    </row>
    <row r="4855" spans="1:17" x14ac:dyDescent="0.3">
      <c r="A4855" t="s">
        <v>4664</v>
      </c>
      <c r="B4855" t="str">
        <f>"301179"</f>
        <v>301179</v>
      </c>
      <c r="C4855" t="s">
        <v>10056</v>
      </c>
      <c r="D4855" t="s">
        <v>610</v>
      </c>
      <c r="F4855">
        <v>1298.0637999999999</v>
      </c>
      <c r="P4855">
        <v>17</v>
      </c>
      <c r="Q4855" t="s">
        <v>10057</v>
      </c>
    </row>
    <row r="4856" spans="1:17" x14ac:dyDescent="0.3">
      <c r="A4856" t="s">
        <v>4664</v>
      </c>
      <c r="B4856" t="str">
        <f>"301180"</f>
        <v>301180</v>
      </c>
      <c r="C4856" t="s">
        <v>10058</v>
      </c>
      <c r="D4856" t="s">
        <v>313</v>
      </c>
      <c r="F4856">
        <v>74.244299999999996</v>
      </c>
      <c r="P4856">
        <v>15</v>
      </c>
      <c r="Q4856" t="s">
        <v>10059</v>
      </c>
    </row>
    <row r="4857" spans="1:17" x14ac:dyDescent="0.3">
      <c r="A4857" t="s">
        <v>4664</v>
      </c>
      <c r="B4857" t="str">
        <f>"301181"</f>
        <v>301181</v>
      </c>
      <c r="C4857" t="s">
        <v>10060</v>
      </c>
      <c r="F4857">
        <v>154.3768</v>
      </c>
      <c r="P4857">
        <v>5</v>
      </c>
      <c r="Q4857" t="s">
        <v>10061</v>
      </c>
    </row>
    <row r="4858" spans="1:17" x14ac:dyDescent="0.3">
      <c r="A4858" t="s">
        <v>4664</v>
      </c>
      <c r="B4858" t="str">
        <f>"301182"</f>
        <v>301182</v>
      </c>
      <c r="C4858" t="s">
        <v>10062</v>
      </c>
      <c r="D4858" t="s">
        <v>313</v>
      </c>
      <c r="F4858">
        <v>124.5889</v>
      </c>
      <c r="P4858">
        <v>11</v>
      </c>
      <c r="Q4858" t="s">
        <v>10063</v>
      </c>
    </row>
    <row r="4859" spans="1:17" x14ac:dyDescent="0.3">
      <c r="A4859" t="s">
        <v>4664</v>
      </c>
      <c r="B4859" t="str">
        <f>"301185"</f>
        <v>301185</v>
      </c>
      <c r="C4859" t="s">
        <v>10064</v>
      </c>
      <c r="D4859" t="s">
        <v>316</v>
      </c>
      <c r="F4859">
        <v>109.8211</v>
      </c>
      <c r="G4859">
        <v>114.0399</v>
      </c>
      <c r="P4859">
        <v>20</v>
      </c>
      <c r="Q4859" t="s">
        <v>10065</v>
      </c>
    </row>
    <row r="4860" spans="1:17" x14ac:dyDescent="0.3">
      <c r="A4860" t="s">
        <v>4664</v>
      </c>
      <c r="B4860" t="str">
        <f>"301186"</f>
        <v>301186</v>
      </c>
      <c r="C4860" t="s">
        <v>10066</v>
      </c>
      <c r="D4860" t="s">
        <v>985</v>
      </c>
      <c r="F4860">
        <v>348.42020000000002</v>
      </c>
      <c r="P4860">
        <v>10</v>
      </c>
      <c r="Q4860" t="s">
        <v>10067</v>
      </c>
    </row>
    <row r="4861" spans="1:17" x14ac:dyDescent="0.3">
      <c r="A4861" t="s">
        <v>4664</v>
      </c>
      <c r="B4861" t="str">
        <f>"301187"</f>
        <v>301187</v>
      </c>
      <c r="C4861" t="s">
        <v>10068</v>
      </c>
      <c r="G4861">
        <v>71.602599999999995</v>
      </c>
      <c r="P4861">
        <v>1</v>
      </c>
      <c r="Q4861" t="s">
        <v>10069</v>
      </c>
    </row>
    <row r="4862" spans="1:17" x14ac:dyDescent="0.3">
      <c r="A4862" t="s">
        <v>4664</v>
      </c>
      <c r="B4862" t="str">
        <f>"301188"</f>
        <v>301188</v>
      </c>
      <c r="C4862" t="s">
        <v>10070</v>
      </c>
      <c r="D4862" t="s">
        <v>2436</v>
      </c>
      <c r="F4862">
        <v>87.326599999999999</v>
      </c>
      <c r="P4862">
        <v>18</v>
      </c>
      <c r="Q4862" t="s">
        <v>10071</v>
      </c>
    </row>
    <row r="4863" spans="1:17" x14ac:dyDescent="0.3">
      <c r="A4863" t="s">
        <v>4664</v>
      </c>
      <c r="B4863" t="str">
        <f>"301189"</f>
        <v>301189</v>
      </c>
      <c r="C4863" t="s">
        <v>10072</v>
      </c>
      <c r="D4863" t="s">
        <v>3499</v>
      </c>
      <c r="F4863">
        <v>145.18780000000001</v>
      </c>
      <c r="P4863">
        <v>10</v>
      </c>
      <c r="Q4863" t="s">
        <v>10073</v>
      </c>
    </row>
    <row r="4864" spans="1:17" x14ac:dyDescent="0.3">
      <c r="A4864" t="s">
        <v>4664</v>
      </c>
      <c r="B4864" t="str">
        <f>"301190"</f>
        <v>301190</v>
      </c>
      <c r="C4864" t="s">
        <v>10074</v>
      </c>
      <c r="D4864" t="s">
        <v>779</v>
      </c>
      <c r="F4864">
        <v>100.0324</v>
      </c>
      <c r="P4864">
        <v>11</v>
      </c>
      <c r="Q4864" t="s">
        <v>10075</v>
      </c>
    </row>
    <row r="4865" spans="1:17" x14ac:dyDescent="0.3">
      <c r="A4865" t="s">
        <v>4664</v>
      </c>
      <c r="B4865" t="str">
        <f>"301193"</f>
        <v>301193</v>
      </c>
      <c r="C4865" t="s">
        <v>10076</v>
      </c>
      <c r="D4865" t="s">
        <v>2436</v>
      </c>
      <c r="F4865">
        <v>133.49289999999999</v>
      </c>
      <c r="P4865">
        <v>15</v>
      </c>
      <c r="Q4865" t="s">
        <v>10077</v>
      </c>
    </row>
    <row r="4866" spans="1:17" x14ac:dyDescent="0.3">
      <c r="A4866" t="s">
        <v>4664</v>
      </c>
      <c r="B4866" t="str">
        <f>"301196"</f>
        <v>301196</v>
      </c>
      <c r="C4866" t="s">
        <v>10078</v>
      </c>
      <c r="D4866" t="s">
        <v>1192</v>
      </c>
      <c r="F4866">
        <v>133.80539999999999</v>
      </c>
      <c r="P4866">
        <v>7</v>
      </c>
      <c r="Q4866" t="s">
        <v>10079</v>
      </c>
    </row>
    <row r="4867" spans="1:17" x14ac:dyDescent="0.3">
      <c r="A4867" t="s">
        <v>4664</v>
      </c>
      <c r="B4867" t="str">
        <f>"301198"</f>
        <v>301198</v>
      </c>
      <c r="C4867" t="s">
        <v>10080</v>
      </c>
      <c r="D4867" t="s">
        <v>485</v>
      </c>
      <c r="F4867">
        <v>117.9539</v>
      </c>
      <c r="P4867">
        <v>16</v>
      </c>
      <c r="Q4867" t="s">
        <v>10081</v>
      </c>
    </row>
    <row r="4868" spans="1:17" x14ac:dyDescent="0.3">
      <c r="A4868" t="s">
        <v>4664</v>
      </c>
      <c r="B4868" t="str">
        <f>"301199"</f>
        <v>301199</v>
      </c>
      <c r="C4868" t="s">
        <v>10082</v>
      </c>
      <c r="D4868" t="s">
        <v>2911</v>
      </c>
      <c r="F4868">
        <v>508.79289999999997</v>
      </c>
      <c r="P4868">
        <v>10</v>
      </c>
      <c r="Q4868" t="s">
        <v>10083</v>
      </c>
    </row>
    <row r="4869" spans="1:17" x14ac:dyDescent="0.3">
      <c r="A4869" t="s">
        <v>4664</v>
      </c>
      <c r="B4869" t="str">
        <f>"301200"</f>
        <v>301200</v>
      </c>
      <c r="C4869" t="s">
        <v>10084</v>
      </c>
      <c r="F4869">
        <v>230.3314</v>
      </c>
      <c r="P4869">
        <v>13</v>
      </c>
      <c r="Q4869" t="s">
        <v>10085</v>
      </c>
    </row>
    <row r="4870" spans="1:17" x14ac:dyDescent="0.3">
      <c r="A4870" t="s">
        <v>4664</v>
      </c>
      <c r="B4870" t="str">
        <f>"301201"</f>
        <v>301201</v>
      </c>
      <c r="C4870" t="s">
        <v>10086</v>
      </c>
      <c r="D4870" t="s">
        <v>1461</v>
      </c>
      <c r="F4870">
        <v>160.81720000000001</v>
      </c>
      <c r="P4870">
        <v>18</v>
      </c>
      <c r="Q4870" t="s">
        <v>10087</v>
      </c>
    </row>
    <row r="4871" spans="1:17" x14ac:dyDescent="0.3">
      <c r="A4871" t="s">
        <v>4664</v>
      </c>
      <c r="B4871" t="str">
        <f>"301206"</f>
        <v>301206</v>
      </c>
      <c r="C4871" t="s">
        <v>10088</v>
      </c>
      <c r="F4871">
        <v>35.175800000000002</v>
      </c>
      <c r="P4871">
        <v>24</v>
      </c>
      <c r="Q4871" t="s">
        <v>10089</v>
      </c>
    </row>
    <row r="4872" spans="1:17" x14ac:dyDescent="0.3">
      <c r="A4872" t="s">
        <v>4664</v>
      </c>
      <c r="B4872" t="str">
        <f>"301207"</f>
        <v>301207</v>
      </c>
      <c r="C4872" t="s">
        <v>10090</v>
      </c>
      <c r="F4872">
        <v>299.60090000000002</v>
      </c>
      <c r="P4872">
        <v>19</v>
      </c>
      <c r="Q4872" t="s">
        <v>10091</v>
      </c>
    </row>
    <row r="4873" spans="1:17" x14ac:dyDescent="0.3">
      <c r="A4873" t="s">
        <v>4664</v>
      </c>
      <c r="B4873" t="str">
        <f>"301211"</f>
        <v>301211</v>
      </c>
      <c r="C4873" t="s">
        <v>10092</v>
      </c>
      <c r="D4873" t="s">
        <v>496</v>
      </c>
      <c r="F4873">
        <v>155.04249999999999</v>
      </c>
      <c r="P4873">
        <v>14</v>
      </c>
      <c r="Q4873" t="s">
        <v>10093</v>
      </c>
    </row>
    <row r="4874" spans="1:17" x14ac:dyDescent="0.3">
      <c r="A4874" t="s">
        <v>4664</v>
      </c>
      <c r="B4874" t="str">
        <f>"301213"</f>
        <v>301213</v>
      </c>
      <c r="C4874" t="s">
        <v>10094</v>
      </c>
      <c r="D4874" t="s">
        <v>1136</v>
      </c>
      <c r="F4874">
        <v>795.21529999999996</v>
      </c>
      <c r="G4874">
        <v>175.45660000000001</v>
      </c>
      <c r="P4874">
        <v>16</v>
      </c>
      <c r="Q4874" t="s">
        <v>10095</v>
      </c>
    </row>
    <row r="4875" spans="1:17" x14ac:dyDescent="0.3">
      <c r="A4875" t="s">
        <v>4664</v>
      </c>
      <c r="B4875" t="str">
        <f>"301215"</f>
        <v>301215</v>
      </c>
      <c r="C4875" t="s">
        <v>10096</v>
      </c>
      <c r="F4875">
        <v>4.9196999999999997</v>
      </c>
      <c r="P4875">
        <v>7</v>
      </c>
      <c r="Q4875" t="s">
        <v>10097</v>
      </c>
    </row>
    <row r="4876" spans="1:17" x14ac:dyDescent="0.3">
      <c r="A4876" t="s">
        <v>4664</v>
      </c>
      <c r="B4876" t="str">
        <f>"301217"</f>
        <v>301217</v>
      </c>
      <c r="C4876" t="s">
        <v>10098</v>
      </c>
      <c r="F4876">
        <v>41.256</v>
      </c>
      <c r="P4876">
        <v>16</v>
      </c>
      <c r="Q4876" t="s">
        <v>10099</v>
      </c>
    </row>
    <row r="4877" spans="1:17" x14ac:dyDescent="0.3">
      <c r="A4877" t="s">
        <v>4664</v>
      </c>
      <c r="B4877" t="str">
        <f>"301219"</f>
        <v>301219</v>
      </c>
      <c r="C4877" t="s">
        <v>10100</v>
      </c>
      <c r="G4877">
        <v>235.94370000000001</v>
      </c>
      <c r="P4877">
        <v>8</v>
      </c>
      <c r="Q4877" t="s">
        <v>10101</v>
      </c>
    </row>
    <row r="4878" spans="1:17" x14ac:dyDescent="0.3">
      <c r="A4878" t="s">
        <v>4664</v>
      </c>
      <c r="B4878" t="str">
        <f>"301221"</f>
        <v>301221</v>
      </c>
      <c r="C4878" t="s">
        <v>10102</v>
      </c>
      <c r="D4878" t="s">
        <v>1415</v>
      </c>
      <c r="F4878">
        <v>62.185200000000002</v>
      </c>
      <c r="P4878">
        <v>16</v>
      </c>
      <c r="Q4878" t="s">
        <v>10103</v>
      </c>
    </row>
    <row r="4879" spans="1:17" x14ac:dyDescent="0.3">
      <c r="A4879" t="s">
        <v>4664</v>
      </c>
      <c r="B4879" t="str">
        <f>"301228"</f>
        <v>301228</v>
      </c>
      <c r="C4879" t="s">
        <v>10104</v>
      </c>
      <c r="F4879">
        <v>214.22900000000001</v>
      </c>
      <c r="G4879">
        <v>358.87950000000001</v>
      </c>
      <c r="P4879">
        <v>11</v>
      </c>
      <c r="Q4879" t="s">
        <v>10105</v>
      </c>
    </row>
    <row r="4880" spans="1:17" x14ac:dyDescent="0.3">
      <c r="A4880" t="s">
        <v>4664</v>
      </c>
      <c r="B4880" t="str">
        <f>"301229"</f>
        <v>301229</v>
      </c>
      <c r="C4880" t="s">
        <v>10106</v>
      </c>
      <c r="F4880">
        <v>123.23739999999999</v>
      </c>
      <c r="P4880">
        <v>6</v>
      </c>
      <c r="Q4880" t="s">
        <v>10107</v>
      </c>
    </row>
    <row r="4881" spans="1:17" x14ac:dyDescent="0.3">
      <c r="A4881" t="s">
        <v>4664</v>
      </c>
      <c r="B4881" t="str">
        <f>"301235"</f>
        <v>301235</v>
      </c>
      <c r="C4881" t="s">
        <v>10108</v>
      </c>
      <c r="F4881">
        <v>171.19579999999999</v>
      </c>
      <c r="P4881">
        <v>11</v>
      </c>
      <c r="Q4881" t="s">
        <v>10109</v>
      </c>
    </row>
    <row r="4882" spans="1:17" x14ac:dyDescent="0.3">
      <c r="A4882" t="s">
        <v>4664</v>
      </c>
      <c r="B4882" t="str">
        <f>"301236"</f>
        <v>301236</v>
      </c>
      <c r="C4882" t="s">
        <v>10110</v>
      </c>
      <c r="G4882">
        <v>36.503100000000003</v>
      </c>
      <c r="P4882">
        <v>4</v>
      </c>
      <c r="Q4882" t="s">
        <v>10111</v>
      </c>
    </row>
    <row r="4883" spans="1:17" x14ac:dyDescent="0.3">
      <c r="A4883" t="s">
        <v>4664</v>
      </c>
      <c r="B4883" t="str">
        <f>"301237"</f>
        <v>301237</v>
      </c>
      <c r="C4883" t="s">
        <v>10112</v>
      </c>
      <c r="F4883">
        <v>89.406599999999997</v>
      </c>
      <c r="P4883">
        <v>6</v>
      </c>
      <c r="Q4883" t="s">
        <v>10113</v>
      </c>
    </row>
    <row r="4884" spans="1:17" x14ac:dyDescent="0.3">
      <c r="A4884" t="s">
        <v>4664</v>
      </c>
      <c r="B4884" t="str">
        <f>"301268"</f>
        <v>301268</v>
      </c>
      <c r="C4884" t="s">
        <v>10114</v>
      </c>
      <c r="F4884">
        <v>88.7042</v>
      </c>
      <c r="P4884">
        <v>2</v>
      </c>
      <c r="Q4884" t="s">
        <v>10115</v>
      </c>
    </row>
    <row r="4886" spans="1:17" x14ac:dyDescent="0.3">
      <c r="A4886" t="s">
        <v>10116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筛选器_大陆_20220502_031533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2022-05-01T19:15:55Z</dcterms:created>
  <dcterms:modified xsi:type="dcterms:W3CDTF">2022-05-01T19:15:55Z</dcterms:modified>
</cp:coreProperties>
</file>